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fad047314680af/Files/Academic Topics/Memory/02 Savings/Ebbinghaus Replication/Data/"/>
    </mc:Choice>
  </mc:AlternateContent>
  <xr:revisionPtr revIDLastSave="2" documentId="11_9E39432558E7702A42E76038E216A513C72DEEC0" xr6:coauthVersionLast="47" xr6:coauthVersionMax="47" xr10:uidLastSave="{AD5E277C-9BC8-44E6-A7EE-487EF07C22F9}"/>
  <bookViews>
    <workbookView xWindow="-110" yWindow="-110" windowWidth="25820" windowHeight="14020" tabRatio="676" activeTab="1" xr2:uid="{00000000-000D-0000-FFFF-FFFF00000000}"/>
  </bookViews>
  <sheets>
    <sheet name="Version History" sheetId="34" r:id="rId1"/>
    <sheet name="Table - not used" sheetId="22" r:id="rId2"/>
    <sheet name="Table - not used - Intervening" sheetId="40" r:id="rId3"/>
    <sheet name="Schema Table" sheetId="21" r:id="rId4"/>
    <sheet name="Figure Learning Time" sheetId="33" r:id="rId5"/>
    <sheet name="Schedule Figure" sheetId="24" r:id="rId6"/>
    <sheet name="Figure 1 Schema" sheetId="26" r:id="rId7"/>
    <sheet name="Figure 1 Schema Old" sheetId="41" r:id="rId8"/>
    <sheet name="Ebbinghaus, Mack, Seitz" sheetId="9" r:id="rId9"/>
    <sheet name="Data fits from Mathematica" sheetId="10" r:id="rId10"/>
    <sheet name="Data fits from V1.4" sheetId="38" r:id="rId11"/>
    <sheet name="Tables from Mathematica" sheetId="37" r:id="rId12"/>
    <sheet name="Tables (not used)" sheetId="30" r:id="rId13"/>
    <sheet name="Four Graphs LogLog" sheetId="23" r:id="rId14"/>
    <sheet name="Four Graphs LogLog Ebb" sheetId="39" r:id="rId15"/>
    <sheet name="Four Graphs MCM" sheetId="14" r:id="rId16"/>
    <sheet name="Lines" sheetId="18" r:id="rId17"/>
    <sheet name="One Graph" sheetId="17" r:id="rId18"/>
    <sheet name="Combined Graph (not used)" sheetId="29" r:id="rId19"/>
    <sheet name="Data fits (Normalized)" sheetId="11" r:id="rId20"/>
    <sheet name="Data fits Heller Ebbingh. Data" sheetId="27" r:id="rId21"/>
    <sheet name="Schema" sheetId="1" r:id="rId22"/>
    <sheet name="Schema Time" sheetId="19" r:id="rId23"/>
    <sheet name="Results" sheetId="2" r:id="rId24"/>
    <sheet name="Number of repetitions" sheetId="3" r:id="rId25"/>
    <sheet name="For Mathematica" sheetId="35" r:id="rId26"/>
  </sheets>
  <definedNames>
    <definedName name="solver_adj" localSheetId="19" hidden="1">'Data fits (Normalized)'!$AQ$8:$AQ$11</definedName>
    <definedName name="solver_adj" localSheetId="9" hidden="1">'Data fits from Mathematica'!$AK$10:$AK$13</definedName>
    <definedName name="solver_adj" localSheetId="10" hidden="1">'Data fits from V1.4'!$AK$10:$AK$13</definedName>
    <definedName name="solver_adj" localSheetId="20" hidden="1">'Data fits Heller Ebbingh. Data'!$O$8:$O$9</definedName>
    <definedName name="solver_cvg" localSheetId="19" hidden="1">0.0001</definedName>
    <definedName name="solver_cvg" localSheetId="9" hidden="1">0.0000001</definedName>
    <definedName name="solver_cvg" localSheetId="10" hidden="1">0.0000001</definedName>
    <definedName name="solver_cvg" localSheetId="20" hidden="1">0.0001</definedName>
    <definedName name="solver_drv" localSheetId="19" hidden="1">1</definedName>
    <definedName name="solver_drv" localSheetId="9" hidden="1">1</definedName>
    <definedName name="solver_drv" localSheetId="10" hidden="1">1</definedName>
    <definedName name="solver_drv" localSheetId="20" hidden="1">1</definedName>
    <definedName name="solver_est" localSheetId="19" hidden="1">1</definedName>
    <definedName name="solver_est" localSheetId="9" hidden="1">2</definedName>
    <definedName name="solver_est" localSheetId="10" hidden="1">2</definedName>
    <definedName name="solver_est" localSheetId="20" hidden="1">2</definedName>
    <definedName name="solver_itr" localSheetId="19" hidden="1">1000</definedName>
    <definedName name="solver_itr" localSheetId="9" hidden="1">1000</definedName>
    <definedName name="solver_itr" localSheetId="10" hidden="1">1000</definedName>
    <definedName name="solver_itr" localSheetId="20" hidden="1">1000</definedName>
    <definedName name="solver_lin" localSheetId="19" hidden="1">2</definedName>
    <definedName name="solver_lin" localSheetId="9" hidden="1">2</definedName>
    <definedName name="solver_lin" localSheetId="10" hidden="1">2</definedName>
    <definedName name="solver_lin" localSheetId="20" hidden="1">2</definedName>
    <definedName name="solver_neg" localSheetId="19" hidden="1">1</definedName>
    <definedName name="solver_neg" localSheetId="9" hidden="1">1</definedName>
    <definedName name="solver_neg" localSheetId="10" hidden="1">1</definedName>
    <definedName name="solver_neg" localSheetId="20" hidden="1">1</definedName>
    <definedName name="solver_num" localSheetId="19" hidden="1">0</definedName>
    <definedName name="solver_num" localSheetId="9" hidden="1">0</definedName>
    <definedName name="solver_num" localSheetId="10" hidden="1">0</definedName>
    <definedName name="solver_num" localSheetId="20" hidden="1">0</definedName>
    <definedName name="solver_nwt" localSheetId="19" hidden="1">1</definedName>
    <definedName name="solver_nwt" localSheetId="9" hidden="1">1</definedName>
    <definedName name="solver_nwt" localSheetId="10" hidden="1">1</definedName>
    <definedName name="solver_nwt" localSheetId="20" hidden="1">2</definedName>
    <definedName name="solver_opt" localSheetId="19" hidden="1">'Data fits (Normalized)'!$AQ$23</definedName>
    <definedName name="solver_opt" localSheetId="9" hidden="1">'Data fits from Mathematica'!$AK$28</definedName>
    <definedName name="solver_opt" localSheetId="10" hidden="1">'Data fits from V1.4'!$AK$28</definedName>
    <definedName name="solver_opt" localSheetId="20" hidden="1">'Data fits Heller Ebbingh. Data'!$O$23</definedName>
    <definedName name="solver_pre" localSheetId="19" hidden="1">0.00000000001</definedName>
    <definedName name="solver_pre" localSheetId="9" hidden="1">0.0000000000001</definedName>
    <definedName name="solver_pre" localSheetId="10" hidden="1">0.0000000000001</definedName>
    <definedName name="solver_pre" localSheetId="20" hidden="1">0.0000000000001</definedName>
    <definedName name="solver_scl" localSheetId="19" hidden="1">1</definedName>
    <definedName name="solver_scl" localSheetId="9" hidden="1">1</definedName>
    <definedName name="solver_scl" localSheetId="10" hidden="1">1</definedName>
    <definedName name="solver_scl" localSheetId="20" hidden="1">1</definedName>
    <definedName name="solver_sho" localSheetId="19" hidden="1">2</definedName>
    <definedName name="solver_sho" localSheetId="9" hidden="1">2</definedName>
    <definedName name="solver_sho" localSheetId="10" hidden="1">2</definedName>
    <definedName name="solver_sho" localSheetId="20" hidden="1">2</definedName>
    <definedName name="solver_tim" localSheetId="19" hidden="1">100</definedName>
    <definedName name="solver_tim" localSheetId="9" hidden="1">100</definedName>
    <definedName name="solver_tim" localSheetId="10" hidden="1">100</definedName>
    <definedName name="solver_tim" localSheetId="20" hidden="1">100</definedName>
    <definedName name="solver_tol" localSheetId="19" hidden="1">0.01</definedName>
    <definedName name="solver_tol" localSheetId="9" hidden="1">0.01</definedName>
    <definedName name="solver_tol" localSheetId="10" hidden="1">0.01</definedName>
    <definedName name="solver_tol" localSheetId="20" hidden="1">0.01</definedName>
    <definedName name="solver_typ" localSheetId="19" hidden="1">2</definedName>
    <definedName name="solver_typ" localSheetId="9" hidden="1">2</definedName>
    <definedName name="solver_typ" localSheetId="10" hidden="1">2</definedName>
    <definedName name="solver_typ" localSheetId="20" hidden="1">2</definedName>
    <definedName name="solver_val" localSheetId="19" hidden="1">0</definedName>
    <definedName name="solver_val" localSheetId="9" hidden="1">0</definedName>
    <definedName name="solver_val" localSheetId="10" hidden="1">0</definedName>
    <definedName name="solver_val" localSheetId="20" hidden="1">0</definedName>
  </definedNames>
  <calcPr calcId="191029"/>
  <pivotCaches>
    <pivotCache cacheId="0" r:id="rId27"/>
    <pivotCache cacheId="1" r:id="rId28"/>
    <pivotCache cacheId="2" r:id="rId2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2" i="2" l="1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D176" i="2"/>
  <c r="E176" i="2"/>
  <c r="F176" i="2"/>
  <c r="G176" i="2"/>
  <c r="H176" i="2"/>
  <c r="I176" i="2"/>
  <c r="J176" i="2"/>
  <c r="K176" i="2"/>
  <c r="K179" i="2" s="1"/>
  <c r="L176" i="2"/>
  <c r="M176" i="2"/>
  <c r="N176" i="2"/>
  <c r="O176" i="2"/>
  <c r="P176" i="2"/>
  <c r="Q176" i="2"/>
  <c r="R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C177" i="2"/>
  <c r="C176" i="2"/>
  <c r="C175" i="2"/>
  <c r="C174" i="2"/>
  <c r="C173" i="2"/>
  <c r="C172" i="2"/>
  <c r="D171" i="2"/>
  <c r="E171" i="2"/>
  <c r="E179" i="2" s="1"/>
  <c r="F171" i="2"/>
  <c r="G171" i="2"/>
  <c r="G179" i="2" s="1"/>
  <c r="H171" i="2"/>
  <c r="I171" i="2"/>
  <c r="I179" i="2" s="1"/>
  <c r="J171" i="2"/>
  <c r="K171" i="2"/>
  <c r="L171" i="2"/>
  <c r="M171" i="2"/>
  <c r="M179" i="2" s="1"/>
  <c r="N171" i="2"/>
  <c r="O171" i="2"/>
  <c r="O179" i="2" s="1"/>
  <c r="P171" i="2"/>
  <c r="Q171" i="2"/>
  <c r="Q179" i="2" s="1"/>
  <c r="R171" i="2"/>
  <c r="C171" i="2"/>
  <c r="C179" i="2" s="1"/>
  <c r="F186" i="2"/>
  <c r="F264" i="2" s="1"/>
  <c r="H186" i="2"/>
  <c r="H264" i="2" s="1"/>
  <c r="J186" i="2"/>
  <c r="J264" i="2" s="1"/>
  <c r="L186" i="2"/>
  <c r="L264" i="2" s="1"/>
  <c r="N186" i="2"/>
  <c r="P186" i="2"/>
  <c r="P264" i="2" s="1"/>
  <c r="R186" i="2"/>
  <c r="R264" i="2" s="1"/>
  <c r="F187" i="2"/>
  <c r="H187" i="2"/>
  <c r="J187" i="2"/>
  <c r="L187" i="2"/>
  <c r="N187" i="2"/>
  <c r="P187" i="2"/>
  <c r="R187" i="2"/>
  <c r="F188" i="2"/>
  <c r="H188" i="2"/>
  <c r="J188" i="2"/>
  <c r="L188" i="2"/>
  <c r="N188" i="2"/>
  <c r="P188" i="2"/>
  <c r="R188" i="2"/>
  <c r="F189" i="2"/>
  <c r="H189" i="2"/>
  <c r="J189" i="2"/>
  <c r="L189" i="2"/>
  <c r="N189" i="2"/>
  <c r="P189" i="2"/>
  <c r="R189" i="2"/>
  <c r="F190" i="2"/>
  <c r="H190" i="2"/>
  <c r="J190" i="2"/>
  <c r="L190" i="2"/>
  <c r="N190" i="2"/>
  <c r="P190" i="2"/>
  <c r="R190" i="2"/>
  <c r="F191" i="2"/>
  <c r="H191" i="2"/>
  <c r="J191" i="2"/>
  <c r="L191" i="2"/>
  <c r="N191" i="2"/>
  <c r="P191" i="2"/>
  <c r="R191" i="2"/>
  <c r="F192" i="2"/>
  <c r="H192" i="2"/>
  <c r="J192" i="2"/>
  <c r="L192" i="2"/>
  <c r="N192" i="2"/>
  <c r="P192" i="2"/>
  <c r="R192" i="2"/>
  <c r="F193" i="2"/>
  <c r="H193" i="2"/>
  <c r="J193" i="2"/>
  <c r="L193" i="2"/>
  <c r="N193" i="2"/>
  <c r="P193" i="2"/>
  <c r="R193" i="2"/>
  <c r="F194" i="2"/>
  <c r="H194" i="2"/>
  <c r="J194" i="2"/>
  <c r="L194" i="2"/>
  <c r="N194" i="2"/>
  <c r="P194" i="2"/>
  <c r="R194" i="2"/>
  <c r="F195" i="2"/>
  <c r="H195" i="2"/>
  <c r="J195" i="2"/>
  <c r="L195" i="2"/>
  <c r="N195" i="2"/>
  <c r="P195" i="2"/>
  <c r="R195" i="2"/>
  <c r="F197" i="2"/>
  <c r="F265" i="2" s="1"/>
  <c r="H197" i="2"/>
  <c r="J197" i="2"/>
  <c r="J265" i="2" s="1"/>
  <c r="L197" i="2"/>
  <c r="L265" i="2" s="1"/>
  <c r="N197" i="2"/>
  <c r="N265" i="2" s="1"/>
  <c r="P197" i="2"/>
  <c r="P265" i="2" s="1"/>
  <c r="R197" i="2"/>
  <c r="R265" i="2" s="1"/>
  <c r="F198" i="2"/>
  <c r="H198" i="2"/>
  <c r="J198" i="2"/>
  <c r="L198" i="2"/>
  <c r="N198" i="2"/>
  <c r="P198" i="2"/>
  <c r="R198" i="2"/>
  <c r="F199" i="2"/>
  <c r="H199" i="2"/>
  <c r="H265" i="2" s="1"/>
  <c r="J199" i="2"/>
  <c r="L199" i="2"/>
  <c r="N199" i="2"/>
  <c r="P199" i="2"/>
  <c r="R199" i="2"/>
  <c r="F200" i="2"/>
  <c r="H200" i="2"/>
  <c r="J200" i="2"/>
  <c r="L200" i="2"/>
  <c r="N200" i="2"/>
  <c r="P200" i="2"/>
  <c r="R200" i="2"/>
  <c r="F201" i="2"/>
  <c r="H201" i="2"/>
  <c r="J201" i="2"/>
  <c r="L201" i="2"/>
  <c r="N201" i="2"/>
  <c r="P201" i="2"/>
  <c r="R201" i="2"/>
  <c r="F202" i="2"/>
  <c r="H202" i="2"/>
  <c r="J202" i="2"/>
  <c r="L202" i="2"/>
  <c r="N202" i="2"/>
  <c r="P202" i="2"/>
  <c r="R202" i="2"/>
  <c r="F203" i="2"/>
  <c r="H203" i="2"/>
  <c r="J203" i="2"/>
  <c r="L203" i="2"/>
  <c r="N203" i="2"/>
  <c r="P203" i="2"/>
  <c r="R203" i="2"/>
  <c r="F204" i="2"/>
  <c r="H204" i="2"/>
  <c r="J204" i="2"/>
  <c r="L204" i="2"/>
  <c r="N204" i="2"/>
  <c r="P204" i="2"/>
  <c r="R204" i="2"/>
  <c r="F205" i="2"/>
  <c r="H205" i="2"/>
  <c r="J205" i="2"/>
  <c r="L205" i="2"/>
  <c r="N205" i="2"/>
  <c r="P205" i="2"/>
  <c r="R205" i="2"/>
  <c r="F206" i="2"/>
  <c r="H206" i="2"/>
  <c r="J206" i="2"/>
  <c r="L206" i="2"/>
  <c r="N206" i="2"/>
  <c r="P206" i="2"/>
  <c r="R206" i="2"/>
  <c r="F208" i="2"/>
  <c r="F266" i="2" s="1"/>
  <c r="H208" i="2"/>
  <c r="H266" i="2" s="1"/>
  <c r="J208" i="2"/>
  <c r="L208" i="2"/>
  <c r="L266" i="2" s="1"/>
  <c r="L272" i="2" s="1"/>
  <c r="N208" i="2"/>
  <c r="N266" i="2" s="1"/>
  <c r="P208" i="2"/>
  <c r="P266" i="2" s="1"/>
  <c r="R208" i="2"/>
  <c r="F209" i="2"/>
  <c r="H209" i="2"/>
  <c r="J209" i="2"/>
  <c r="J266" i="2" s="1"/>
  <c r="L209" i="2"/>
  <c r="N209" i="2"/>
  <c r="P209" i="2"/>
  <c r="R209" i="2"/>
  <c r="R266" i="2" s="1"/>
  <c r="F210" i="2"/>
  <c r="H210" i="2"/>
  <c r="J210" i="2"/>
  <c r="L210" i="2"/>
  <c r="N210" i="2"/>
  <c r="P210" i="2"/>
  <c r="R210" i="2"/>
  <c r="F211" i="2"/>
  <c r="H211" i="2"/>
  <c r="J211" i="2"/>
  <c r="L211" i="2"/>
  <c r="N211" i="2"/>
  <c r="F212" i="2"/>
  <c r="H212" i="2"/>
  <c r="J212" i="2"/>
  <c r="L212" i="2"/>
  <c r="N212" i="2"/>
  <c r="P212" i="2"/>
  <c r="R212" i="2"/>
  <c r="F213" i="2"/>
  <c r="H213" i="2"/>
  <c r="J213" i="2"/>
  <c r="L213" i="2"/>
  <c r="N213" i="2"/>
  <c r="P213" i="2"/>
  <c r="R213" i="2"/>
  <c r="F214" i="2"/>
  <c r="H214" i="2"/>
  <c r="J214" i="2"/>
  <c r="L214" i="2"/>
  <c r="N214" i="2"/>
  <c r="P214" i="2"/>
  <c r="F215" i="2"/>
  <c r="H215" i="2"/>
  <c r="J215" i="2"/>
  <c r="L215" i="2"/>
  <c r="N215" i="2"/>
  <c r="P215" i="2"/>
  <c r="R215" i="2"/>
  <c r="F216" i="2"/>
  <c r="H216" i="2"/>
  <c r="J216" i="2"/>
  <c r="L216" i="2"/>
  <c r="N216" i="2"/>
  <c r="P216" i="2"/>
  <c r="R216" i="2"/>
  <c r="F219" i="2"/>
  <c r="F267" i="2" s="1"/>
  <c r="H219" i="2"/>
  <c r="J219" i="2"/>
  <c r="J267" i="2" s="1"/>
  <c r="L219" i="2"/>
  <c r="L267" i="2" s="1"/>
  <c r="N219" i="2"/>
  <c r="N267" i="2" s="1"/>
  <c r="P219" i="2"/>
  <c r="P267" i="2" s="1"/>
  <c r="R219" i="2"/>
  <c r="R267" i="2" s="1"/>
  <c r="F220" i="2"/>
  <c r="H220" i="2"/>
  <c r="J220" i="2"/>
  <c r="L220" i="2"/>
  <c r="N220" i="2"/>
  <c r="P220" i="2"/>
  <c r="R220" i="2"/>
  <c r="F221" i="2"/>
  <c r="H221" i="2"/>
  <c r="J221" i="2"/>
  <c r="L221" i="2"/>
  <c r="N221" i="2"/>
  <c r="P221" i="2"/>
  <c r="R221" i="2"/>
  <c r="F222" i="2"/>
  <c r="H222" i="2"/>
  <c r="J222" i="2"/>
  <c r="L222" i="2"/>
  <c r="N222" i="2"/>
  <c r="P222" i="2"/>
  <c r="R222" i="2"/>
  <c r="F223" i="2"/>
  <c r="H223" i="2"/>
  <c r="H267" i="2" s="1"/>
  <c r="J223" i="2"/>
  <c r="L223" i="2"/>
  <c r="N223" i="2"/>
  <c r="P223" i="2"/>
  <c r="R223" i="2"/>
  <c r="F224" i="2"/>
  <c r="H224" i="2"/>
  <c r="J224" i="2"/>
  <c r="L224" i="2"/>
  <c r="N224" i="2"/>
  <c r="P224" i="2"/>
  <c r="R224" i="2"/>
  <c r="F225" i="2"/>
  <c r="H225" i="2"/>
  <c r="J225" i="2"/>
  <c r="L225" i="2"/>
  <c r="N225" i="2"/>
  <c r="P225" i="2"/>
  <c r="R225" i="2"/>
  <c r="F226" i="2"/>
  <c r="H226" i="2"/>
  <c r="J226" i="2"/>
  <c r="L226" i="2"/>
  <c r="N226" i="2"/>
  <c r="P226" i="2"/>
  <c r="R226" i="2"/>
  <c r="F227" i="2"/>
  <c r="H227" i="2"/>
  <c r="J227" i="2"/>
  <c r="L227" i="2"/>
  <c r="N227" i="2"/>
  <c r="P227" i="2"/>
  <c r="R227" i="2"/>
  <c r="F228" i="2"/>
  <c r="H228" i="2"/>
  <c r="J228" i="2"/>
  <c r="L228" i="2"/>
  <c r="N228" i="2"/>
  <c r="P228" i="2"/>
  <c r="R228" i="2"/>
  <c r="F230" i="2"/>
  <c r="H230" i="2"/>
  <c r="H268" i="2" s="1"/>
  <c r="J230" i="2"/>
  <c r="L230" i="2"/>
  <c r="L268" i="2" s="1"/>
  <c r="N230" i="2"/>
  <c r="P230" i="2"/>
  <c r="P268" i="2" s="1"/>
  <c r="R230" i="2"/>
  <c r="R268" i="2" s="1"/>
  <c r="F231" i="2"/>
  <c r="F268" i="2" s="1"/>
  <c r="H231" i="2"/>
  <c r="J231" i="2"/>
  <c r="L231" i="2"/>
  <c r="N231" i="2"/>
  <c r="P231" i="2"/>
  <c r="R231" i="2"/>
  <c r="F232" i="2"/>
  <c r="H232" i="2"/>
  <c r="J232" i="2"/>
  <c r="L232" i="2"/>
  <c r="N232" i="2"/>
  <c r="P232" i="2"/>
  <c r="R232" i="2"/>
  <c r="F233" i="2"/>
  <c r="H233" i="2"/>
  <c r="J233" i="2"/>
  <c r="J268" i="2" s="1"/>
  <c r="L233" i="2"/>
  <c r="N233" i="2"/>
  <c r="P233" i="2"/>
  <c r="R233" i="2"/>
  <c r="F234" i="2"/>
  <c r="H234" i="2"/>
  <c r="J234" i="2"/>
  <c r="L234" i="2"/>
  <c r="N234" i="2"/>
  <c r="P234" i="2"/>
  <c r="R234" i="2"/>
  <c r="F235" i="2"/>
  <c r="H235" i="2"/>
  <c r="J235" i="2"/>
  <c r="L235" i="2"/>
  <c r="N235" i="2"/>
  <c r="N268" i="2" s="1"/>
  <c r="P235" i="2"/>
  <c r="R235" i="2"/>
  <c r="F236" i="2"/>
  <c r="H236" i="2"/>
  <c r="J236" i="2"/>
  <c r="L236" i="2"/>
  <c r="N236" i="2"/>
  <c r="P236" i="2"/>
  <c r="R236" i="2"/>
  <c r="F237" i="2"/>
  <c r="H237" i="2"/>
  <c r="J237" i="2"/>
  <c r="L237" i="2"/>
  <c r="N237" i="2"/>
  <c r="P237" i="2"/>
  <c r="R237" i="2"/>
  <c r="F238" i="2"/>
  <c r="H238" i="2"/>
  <c r="J238" i="2"/>
  <c r="L238" i="2"/>
  <c r="N238" i="2"/>
  <c r="P238" i="2"/>
  <c r="R238" i="2"/>
  <c r="F239" i="2"/>
  <c r="H239" i="2"/>
  <c r="J239" i="2"/>
  <c r="L239" i="2"/>
  <c r="N239" i="2"/>
  <c r="P239" i="2"/>
  <c r="R239" i="2"/>
  <c r="F241" i="2"/>
  <c r="F269" i="2" s="1"/>
  <c r="H241" i="2"/>
  <c r="H269" i="2" s="1"/>
  <c r="J241" i="2"/>
  <c r="J269" i="2" s="1"/>
  <c r="L241" i="2"/>
  <c r="N241" i="2"/>
  <c r="N269" i="2" s="1"/>
  <c r="P241" i="2"/>
  <c r="R241" i="2"/>
  <c r="R269" i="2" s="1"/>
  <c r="F242" i="2"/>
  <c r="H242" i="2"/>
  <c r="J242" i="2"/>
  <c r="L242" i="2"/>
  <c r="N242" i="2"/>
  <c r="P242" i="2"/>
  <c r="R242" i="2"/>
  <c r="F243" i="2"/>
  <c r="H243" i="2"/>
  <c r="J243" i="2"/>
  <c r="L243" i="2"/>
  <c r="L269" i="2" s="1"/>
  <c r="N243" i="2"/>
  <c r="P243" i="2"/>
  <c r="R243" i="2"/>
  <c r="F244" i="2"/>
  <c r="H244" i="2"/>
  <c r="J244" i="2"/>
  <c r="L244" i="2"/>
  <c r="N244" i="2"/>
  <c r="P244" i="2"/>
  <c r="R244" i="2"/>
  <c r="F245" i="2"/>
  <c r="H245" i="2"/>
  <c r="J245" i="2"/>
  <c r="L245" i="2"/>
  <c r="N245" i="2"/>
  <c r="P245" i="2"/>
  <c r="P269" i="2" s="1"/>
  <c r="R245" i="2"/>
  <c r="F246" i="2"/>
  <c r="H246" i="2"/>
  <c r="J246" i="2"/>
  <c r="L246" i="2"/>
  <c r="N246" i="2"/>
  <c r="P246" i="2"/>
  <c r="R246" i="2"/>
  <c r="F247" i="2"/>
  <c r="H247" i="2"/>
  <c r="J247" i="2"/>
  <c r="L247" i="2"/>
  <c r="N247" i="2"/>
  <c r="P247" i="2"/>
  <c r="R247" i="2"/>
  <c r="F248" i="2"/>
  <c r="H248" i="2"/>
  <c r="J248" i="2"/>
  <c r="L248" i="2"/>
  <c r="N248" i="2"/>
  <c r="P248" i="2"/>
  <c r="R248" i="2"/>
  <c r="F249" i="2"/>
  <c r="H249" i="2"/>
  <c r="J249" i="2"/>
  <c r="L249" i="2"/>
  <c r="N249" i="2"/>
  <c r="P249" i="2"/>
  <c r="R249" i="2"/>
  <c r="F250" i="2"/>
  <c r="H250" i="2"/>
  <c r="J250" i="2"/>
  <c r="L250" i="2"/>
  <c r="N250" i="2"/>
  <c r="P250" i="2"/>
  <c r="R250" i="2"/>
  <c r="F252" i="2"/>
  <c r="F270" i="2" s="1"/>
  <c r="H252" i="2"/>
  <c r="H270" i="2" s="1"/>
  <c r="J252" i="2"/>
  <c r="J270" i="2" s="1"/>
  <c r="L252" i="2"/>
  <c r="L270" i="2" s="1"/>
  <c r="N252" i="2"/>
  <c r="P252" i="2"/>
  <c r="P270" i="2" s="1"/>
  <c r="F253" i="2"/>
  <c r="H253" i="2"/>
  <c r="J253" i="2"/>
  <c r="L253" i="2"/>
  <c r="N253" i="2"/>
  <c r="N270" i="2" s="1"/>
  <c r="P253" i="2"/>
  <c r="R253" i="2"/>
  <c r="F254" i="2"/>
  <c r="H254" i="2"/>
  <c r="J254" i="2"/>
  <c r="L254" i="2"/>
  <c r="N254" i="2"/>
  <c r="P254" i="2"/>
  <c r="R254" i="2"/>
  <c r="R270" i="2" s="1"/>
  <c r="F255" i="2"/>
  <c r="H255" i="2"/>
  <c r="J255" i="2"/>
  <c r="L255" i="2"/>
  <c r="N255" i="2"/>
  <c r="F256" i="2"/>
  <c r="H256" i="2"/>
  <c r="J256" i="2"/>
  <c r="L256" i="2"/>
  <c r="N256" i="2"/>
  <c r="P256" i="2"/>
  <c r="R256" i="2"/>
  <c r="F257" i="2"/>
  <c r="H257" i="2"/>
  <c r="J257" i="2"/>
  <c r="L257" i="2"/>
  <c r="N257" i="2"/>
  <c r="P257" i="2"/>
  <c r="R257" i="2"/>
  <c r="F258" i="2"/>
  <c r="H258" i="2"/>
  <c r="J258" i="2"/>
  <c r="L258" i="2"/>
  <c r="N258" i="2"/>
  <c r="P258" i="2"/>
  <c r="R258" i="2"/>
  <c r="F259" i="2"/>
  <c r="H259" i="2"/>
  <c r="J259" i="2"/>
  <c r="L259" i="2"/>
  <c r="N259" i="2"/>
  <c r="P259" i="2"/>
  <c r="R259" i="2"/>
  <c r="F260" i="2"/>
  <c r="H260" i="2"/>
  <c r="J260" i="2"/>
  <c r="L260" i="2"/>
  <c r="N260" i="2"/>
  <c r="F261" i="2"/>
  <c r="H261" i="2"/>
  <c r="J261" i="2"/>
  <c r="N261" i="2"/>
  <c r="P261" i="2"/>
  <c r="R261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7" i="2"/>
  <c r="B197" i="2"/>
  <c r="D197" i="2"/>
  <c r="D265" i="2" s="1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8" i="2"/>
  <c r="B208" i="2"/>
  <c r="D208" i="2"/>
  <c r="D266" i="2" s="1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A219" i="2"/>
  <c r="B219" i="2"/>
  <c r="D219" i="2"/>
  <c r="A220" i="2"/>
  <c r="B220" i="2"/>
  <c r="D220" i="2"/>
  <c r="D267" i="2" s="1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30" i="2"/>
  <c r="B230" i="2"/>
  <c r="D230" i="2"/>
  <c r="D268" i="2" s="1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1" i="2"/>
  <c r="B241" i="2"/>
  <c r="D241" i="2"/>
  <c r="A242" i="2"/>
  <c r="B242" i="2"/>
  <c r="D242" i="2"/>
  <c r="D269" i="2" s="1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2" i="2"/>
  <c r="B252" i="2"/>
  <c r="D252" i="2"/>
  <c r="D270" i="2" s="1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186" i="2"/>
  <c r="B186" i="2"/>
  <c r="D186" i="2"/>
  <c r="D264" i="2" s="1"/>
  <c r="AF22" i="40"/>
  <c r="AF23" i="40"/>
  <c r="AG23" i="40"/>
  <c r="AH23" i="40"/>
  <c r="AI23" i="40"/>
  <c r="AJ23" i="40"/>
  <c r="AK23" i="40"/>
  <c r="AL23" i="40"/>
  <c r="AF24" i="40"/>
  <c r="AG24" i="40"/>
  <c r="AH24" i="40"/>
  <c r="AI24" i="40"/>
  <c r="AJ24" i="40"/>
  <c r="AK24" i="40"/>
  <c r="AL24" i="40"/>
  <c r="AF25" i="40"/>
  <c r="AG25" i="40"/>
  <c r="AH25" i="40"/>
  <c r="AI25" i="40"/>
  <c r="AJ25" i="40"/>
  <c r="AK25" i="40"/>
  <c r="AL25" i="40"/>
  <c r="AF26" i="40"/>
  <c r="AG26" i="40"/>
  <c r="AH26" i="40"/>
  <c r="AI26" i="40"/>
  <c r="AJ26" i="40"/>
  <c r="AK26" i="40"/>
  <c r="AL26" i="40"/>
  <c r="AF27" i="40"/>
  <c r="AG27" i="40"/>
  <c r="AH27" i="40"/>
  <c r="AI27" i="40"/>
  <c r="AJ27" i="40"/>
  <c r="AK27" i="40"/>
  <c r="AL27" i="40"/>
  <c r="AF28" i="40"/>
  <c r="AG28" i="40"/>
  <c r="AH28" i="40"/>
  <c r="AI28" i="40"/>
  <c r="AJ28" i="40"/>
  <c r="AK28" i="40"/>
  <c r="AL28" i="40"/>
  <c r="AF29" i="40"/>
  <c r="AG29" i="40"/>
  <c r="AH29" i="40"/>
  <c r="AI29" i="40"/>
  <c r="AJ29" i="40"/>
  <c r="AK29" i="40"/>
  <c r="AL29" i="40"/>
  <c r="AF30" i="40"/>
  <c r="AG30" i="40"/>
  <c r="AH30" i="40"/>
  <c r="AI30" i="40"/>
  <c r="AJ30" i="40"/>
  <c r="AK30" i="40"/>
  <c r="AL30" i="40"/>
  <c r="AF31" i="40"/>
  <c r="AG31" i="40"/>
  <c r="AH31" i="40"/>
  <c r="AI31" i="40"/>
  <c r="AJ31" i="40"/>
  <c r="AK31" i="40"/>
  <c r="AL31" i="40"/>
  <c r="AF32" i="40"/>
  <c r="AG32" i="40"/>
  <c r="AH32" i="40"/>
  <c r="AI32" i="40"/>
  <c r="AJ32" i="40"/>
  <c r="AK32" i="40"/>
  <c r="AL32" i="40"/>
  <c r="AF33" i="40"/>
  <c r="AG33" i="40"/>
  <c r="AH33" i="40"/>
  <c r="AI33" i="40"/>
  <c r="AJ33" i="40"/>
  <c r="AK33" i="40"/>
  <c r="AL33" i="40"/>
  <c r="AF34" i="40"/>
  <c r="AG34" i="40"/>
  <c r="AH34" i="40"/>
  <c r="AI34" i="40"/>
  <c r="AJ34" i="40"/>
  <c r="AK34" i="40"/>
  <c r="AL34" i="40"/>
  <c r="AF35" i="40"/>
  <c r="AG35" i="40"/>
  <c r="AH35" i="40"/>
  <c r="AI35" i="40"/>
  <c r="AJ35" i="40"/>
  <c r="AK35" i="40"/>
  <c r="AL35" i="40"/>
  <c r="AF36" i="40"/>
  <c r="AG36" i="40"/>
  <c r="AH36" i="40"/>
  <c r="AI36" i="40"/>
  <c r="AJ36" i="40"/>
  <c r="AK36" i="40"/>
  <c r="AL36" i="40"/>
  <c r="AF37" i="40"/>
  <c r="AG37" i="40"/>
  <c r="AH37" i="40"/>
  <c r="AI37" i="40"/>
  <c r="AJ37" i="40"/>
  <c r="AK37" i="40"/>
  <c r="AL37" i="40"/>
  <c r="AF38" i="40"/>
  <c r="AG38" i="40"/>
  <c r="AH38" i="40"/>
  <c r="AI38" i="40"/>
  <c r="AJ38" i="40"/>
  <c r="AK38" i="40"/>
  <c r="AL38" i="40"/>
  <c r="AF39" i="40"/>
  <c r="AG39" i="40"/>
  <c r="AH39" i="40"/>
  <c r="AI39" i="40"/>
  <c r="AJ39" i="40"/>
  <c r="AK39" i="40"/>
  <c r="AL39" i="40"/>
  <c r="AF40" i="40"/>
  <c r="AG40" i="40"/>
  <c r="AH40" i="40"/>
  <c r="AI40" i="40"/>
  <c r="AJ40" i="40"/>
  <c r="AK40" i="40"/>
  <c r="AL40" i="40"/>
  <c r="AF41" i="40"/>
  <c r="AG41" i="40"/>
  <c r="AH41" i="40"/>
  <c r="AI41" i="40"/>
  <c r="AJ41" i="40"/>
  <c r="AK41" i="40"/>
  <c r="AL41" i="40"/>
  <c r="AF42" i="40"/>
  <c r="AG42" i="40"/>
  <c r="AH42" i="40"/>
  <c r="AI42" i="40"/>
  <c r="AJ42" i="40"/>
  <c r="AK42" i="40"/>
  <c r="AL42" i="40"/>
  <c r="AF43" i="40"/>
  <c r="AG43" i="40"/>
  <c r="AH43" i="40"/>
  <c r="AI43" i="40"/>
  <c r="AJ43" i="40"/>
  <c r="AK43" i="40"/>
  <c r="AL43" i="40"/>
  <c r="AF44" i="40"/>
  <c r="AG44" i="40"/>
  <c r="AH44" i="40"/>
  <c r="AI44" i="40"/>
  <c r="AJ44" i="40"/>
  <c r="AK44" i="40"/>
  <c r="AL44" i="40"/>
  <c r="AF45" i="40"/>
  <c r="AG45" i="40"/>
  <c r="AH45" i="40"/>
  <c r="AI45" i="40"/>
  <c r="AJ45" i="40"/>
  <c r="AK45" i="40"/>
  <c r="AL45" i="40"/>
  <c r="AF46" i="40"/>
  <c r="AG46" i="40"/>
  <c r="AH46" i="40"/>
  <c r="AI46" i="40"/>
  <c r="AJ46" i="40"/>
  <c r="AK46" i="40"/>
  <c r="AL46" i="40"/>
  <c r="AF47" i="40"/>
  <c r="AG47" i="40"/>
  <c r="AH47" i="40"/>
  <c r="AI47" i="40"/>
  <c r="AJ47" i="40"/>
  <c r="AK47" i="40"/>
  <c r="AL47" i="40"/>
  <c r="AF48" i="40"/>
  <c r="AG48" i="40"/>
  <c r="AH48" i="40"/>
  <c r="AI48" i="40"/>
  <c r="AJ48" i="40"/>
  <c r="AK48" i="40"/>
  <c r="AL48" i="40"/>
  <c r="AF49" i="40"/>
  <c r="AG49" i="40"/>
  <c r="AH49" i="40"/>
  <c r="AI49" i="40"/>
  <c r="AJ49" i="40"/>
  <c r="AK49" i="40"/>
  <c r="AL49" i="40"/>
  <c r="AF50" i="40"/>
  <c r="AG50" i="40"/>
  <c r="AH50" i="40"/>
  <c r="AI50" i="40"/>
  <c r="AJ50" i="40"/>
  <c r="AK50" i="40"/>
  <c r="AL50" i="40"/>
  <c r="AF51" i="40"/>
  <c r="AG51" i="40"/>
  <c r="AH51" i="40"/>
  <c r="AI51" i="40"/>
  <c r="AJ51" i="40"/>
  <c r="AK51" i="40"/>
  <c r="AL51" i="40"/>
  <c r="AF52" i="40"/>
  <c r="AG52" i="40"/>
  <c r="AH52" i="40"/>
  <c r="AI52" i="40"/>
  <c r="AJ52" i="40"/>
  <c r="AK52" i="40"/>
  <c r="AL52" i="40"/>
  <c r="AF53" i="40"/>
  <c r="AG53" i="40"/>
  <c r="AH53" i="40"/>
  <c r="AI53" i="40"/>
  <c r="AJ53" i="40"/>
  <c r="AK53" i="40"/>
  <c r="AL53" i="40"/>
  <c r="AF54" i="40"/>
  <c r="AG54" i="40"/>
  <c r="AH54" i="40"/>
  <c r="AI54" i="40"/>
  <c r="AJ54" i="40"/>
  <c r="AK54" i="40"/>
  <c r="AL54" i="40"/>
  <c r="AF55" i="40"/>
  <c r="AG55" i="40"/>
  <c r="AH55" i="40"/>
  <c r="AI55" i="40"/>
  <c r="AJ55" i="40"/>
  <c r="AK55" i="40"/>
  <c r="AL55" i="40"/>
  <c r="AF56" i="40"/>
  <c r="AG56" i="40"/>
  <c r="AH56" i="40"/>
  <c r="AI56" i="40"/>
  <c r="AJ56" i="40"/>
  <c r="AK56" i="40"/>
  <c r="AL56" i="40"/>
  <c r="AF57" i="40"/>
  <c r="AG57" i="40"/>
  <c r="AH57" i="40"/>
  <c r="AI57" i="40"/>
  <c r="AJ57" i="40"/>
  <c r="AK57" i="40"/>
  <c r="AL57" i="40"/>
  <c r="AF58" i="40"/>
  <c r="AG58" i="40"/>
  <c r="AH58" i="40"/>
  <c r="AI58" i="40"/>
  <c r="AJ58" i="40"/>
  <c r="AK58" i="40"/>
  <c r="AL58" i="40"/>
  <c r="AF59" i="40"/>
  <c r="AG59" i="40"/>
  <c r="AH59" i="40"/>
  <c r="AI59" i="40"/>
  <c r="AJ59" i="40"/>
  <c r="AK59" i="40"/>
  <c r="AL59" i="40"/>
  <c r="AF60" i="40"/>
  <c r="AG60" i="40"/>
  <c r="AH60" i="40"/>
  <c r="AI60" i="40"/>
  <c r="AJ60" i="40"/>
  <c r="AK60" i="40"/>
  <c r="AL60" i="40"/>
  <c r="AF61" i="40"/>
  <c r="AG61" i="40"/>
  <c r="AH61" i="40"/>
  <c r="AI61" i="40"/>
  <c r="AJ61" i="40"/>
  <c r="AK61" i="40"/>
  <c r="AL61" i="40"/>
  <c r="AF62" i="40"/>
  <c r="AG62" i="40"/>
  <c r="AH62" i="40"/>
  <c r="AI62" i="40"/>
  <c r="AJ62" i="40"/>
  <c r="AK62" i="40"/>
  <c r="AL62" i="40"/>
  <c r="AF63" i="40"/>
  <c r="AG63" i="40"/>
  <c r="AH63" i="40"/>
  <c r="AI63" i="40"/>
  <c r="AJ63" i="40"/>
  <c r="AK63" i="40"/>
  <c r="AL63" i="40"/>
  <c r="AF64" i="40"/>
  <c r="AG64" i="40"/>
  <c r="AH64" i="40"/>
  <c r="AI64" i="40"/>
  <c r="AJ64" i="40"/>
  <c r="AK64" i="40"/>
  <c r="AL64" i="40"/>
  <c r="AF65" i="40"/>
  <c r="AG65" i="40"/>
  <c r="AH65" i="40"/>
  <c r="AI65" i="40"/>
  <c r="AJ65" i="40"/>
  <c r="AK65" i="40"/>
  <c r="AL65" i="40"/>
  <c r="AF66" i="40"/>
  <c r="AG66" i="40"/>
  <c r="AH66" i="40"/>
  <c r="AI66" i="40"/>
  <c r="AJ66" i="40"/>
  <c r="AK66" i="40"/>
  <c r="AL66" i="40"/>
  <c r="AF67" i="40"/>
  <c r="AG67" i="40"/>
  <c r="AH67" i="40"/>
  <c r="AI67" i="40"/>
  <c r="AJ67" i="40"/>
  <c r="AK67" i="40"/>
  <c r="AL67" i="40"/>
  <c r="AF68" i="40"/>
  <c r="AG68" i="40"/>
  <c r="AH68" i="40"/>
  <c r="AI68" i="40"/>
  <c r="AJ68" i="40"/>
  <c r="AK68" i="40"/>
  <c r="AL68" i="40"/>
  <c r="AF69" i="40"/>
  <c r="AG69" i="40"/>
  <c r="AH69" i="40"/>
  <c r="AI69" i="40"/>
  <c r="AJ69" i="40"/>
  <c r="AK69" i="40"/>
  <c r="AL69" i="40"/>
  <c r="AF70" i="40"/>
  <c r="AG70" i="40"/>
  <c r="AH70" i="40"/>
  <c r="AI70" i="40"/>
  <c r="AJ70" i="40"/>
  <c r="AK70" i="40"/>
  <c r="AL70" i="40"/>
  <c r="AF71" i="40"/>
  <c r="AG71" i="40"/>
  <c r="AH71" i="40"/>
  <c r="AI71" i="40"/>
  <c r="AJ71" i="40"/>
  <c r="AK71" i="40"/>
  <c r="AL71" i="40"/>
  <c r="AF72" i="40"/>
  <c r="AG72" i="40"/>
  <c r="AH72" i="40"/>
  <c r="AI72" i="40"/>
  <c r="AJ72" i="40"/>
  <c r="AK72" i="40"/>
  <c r="AL72" i="40"/>
  <c r="AF73" i="40"/>
  <c r="AG73" i="40"/>
  <c r="AH73" i="40"/>
  <c r="AI73" i="40"/>
  <c r="AJ73" i="40"/>
  <c r="AK73" i="40"/>
  <c r="AL73" i="40"/>
  <c r="AF74" i="40"/>
  <c r="AG74" i="40"/>
  <c r="AH74" i="40"/>
  <c r="AI74" i="40"/>
  <c r="AJ74" i="40"/>
  <c r="AK74" i="40"/>
  <c r="AL74" i="40"/>
  <c r="AF75" i="40"/>
  <c r="AG75" i="40"/>
  <c r="AH75" i="40"/>
  <c r="AI75" i="40"/>
  <c r="AJ75" i="40"/>
  <c r="AK75" i="40"/>
  <c r="AL75" i="40"/>
  <c r="AF76" i="40"/>
  <c r="AG76" i="40"/>
  <c r="AH76" i="40"/>
  <c r="AI76" i="40"/>
  <c r="AJ76" i="40"/>
  <c r="AK76" i="40"/>
  <c r="AL76" i="40"/>
  <c r="AF77" i="40"/>
  <c r="AG77" i="40"/>
  <c r="AH77" i="40"/>
  <c r="AI77" i="40"/>
  <c r="AJ77" i="40"/>
  <c r="AK77" i="40"/>
  <c r="AL77" i="40"/>
  <c r="AF78" i="40"/>
  <c r="AG78" i="40"/>
  <c r="AH78" i="40"/>
  <c r="AI78" i="40"/>
  <c r="AJ78" i="40"/>
  <c r="AK78" i="40"/>
  <c r="AL78" i="40"/>
  <c r="AF79" i="40"/>
  <c r="AG79" i="40"/>
  <c r="AH79" i="40"/>
  <c r="AI79" i="40"/>
  <c r="AJ79" i="40"/>
  <c r="AK79" i="40"/>
  <c r="AL79" i="40"/>
  <c r="AF80" i="40"/>
  <c r="AG80" i="40"/>
  <c r="AH80" i="40"/>
  <c r="AI80" i="40"/>
  <c r="AJ80" i="40"/>
  <c r="AK80" i="40"/>
  <c r="AL80" i="40"/>
  <c r="AF81" i="40"/>
  <c r="AG81" i="40"/>
  <c r="AH81" i="40"/>
  <c r="AI81" i="40"/>
  <c r="AJ81" i="40"/>
  <c r="AK81" i="40"/>
  <c r="AL81" i="40"/>
  <c r="AF82" i="40"/>
  <c r="AG82" i="40"/>
  <c r="AH82" i="40"/>
  <c r="AI82" i="40"/>
  <c r="AJ82" i="40"/>
  <c r="AK82" i="40"/>
  <c r="AL82" i="40"/>
  <c r="AF83" i="40"/>
  <c r="AG83" i="40"/>
  <c r="AH83" i="40"/>
  <c r="AI83" i="40"/>
  <c r="AJ83" i="40"/>
  <c r="AK83" i="40"/>
  <c r="AL83" i="40"/>
  <c r="AF84" i="40"/>
  <c r="AG84" i="40"/>
  <c r="AH84" i="40"/>
  <c r="AI84" i="40"/>
  <c r="AJ84" i="40"/>
  <c r="AK84" i="40"/>
  <c r="AL84" i="40"/>
  <c r="AF85" i="40"/>
  <c r="AG85" i="40"/>
  <c r="AH85" i="40"/>
  <c r="AI85" i="40"/>
  <c r="AJ85" i="40"/>
  <c r="AK85" i="40"/>
  <c r="AL85" i="40"/>
  <c r="AF86" i="40"/>
  <c r="AG86" i="40"/>
  <c r="AH86" i="40"/>
  <c r="AI86" i="40"/>
  <c r="AJ86" i="40"/>
  <c r="AK86" i="40"/>
  <c r="AL86" i="40"/>
  <c r="AF87" i="40"/>
  <c r="AG87" i="40"/>
  <c r="AH87" i="40"/>
  <c r="AI87" i="40"/>
  <c r="AJ87" i="40"/>
  <c r="AK87" i="40"/>
  <c r="AL87" i="40"/>
  <c r="AF88" i="40"/>
  <c r="AG88" i="40"/>
  <c r="AH88" i="40"/>
  <c r="AI88" i="40"/>
  <c r="AJ88" i="40"/>
  <c r="AK88" i="40"/>
  <c r="AL88" i="40"/>
  <c r="AF89" i="40"/>
  <c r="AG89" i="40"/>
  <c r="AH89" i="40"/>
  <c r="AI89" i="40"/>
  <c r="AJ89" i="40"/>
  <c r="AK89" i="40"/>
  <c r="AL89" i="40"/>
  <c r="AF90" i="40"/>
  <c r="AG90" i="40"/>
  <c r="AH90" i="40"/>
  <c r="AI90" i="40"/>
  <c r="AJ90" i="40"/>
  <c r="AK90" i="40"/>
  <c r="AL90" i="40"/>
  <c r="AF91" i="40"/>
  <c r="AG91" i="40"/>
  <c r="AH91" i="40"/>
  <c r="AI91" i="40"/>
  <c r="AJ91" i="40"/>
  <c r="AK91" i="40"/>
  <c r="AL91" i="40"/>
  <c r="AF92" i="40"/>
  <c r="AG92" i="40"/>
  <c r="AH92" i="40"/>
  <c r="AI92" i="40"/>
  <c r="AJ92" i="40"/>
  <c r="AK92" i="40"/>
  <c r="AL92" i="40"/>
  <c r="AF93" i="40"/>
  <c r="AG93" i="40"/>
  <c r="AH93" i="40"/>
  <c r="AI93" i="40"/>
  <c r="AJ93" i="40"/>
  <c r="AK93" i="40"/>
  <c r="AL93" i="40"/>
  <c r="AF94" i="40"/>
  <c r="AG94" i="40"/>
  <c r="AH94" i="40"/>
  <c r="AI94" i="40"/>
  <c r="AJ94" i="40"/>
  <c r="AK94" i="40"/>
  <c r="AL94" i="40"/>
  <c r="AF95" i="40"/>
  <c r="AG95" i="40"/>
  <c r="AH95" i="40"/>
  <c r="AI95" i="40"/>
  <c r="AJ95" i="40"/>
  <c r="AK95" i="40"/>
  <c r="AL95" i="40"/>
  <c r="AF96" i="40"/>
  <c r="AG96" i="40"/>
  <c r="AH96" i="40"/>
  <c r="AI96" i="40"/>
  <c r="AJ96" i="40"/>
  <c r="AK96" i="40"/>
  <c r="AL96" i="40"/>
  <c r="AG22" i="40"/>
  <c r="AH22" i="40"/>
  <c r="AI22" i="40"/>
  <c r="AJ22" i="40"/>
  <c r="AK22" i="40"/>
  <c r="AL22" i="40"/>
  <c r="AI15" i="40"/>
  <c r="AL21" i="40"/>
  <c r="AK21" i="40"/>
  <c r="AJ21" i="40"/>
  <c r="AI21" i="40"/>
  <c r="AH21" i="40"/>
  <c r="AG21" i="40"/>
  <c r="AF21" i="40"/>
  <c r="AE96" i="40"/>
  <c r="AC96" i="40"/>
  <c r="AA96" i="40"/>
  <c r="Y96" i="40"/>
  <c r="W96" i="40"/>
  <c r="U96" i="40"/>
  <c r="S96" i="40"/>
  <c r="Q96" i="40"/>
  <c r="O96" i="40"/>
  <c r="M96" i="40"/>
  <c r="K96" i="40"/>
  <c r="I96" i="40"/>
  <c r="G96" i="40"/>
  <c r="E96" i="40"/>
  <c r="AE95" i="40"/>
  <c r="AC95" i="40"/>
  <c r="AA95" i="40"/>
  <c r="Y95" i="40"/>
  <c r="W95" i="40"/>
  <c r="U95" i="40"/>
  <c r="S95" i="40"/>
  <c r="Q95" i="40"/>
  <c r="O95" i="40"/>
  <c r="M95" i="40"/>
  <c r="K95" i="40"/>
  <c r="I95" i="40"/>
  <c r="G95" i="40"/>
  <c r="E95" i="40"/>
  <c r="AE94" i="40"/>
  <c r="AC94" i="40"/>
  <c r="AA94" i="40"/>
  <c r="Y94" i="40"/>
  <c r="W94" i="40"/>
  <c r="U94" i="40"/>
  <c r="S94" i="40"/>
  <c r="Q94" i="40"/>
  <c r="O94" i="40"/>
  <c r="M94" i="40"/>
  <c r="K94" i="40"/>
  <c r="I94" i="40"/>
  <c r="G94" i="40"/>
  <c r="E94" i="40"/>
  <c r="AE93" i="40"/>
  <c r="AC93" i="40"/>
  <c r="AA93" i="40"/>
  <c r="Y93" i="40"/>
  <c r="W93" i="40"/>
  <c r="U93" i="40"/>
  <c r="S93" i="40"/>
  <c r="Q93" i="40"/>
  <c r="O93" i="40"/>
  <c r="M93" i="40"/>
  <c r="K93" i="40"/>
  <c r="I93" i="40"/>
  <c r="G93" i="40"/>
  <c r="E93" i="40"/>
  <c r="AE92" i="40"/>
  <c r="AC92" i="40"/>
  <c r="AA92" i="40"/>
  <c r="Y92" i="40"/>
  <c r="W92" i="40"/>
  <c r="U92" i="40"/>
  <c r="S92" i="40"/>
  <c r="Q92" i="40"/>
  <c r="O92" i="40"/>
  <c r="M92" i="40"/>
  <c r="K92" i="40"/>
  <c r="I92" i="40"/>
  <c r="G92" i="40"/>
  <c r="E92" i="40"/>
  <c r="AE91" i="40"/>
  <c r="AC91" i="40"/>
  <c r="AA91" i="40"/>
  <c r="Y91" i="40"/>
  <c r="W91" i="40"/>
  <c r="U91" i="40"/>
  <c r="S91" i="40"/>
  <c r="Q91" i="40"/>
  <c r="O91" i="40"/>
  <c r="M91" i="40"/>
  <c r="K91" i="40"/>
  <c r="I91" i="40"/>
  <c r="G91" i="40"/>
  <c r="E91" i="40"/>
  <c r="AE90" i="40"/>
  <c r="AC90" i="40"/>
  <c r="AA90" i="40"/>
  <c r="Y90" i="40"/>
  <c r="W90" i="40"/>
  <c r="U90" i="40"/>
  <c r="S90" i="40"/>
  <c r="Q90" i="40"/>
  <c r="O90" i="40"/>
  <c r="M90" i="40"/>
  <c r="K90" i="40"/>
  <c r="I90" i="40"/>
  <c r="G90" i="40"/>
  <c r="E90" i="40"/>
  <c r="AE89" i="40"/>
  <c r="AC89" i="40"/>
  <c r="AA89" i="40"/>
  <c r="Y89" i="40"/>
  <c r="W89" i="40"/>
  <c r="U89" i="40"/>
  <c r="S89" i="40"/>
  <c r="Q89" i="40"/>
  <c r="O89" i="40"/>
  <c r="M89" i="40"/>
  <c r="K89" i="40"/>
  <c r="I89" i="40"/>
  <c r="G89" i="40"/>
  <c r="E89" i="40"/>
  <c r="AE88" i="40"/>
  <c r="AC88" i="40"/>
  <c r="AA88" i="40"/>
  <c r="Y88" i="40"/>
  <c r="W88" i="40"/>
  <c r="U88" i="40"/>
  <c r="S88" i="40"/>
  <c r="Q88" i="40"/>
  <c r="O88" i="40"/>
  <c r="M88" i="40"/>
  <c r="K88" i="40"/>
  <c r="I88" i="40"/>
  <c r="G88" i="40"/>
  <c r="E88" i="40"/>
  <c r="AE87" i="40"/>
  <c r="AC87" i="40"/>
  <c r="AA87" i="40"/>
  <c r="Y87" i="40"/>
  <c r="W87" i="40"/>
  <c r="U87" i="40"/>
  <c r="S87" i="40"/>
  <c r="Q87" i="40"/>
  <c r="O87" i="40"/>
  <c r="M87" i="40"/>
  <c r="K87" i="40"/>
  <c r="I87" i="40"/>
  <c r="G87" i="40"/>
  <c r="E87" i="40"/>
  <c r="AE86" i="40"/>
  <c r="AC86" i="40"/>
  <c r="AA86" i="40"/>
  <c r="Y86" i="40"/>
  <c r="W86" i="40"/>
  <c r="U86" i="40"/>
  <c r="S86" i="40"/>
  <c r="Q86" i="40"/>
  <c r="O86" i="40"/>
  <c r="M86" i="40"/>
  <c r="K86" i="40"/>
  <c r="I86" i="40"/>
  <c r="G86" i="40"/>
  <c r="E86" i="40"/>
  <c r="AE85" i="40"/>
  <c r="AC85" i="40"/>
  <c r="AA85" i="40"/>
  <c r="Y85" i="40"/>
  <c r="W85" i="40"/>
  <c r="U85" i="40"/>
  <c r="S85" i="40"/>
  <c r="Q85" i="40"/>
  <c r="O85" i="40"/>
  <c r="M85" i="40"/>
  <c r="K85" i="40"/>
  <c r="I85" i="40"/>
  <c r="G85" i="40"/>
  <c r="E85" i="40"/>
  <c r="AE84" i="40"/>
  <c r="AC84" i="40"/>
  <c r="AA84" i="40"/>
  <c r="Y84" i="40"/>
  <c r="W84" i="40"/>
  <c r="U84" i="40"/>
  <c r="S84" i="40"/>
  <c r="Q84" i="40"/>
  <c r="O84" i="40"/>
  <c r="M84" i="40"/>
  <c r="K84" i="40"/>
  <c r="I84" i="40"/>
  <c r="G84" i="40"/>
  <c r="E84" i="40"/>
  <c r="AE83" i="40"/>
  <c r="AC83" i="40"/>
  <c r="AA83" i="40"/>
  <c r="Y83" i="40"/>
  <c r="W83" i="40"/>
  <c r="U83" i="40"/>
  <c r="S83" i="40"/>
  <c r="Q83" i="40"/>
  <c r="O83" i="40"/>
  <c r="M83" i="40"/>
  <c r="K83" i="40"/>
  <c r="I83" i="40"/>
  <c r="G83" i="40"/>
  <c r="E83" i="40"/>
  <c r="AE82" i="40"/>
  <c r="AC82" i="40"/>
  <c r="AA82" i="40"/>
  <c r="Y82" i="40"/>
  <c r="W82" i="40"/>
  <c r="U82" i="40"/>
  <c r="S82" i="40"/>
  <c r="Q82" i="40"/>
  <c r="O82" i="40"/>
  <c r="M82" i="40"/>
  <c r="K82" i="40"/>
  <c r="I82" i="40"/>
  <c r="G82" i="40"/>
  <c r="E82" i="40"/>
  <c r="AE81" i="40"/>
  <c r="AC81" i="40"/>
  <c r="AA81" i="40"/>
  <c r="Y81" i="40"/>
  <c r="W81" i="40"/>
  <c r="U81" i="40"/>
  <c r="S81" i="40"/>
  <c r="Q81" i="40"/>
  <c r="O81" i="40"/>
  <c r="M81" i="40"/>
  <c r="K81" i="40"/>
  <c r="I81" i="40"/>
  <c r="G81" i="40"/>
  <c r="E81" i="40"/>
  <c r="AE80" i="40"/>
  <c r="AC80" i="40"/>
  <c r="AA80" i="40"/>
  <c r="Y80" i="40"/>
  <c r="W80" i="40"/>
  <c r="U80" i="40"/>
  <c r="S80" i="40"/>
  <c r="Q80" i="40"/>
  <c r="O80" i="40"/>
  <c r="M80" i="40"/>
  <c r="K80" i="40"/>
  <c r="I80" i="40"/>
  <c r="G80" i="40"/>
  <c r="E80" i="40"/>
  <c r="AE79" i="40"/>
  <c r="AC79" i="40"/>
  <c r="AA79" i="40"/>
  <c r="Y79" i="40"/>
  <c r="W79" i="40"/>
  <c r="U79" i="40"/>
  <c r="S79" i="40"/>
  <c r="Q79" i="40"/>
  <c r="O79" i="40"/>
  <c r="M79" i="40"/>
  <c r="K79" i="40"/>
  <c r="I79" i="40"/>
  <c r="G79" i="40"/>
  <c r="E79" i="40"/>
  <c r="AE78" i="40"/>
  <c r="AC78" i="40"/>
  <c r="AA78" i="40"/>
  <c r="Y78" i="40"/>
  <c r="W78" i="40"/>
  <c r="U78" i="40"/>
  <c r="S78" i="40"/>
  <c r="Q78" i="40"/>
  <c r="O78" i="40"/>
  <c r="M78" i="40"/>
  <c r="K78" i="40"/>
  <c r="I78" i="40"/>
  <c r="G78" i="40"/>
  <c r="E78" i="40"/>
  <c r="AE77" i="40"/>
  <c r="AC77" i="40"/>
  <c r="AA77" i="40"/>
  <c r="Y77" i="40"/>
  <c r="W77" i="40"/>
  <c r="U77" i="40"/>
  <c r="S77" i="40"/>
  <c r="Q77" i="40"/>
  <c r="O77" i="40"/>
  <c r="M77" i="40"/>
  <c r="K77" i="40"/>
  <c r="I77" i="40"/>
  <c r="G77" i="40"/>
  <c r="E77" i="40"/>
  <c r="AE76" i="40"/>
  <c r="AC76" i="40"/>
  <c r="AA76" i="40"/>
  <c r="Y76" i="40"/>
  <c r="W76" i="40"/>
  <c r="U76" i="40"/>
  <c r="S76" i="40"/>
  <c r="Q76" i="40"/>
  <c r="O76" i="40"/>
  <c r="M76" i="40"/>
  <c r="K76" i="40"/>
  <c r="I76" i="40"/>
  <c r="G76" i="40"/>
  <c r="E76" i="40"/>
  <c r="AE75" i="40"/>
  <c r="AC75" i="40"/>
  <c r="AA75" i="40"/>
  <c r="Y75" i="40"/>
  <c r="W75" i="40"/>
  <c r="U75" i="40"/>
  <c r="S75" i="40"/>
  <c r="Q75" i="40"/>
  <c r="O75" i="40"/>
  <c r="M75" i="40"/>
  <c r="K75" i="40"/>
  <c r="I75" i="40"/>
  <c r="G75" i="40"/>
  <c r="E75" i="40"/>
  <c r="AE74" i="40"/>
  <c r="AC74" i="40"/>
  <c r="AA74" i="40"/>
  <c r="Y74" i="40"/>
  <c r="W74" i="40"/>
  <c r="U74" i="40"/>
  <c r="S74" i="40"/>
  <c r="Q74" i="40"/>
  <c r="O74" i="40"/>
  <c r="M74" i="40"/>
  <c r="K74" i="40"/>
  <c r="I74" i="40"/>
  <c r="G74" i="40"/>
  <c r="E74" i="40"/>
  <c r="AE73" i="40"/>
  <c r="AC73" i="40"/>
  <c r="AA73" i="40"/>
  <c r="Y73" i="40"/>
  <c r="W73" i="40"/>
  <c r="U73" i="40"/>
  <c r="S73" i="40"/>
  <c r="Q73" i="40"/>
  <c r="O73" i="40"/>
  <c r="M73" i="40"/>
  <c r="K73" i="40"/>
  <c r="I73" i="40"/>
  <c r="G73" i="40"/>
  <c r="E73" i="40"/>
  <c r="AE72" i="40"/>
  <c r="AC72" i="40"/>
  <c r="AA72" i="40"/>
  <c r="Y72" i="40"/>
  <c r="W72" i="40"/>
  <c r="U72" i="40"/>
  <c r="S72" i="40"/>
  <c r="Q72" i="40"/>
  <c r="O72" i="40"/>
  <c r="M72" i="40"/>
  <c r="K72" i="40"/>
  <c r="I72" i="40"/>
  <c r="G72" i="40"/>
  <c r="E72" i="40"/>
  <c r="AE71" i="40"/>
  <c r="AC71" i="40"/>
  <c r="AA71" i="40"/>
  <c r="Y71" i="40"/>
  <c r="W71" i="40"/>
  <c r="U71" i="40"/>
  <c r="S71" i="40"/>
  <c r="Q71" i="40"/>
  <c r="O71" i="40"/>
  <c r="M71" i="40"/>
  <c r="K71" i="40"/>
  <c r="I71" i="40"/>
  <c r="G71" i="40"/>
  <c r="E71" i="40"/>
  <c r="AE70" i="40"/>
  <c r="AC70" i="40"/>
  <c r="AA70" i="40"/>
  <c r="Y70" i="40"/>
  <c r="W70" i="40"/>
  <c r="U70" i="40"/>
  <c r="S70" i="40"/>
  <c r="Q70" i="40"/>
  <c r="O70" i="40"/>
  <c r="M70" i="40"/>
  <c r="K70" i="40"/>
  <c r="I70" i="40"/>
  <c r="G70" i="40"/>
  <c r="E70" i="40"/>
  <c r="AE69" i="40"/>
  <c r="AC69" i="40"/>
  <c r="AA69" i="40"/>
  <c r="Y69" i="40"/>
  <c r="W69" i="40"/>
  <c r="U69" i="40"/>
  <c r="S69" i="40"/>
  <c r="Q69" i="40"/>
  <c r="O69" i="40"/>
  <c r="M69" i="40"/>
  <c r="K69" i="40"/>
  <c r="I69" i="40"/>
  <c r="G69" i="40"/>
  <c r="E69" i="40"/>
  <c r="AE68" i="40"/>
  <c r="AC68" i="40"/>
  <c r="AA68" i="40"/>
  <c r="Y68" i="40"/>
  <c r="W68" i="40"/>
  <c r="U68" i="40"/>
  <c r="S68" i="40"/>
  <c r="Q68" i="40"/>
  <c r="O68" i="40"/>
  <c r="M68" i="40"/>
  <c r="K68" i="40"/>
  <c r="I68" i="40"/>
  <c r="G68" i="40"/>
  <c r="E68" i="40"/>
  <c r="AE67" i="40"/>
  <c r="AC67" i="40"/>
  <c r="AA67" i="40"/>
  <c r="Y67" i="40"/>
  <c r="W67" i="40"/>
  <c r="U67" i="40"/>
  <c r="S67" i="40"/>
  <c r="Q67" i="40"/>
  <c r="O67" i="40"/>
  <c r="M67" i="40"/>
  <c r="K67" i="40"/>
  <c r="I67" i="40"/>
  <c r="G67" i="40"/>
  <c r="E67" i="40"/>
  <c r="AE66" i="40"/>
  <c r="AC66" i="40"/>
  <c r="AA66" i="40"/>
  <c r="Y66" i="40"/>
  <c r="W66" i="40"/>
  <c r="U66" i="40"/>
  <c r="S66" i="40"/>
  <c r="Q66" i="40"/>
  <c r="O66" i="40"/>
  <c r="M66" i="40"/>
  <c r="K66" i="40"/>
  <c r="I66" i="40"/>
  <c r="G66" i="40"/>
  <c r="E66" i="40"/>
  <c r="AE65" i="40"/>
  <c r="AC65" i="40"/>
  <c r="AA65" i="40"/>
  <c r="Y65" i="40"/>
  <c r="W65" i="40"/>
  <c r="U65" i="40"/>
  <c r="S65" i="40"/>
  <c r="Q65" i="40"/>
  <c r="O65" i="40"/>
  <c r="M65" i="40"/>
  <c r="K65" i="40"/>
  <c r="I65" i="40"/>
  <c r="G65" i="40"/>
  <c r="E65" i="40"/>
  <c r="AE64" i="40"/>
  <c r="AC64" i="40"/>
  <c r="AA64" i="40"/>
  <c r="Y64" i="40"/>
  <c r="W64" i="40"/>
  <c r="U64" i="40"/>
  <c r="S64" i="40"/>
  <c r="Q64" i="40"/>
  <c r="O64" i="40"/>
  <c r="M64" i="40"/>
  <c r="K64" i="40"/>
  <c r="I64" i="40"/>
  <c r="G64" i="40"/>
  <c r="E64" i="40"/>
  <c r="AE63" i="40"/>
  <c r="AC63" i="40"/>
  <c r="AA63" i="40"/>
  <c r="Y63" i="40"/>
  <c r="W63" i="40"/>
  <c r="U63" i="40"/>
  <c r="S63" i="40"/>
  <c r="Q63" i="40"/>
  <c r="O63" i="40"/>
  <c r="M63" i="40"/>
  <c r="K63" i="40"/>
  <c r="I63" i="40"/>
  <c r="G63" i="40"/>
  <c r="E63" i="40"/>
  <c r="AE62" i="40"/>
  <c r="AC62" i="40"/>
  <c r="AA62" i="40"/>
  <c r="Y62" i="40"/>
  <c r="W62" i="40"/>
  <c r="U62" i="40"/>
  <c r="S62" i="40"/>
  <c r="Q62" i="40"/>
  <c r="O62" i="40"/>
  <c r="M62" i="40"/>
  <c r="K62" i="40"/>
  <c r="I62" i="40"/>
  <c r="G62" i="40"/>
  <c r="E62" i="40"/>
  <c r="AE61" i="40"/>
  <c r="AC61" i="40"/>
  <c r="AA61" i="40"/>
  <c r="Y61" i="40"/>
  <c r="W61" i="40"/>
  <c r="U61" i="40"/>
  <c r="S61" i="40"/>
  <c r="Q61" i="40"/>
  <c r="O61" i="40"/>
  <c r="M61" i="40"/>
  <c r="K61" i="40"/>
  <c r="I61" i="40"/>
  <c r="G61" i="40"/>
  <c r="E61" i="40"/>
  <c r="AE60" i="40"/>
  <c r="AC60" i="40"/>
  <c r="AA60" i="40"/>
  <c r="Y60" i="40"/>
  <c r="W60" i="40"/>
  <c r="U60" i="40"/>
  <c r="S60" i="40"/>
  <c r="Q60" i="40"/>
  <c r="O60" i="40"/>
  <c r="M60" i="40"/>
  <c r="K60" i="40"/>
  <c r="I60" i="40"/>
  <c r="G60" i="40"/>
  <c r="E60" i="40"/>
  <c r="AE59" i="40"/>
  <c r="AC59" i="40"/>
  <c r="AA59" i="40"/>
  <c r="Y59" i="40"/>
  <c r="W59" i="40"/>
  <c r="U59" i="40"/>
  <c r="S59" i="40"/>
  <c r="Q59" i="40"/>
  <c r="O59" i="40"/>
  <c r="M59" i="40"/>
  <c r="K59" i="40"/>
  <c r="I59" i="40"/>
  <c r="G59" i="40"/>
  <c r="E59" i="40"/>
  <c r="AE58" i="40"/>
  <c r="AC58" i="40"/>
  <c r="AA58" i="40"/>
  <c r="Y58" i="40"/>
  <c r="W58" i="40"/>
  <c r="U58" i="40"/>
  <c r="S58" i="40"/>
  <c r="Q58" i="40"/>
  <c r="O58" i="40"/>
  <c r="M58" i="40"/>
  <c r="K58" i="40"/>
  <c r="I58" i="40"/>
  <c r="G58" i="40"/>
  <c r="E58" i="40"/>
  <c r="AE57" i="40"/>
  <c r="AC57" i="40"/>
  <c r="AA57" i="40"/>
  <c r="Y57" i="40"/>
  <c r="W57" i="40"/>
  <c r="U57" i="40"/>
  <c r="S57" i="40"/>
  <c r="Q57" i="40"/>
  <c r="O57" i="40"/>
  <c r="M57" i="40"/>
  <c r="K57" i="40"/>
  <c r="I57" i="40"/>
  <c r="G57" i="40"/>
  <c r="E57" i="40"/>
  <c r="AE56" i="40"/>
  <c r="AC56" i="40"/>
  <c r="AA56" i="40"/>
  <c r="Y56" i="40"/>
  <c r="W56" i="40"/>
  <c r="U56" i="40"/>
  <c r="S56" i="40"/>
  <c r="Q56" i="40"/>
  <c r="O56" i="40"/>
  <c r="M56" i="40"/>
  <c r="K56" i="40"/>
  <c r="I56" i="40"/>
  <c r="G56" i="40"/>
  <c r="E56" i="40"/>
  <c r="AE55" i="40"/>
  <c r="AC55" i="40"/>
  <c r="AA55" i="40"/>
  <c r="Y55" i="40"/>
  <c r="W55" i="40"/>
  <c r="U55" i="40"/>
  <c r="S55" i="40"/>
  <c r="Q55" i="40"/>
  <c r="O55" i="40"/>
  <c r="M55" i="40"/>
  <c r="K55" i="40"/>
  <c r="I55" i="40"/>
  <c r="G55" i="40"/>
  <c r="E55" i="40"/>
  <c r="AE54" i="40"/>
  <c r="AC54" i="40"/>
  <c r="AA54" i="40"/>
  <c r="Y54" i="40"/>
  <c r="W54" i="40"/>
  <c r="U54" i="40"/>
  <c r="S54" i="40"/>
  <c r="Q54" i="40"/>
  <c r="O54" i="40"/>
  <c r="M54" i="40"/>
  <c r="K54" i="40"/>
  <c r="I54" i="40"/>
  <c r="G54" i="40"/>
  <c r="E54" i="40"/>
  <c r="AE53" i="40"/>
  <c r="AC53" i="40"/>
  <c r="AA53" i="40"/>
  <c r="Y53" i="40"/>
  <c r="W53" i="40"/>
  <c r="U53" i="40"/>
  <c r="S53" i="40"/>
  <c r="Q53" i="40"/>
  <c r="O53" i="40"/>
  <c r="M53" i="40"/>
  <c r="K53" i="40"/>
  <c r="I53" i="40"/>
  <c r="G53" i="40"/>
  <c r="E53" i="40"/>
  <c r="AE52" i="40"/>
  <c r="AC52" i="40"/>
  <c r="AA52" i="40"/>
  <c r="Y52" i="40"/>
  <c r="W52" i="40"/>
  <c r="U52" i="40"/>
  <c r="S52" i="40"/>
  <c r="Q52" i="40"/>
  <c r="O52" i="40"/>
  <c r="M52" i="40"/>
  <c r="K52" i="40"/>
  <c r="I52" i="40"/>
  <c r="G52" i="40"/>
  <c r="E52" i="40"/>
  <c r="AE51" i="40"/>
  <c r="AC51" i="40"/>
  <c r="AA51" i="40"/>
  <c r="Y51" i="40"/>
  <c r="W51" i="40"/>
  <c r="U51" i="40"/>
  <c r="S51" i="40"/>
  <c r="Q51" i="40"/>
  <c r="O51" i="40"/>
  <c r="M51" i="40"/>
  <c r="K51" i="40"/>
  <c r="I51" i="40"/>
  <c r="G51" i="40"/>
  <c r="E51" i="40"/>
  <c r="AE50" i="40"/>
  <c r="AC50" i="40"/>
  <c r="AA50" i="40"/>
  <c r="Y50" i="40"/>
  <c r="W50" i="40"/>
  <c r="U50" i="40"/>
  <c r="S50" i="40"/>
  <c r="Q50" i="40"/>
  <c r="O50" i="40"/>
  <c r="M50" i="40"/>
  <c r="K50" i="40"/>
  <c r="I50" i="40"/>
  <c r="G50" i="40"/>
  <c r="E50" i="40"/>
  <c r="AE49" i="40"/>
  <c r="AC49" i="40"/>
  <c r="AA49" i="40"/>
  <c r="Y49" i="40"/>
  <c r="W49" i="40"/>
  <c r="U49" i="40"/>
  <c r="S49" i="40"/>
  <c r="Q49" i="40"/>
  <c r="O49" i="40"/>
  <c r="M49" i="40"/>
  <c r="K49" i="40"/>
  <c r="I49" i="40"/>
  <c r="G49" i="40"/>
  <c r="E49" i="40"/>
  <c r="AE48" i="40"/>
  <c r="AC48" i="40"/>
  <c r="AA48" i="40"/>
  <c r="Y48" i="40"/>
  <c r="W48" i="40"/>
  <c r="U48" i="40"/>
  <c r="S48" i="40"/>
  <c r="Q48" i="40"/>
  <c r="O48" i="40"/>
  <c r="M48" i="40"/>
  <c r="K48" i="40"/>
  <c r="I48" i="40"/>
  <c r="G48" i="40"/>
  <c r="E48" i="40"/>
  <c r="AE47" i="40"/>
  <c r="AC47" i="40"/>
  <c r="AA47" i="40"/>
  <c r="Y47" i="40"/>
  <c r="W47" i="40"/>
  <c r="U47" i="40"/>
  <c r="S47" i="40"/>
  <c r="Q47" i="40"/>
  <c r="O47" i="40"/>
  <c r="M47" i="40"/>
  <c r="K47" i="40"/>
  <c r="I47" i="40"/>
  <c r="G47" i="40"/>
  <c r="E47" i="40"/>
  <c r="AE46" i="40"/>
  <c r="AC46" i="40"/>
  <c r="AA46" i="40"/>
  <c r="Y46" i="40"/>
  <c r="W46" i="40"/>
  <c r="U46" i="40"/>
  <c r="S46" i="40"/>
  <c r="Q46" i="40"/>
  <c r="O46" i="40"/>
  <c r="M46" i="40"/>
  <c r="K46" i="40"/>
  <c r="I46" i="40"/>
  <c r="G46" i="40"/>
  <c r="E46" i="40"/>
  <c r="AE45" i="40"/>
  <c r="AC45" i="40"/>
  <c r="AA45" i="40"/>
  <c r="Y45" i="40"/>
  <c r="W45" i="40"/>
  <c r="U45" i="40"/>
  <c r="S45" i="40"/>
  <c r="Q45" i="40"/>
  <c r="O45" i="40"/>
  <c r="M45" i="40"/>
  <c r="K45" i="40"/>
  <c r="I45" i="40"/>
  <c r="G45" i="40"/>
  <c r="E45" i="40"/>
  <c r="AE44" i="40"/>
  <c r="AC44" i="40"/>
  <c r="AP75" i="40" s="1"/>
  <c r="AA44" i="40"/>
  <c r="Y44" i="40"/>
  <c r="W44" i="40"/>
  <c r="U44" i="40"/>
  <c r="S44" i="40"/>
  <c r="Q44" i="40"/>
  <c r="O44" i="40"/>
  <c r="M44" i="40"/>
  <c r="K44" i="40"/>
  <c r="I44" i="40"/>
  <c r="G44" i="40"/>
  <c r="E44" i="40"/>
  <c r="AE43" i="40"/>
  <c r="AC43" i="40"/>
  <c r="AP74" i="40" s="1"/>
  <c r="AA43" i="40"/>
  <c r="Y43" i="40"/>
  <c r="W43" i="40"/>
  <c r="U43" i="40"/>
  <c r="S43" i="40"/>
  <c r="Q43" i="40"/>
  <c r="O43" i="40"/>
  <c r="M43" i="40"/>
  <c r="K43" i="40"/>
  <c r="I43" i="40"/>
  <c r="G43" i="40"/>
  <c r="E43" i="40"/>
  <c r="AE42" i="40"/>
  <c r="AC42" i="40"/>
  <c r="AA42" i="40"/>
  <c r="Y42" i="40"/>
  <c r="W42" i="40"/>
  <c r="U42" i="40"/>
  <c r="S42" i="40"/>
  <c r="Q42" i="40"/>
  <c r="O42" i="40"/>
  <c r="M42" i="40"/>
  <c r="K42" i="40"/>
  <c r="I42" i="40"/>
  <c r="G42" i="40"/>
  <c r="E42" i="40"/>
  <c r="AE41" i="40"/>
  <c r="AC41" i="40"/>
  <c r="AA41" i="40"/>
  <c r="Y41" i="40"/>
  <c r="W41" i="40"/>
  <c r="U41" i="40"/>
  <c r="S41" i="40"/>
  <c r="Q41" i="40"/>
  <c r="O41" i="40"/>
  <c r="M41" i="40"/>
  <c r="K41" i="40"/>
  <c r="I41" i="40"/>
  <c r="G41" i="40"/>
  <c r="E41" i="40"/>
  <c r="AE40" i="40"/>
  <c r="AC40" i="40"/>
  <c r="AP71" i="40" s="1"/>
  <c r="AA40" i="40"/>
  <c r="Y40" i="40"/>
  <c r="W40" i="40"/>
  <c r="U40" i="40"/>
  <c r="S40" i="40"/>
  <c r="Q40" i="40"/>
  <c r="O40" i="40"/>
  <c r="M40" i="40"/>
  <c r="K40" i="40"/>
  <c r="I40" i="40"/>
  <c r="G40" i="40"/>
  <c r="E40" i="40"/>
  <c r="AE39" i="40"/>
  <c r="AC39" i="40"/>
  <c r="AA39" i="40"/>
  <c r="Y39" i="40"/>
  <c r="W39" i="40"/>
  <c r="U39" i="40"/>
  <c r="S39" i="40"/>
  <c r="Q39" i="40"/>
  <c r="O39" i="40"/>
  <c r="M39" i="40"/>
  <c r="K39" i="40"/>
  <c r="I39" i="40"/>
  <c r="G39" i="40"/>
  <c r="E39" i="40"/>
  <c r="AE38" i="40"/>
  <c r="AC38" i="40"/>
  <c r="AP69" i="40" s="1"/>
  <c r="AA38" i="40"/>
  <c r="Y38" i="40"/>
  <c r="W38" i="40"/>
  <c r="U38" i="40"/>
  <c r="S38" i="40"/>
  <c r="Q38" i="40"/>
  <c r="O38" i="40"/>
  <c r="M38" i="40"/>
  <c r="K38" i="40"/>
  <c r="I38" i="40"/>
  <c r="G38" i="40"/>
  <c r="E38" i="40"/>
  <c r="AE37" i="40"/>
  <c r="AC37" i="40"/>
  <c r="AA37" i="40"/>
  <c r="Y37" i="40"/>
  <c r="W37" i="40"/>
  <c r="U37" i="40"/>
  <c r="S37" i="40"/>
  <c r="Q37" i="40"/>
  <c r="O37" i="40"/>
  <c r="M37" i="40"/>
  <c r="K37" i="40"/>
  <c r="I37" i="40"/>
  <c r="G37" i="40"/>
  <c r="E37" i="40"/>
  <c r="AE36" i="40"/>
  <c r="AC36" i="40"/>
  <c r="AP67" i="40" s="1"/>
  <c r="AA36" i="40"/>
  <c r="Y36" i="40"/>
  <c r="W36" i="40"/>
  <c r="U36" i="40"/>
  <c r="S36" i="40"/>
  <c r="Q36" i="40"/>
  <c r="O36" i="40"/>
  <c r="M36" i="40"/>
  <c r="K36" i="40"/>
  <c r="I36" i="40"/>
  <c r="G36" i="40"/>
  <c r="E36" i="40"/>
  <c r="AE35" i="40"/>
  <c r="AC35" i="40"/>
  <c r="AP65" i="40" s="1"/>
  <c r="AA35" i="40"/>
  <c r="Y35" i="40"/>
  <c r="W35" i="40"/>
  <c r="U35" i="40"/>
  <c r="S35" i="40"/>
  <c r="Q35" i="40"/>
  <c r="O35" i="40"/>
  <c r="M35" i="40"/>
  <c r="K35" i="40"/>
  <c r="I35" i="40"/>
  <c r="G35" i="40"/>
  <c r="E35" i="40"/>
  <c r="AE34" i="40"/>
  <c r="AC34" i="40"/>
  <c r="AA34" i="40"/>
  <c r="Y34" i="40"/>
  <c r="W34" i="40"/>
  <c r="U34" i="40"/>
  <c r="S34" i="40"/>
  <c r="Q34" i="40"/>
  <c r="O34" i="40"/>
  <c r="M34" i="40"/>
  <c r="K34" i="40"/>
  <c r="I34" i="40"/>
  <c r="G34" i="40"/>
  <c r="E34" i="40"/>
  <c r="AE33" i="40"/>
  <c r="AC33" i="40"/>
  <c r="AA33" i="40"/>
  <c r="Y33" i="40"/>
  <c r="W33" i="40"/>
  <c r="U33" i="40"/>
  <c r="S33" i="40"/>
  <c r="Q33" i="40"/>
  <c r="O33" i="40"/>
  <c r="M33" i="40"/>
  <c r="K33" i="40"/>
  <c r="I33" i="40"/>
  <c r="G33" i="40"/>
  <c r="E33" i="40"/>
  <c r="AE32" i="40"/>
  <c r="AC32" i="40"/>
  <c r="AP63" i="40" s="1"/>
  <c r="AA32" i="40"/>
  <c r="Y32" i="40"/>
  <c r="W32" i="40"/>
  <c r="U32" i="40"/>
  <c r="S32" i="40"/>
  <c r="Q32" i="40"/>
  <c r="O32" i="40"/>
  <c r="M32" i="40"/>
  <c r="K32" i="40"/>
  <c r="I32" i="40"/>
  <c r="G32" i="40"/>
  <c r="E32" i="40"/>
  <c r="AE31" i="40"/>
  <c r="AC31" i="40"/>
  <c r="AP62" i="40" s="1"/>
  <c r="AA31" i="40"/>
  <c r="Y31" i="40"/>
  <c r="W31" i="40"/>
  <c r="U31" i="40"/>
  <c r="S31" i="40"/>
  <c r="Q31" i="40"/>
  <c r="O31" i="40"/>
  <c r="M31" i="40"/>
  <c r="K31" i="40"/>
  <c r="I31" i="40"/>
  <c r="G31" i="40"/>
  <c r="E31" i="40"/>
  <c r="AE30" i="40"/>
  <c r="AC30" i="40"/>
  <c r="AP61" i="40" s="1"/>
  <c r="AA30" i="40"/>
  <c r="Y30" i="40"/>
  <c r="W30" i="40"/>
  <c r="U30" i="40"/>
  <c r="S30" i="40"/>
  <c r="Q30" i="40"/>
  <c r="O30" i="40"/>
  <c r="M30" i="40"/>
  <c r="K30" i="40"/>
  <c r="I30" i="40"/>
  <c r="G30" i="40"/>
  <c r="E30" i="40"/>
  <c r="AE29" i="40"/>
  <c r="AC29" i="40"/>
  <c r="AA29" i="40"/>
  <c r="Y29" i="40"/>
  <c r="W29" i="40"/>
  <c r="U29" i="40"/>
  <c r="S29" i="40"/>
  <c r="Q29" i="40"/>
  <c r="O29" i="40"/>
  <c r="M29" i="40"/>
  <c r="K29" i="40"/>
  <c r="I29" i="40"/>
  <c r="G29" i="40"/>
  <c r="E29" i="40"/>
  <c r="AE28" i="40"/>
  <c r="AC28" i="40"/>
  <c r="AA28" i="40"/>
  <c r="Y28" i="40"/>
  <c r="W28" i="40"/>
  <c r="U28" i="40"/>
  <c r="S28" i="40"/>
  <c r="Q28" i="40"/>
  <c r="O28" i="40"/>
  <c r="M28" i="40"/>
  <c r="K28" i="40"/>
  <c r="I28" i="40"/>
  <c r="G28" i="40"/>
  <c r="E28" i="40"/>
  <c r="AE27" i="40"/>
  <c r="AC27" i="40"/>
  <c r="AA27" i="40"/>
  <c r="Y27" i="40"/>
  <c r="W27" i="40"/>
  <c r="U27" i="40"/>
  <c r="S27" i="40"/>
  <c r="Q27" i="40"/>
  <c r="O27" i="40"/>
  <c r="M27" i="40"/>
  <c r="K27" i="40"/>
  <c r="I27" i="40"/>
  <c r="G27" i="40"/>
  <c r="E27" i="40"/>
  <c r="AE26" i="40"/>
  <c r="AC26" i="40"/>
  <c r="AA26" i="40"/>
  <c r="Y26" i="40"/>
  <c r="W26" i="40"/>
  <c r="U26" i="40"/>
  <c r="S26" i="40"/>
  <c r="Q26" i="40"/>
  <c r="O26" i="40"/>
  <c r="M26" i="40"/>
  <c r="K26" i="40"/>
  <c r="I26" i="40"/>
  <c r="G26" i="40"/>
  <c r="E26" i="40"/>
  <c r="AE25" i="40"/>
  <c r="AC25" i="40"/>
  <c r="AA25" i="40"/>
  <c r="Y25" i="40"/>
  <c r="W25" i="40"/>
  <c r="U25" i="40"/>
  <c r="S25" i="40"/>
  <c r="Q25" i="40"/>
  <c r="O25" i="40"/>
  <c r="M25" i="40"/>
  <c r="K25" i="40"/>
  <c r="I25" i="40"/>
  <c r="G25" i="40"/>
  <c r="E25" i="40"/>
  <c r="AE24" i="40"/>
  <c r="AC24" i="40"/>
  <c r="AP57" i="40" s="1"/>
  <c r="AA24" i="40"/>
  <c r="Y24" i="40"/>
  <c r="W24" i="40"/>
  <c r="U24" i="40"/>
  <c r="S24" i="40"/>
  <c r="Q24" i="40"/>
  <c r="O24" i="40"/>
  <c r="M24" i="40"/>
  <c r="K24" i="40"/>
  <c r="I24" i="40"/>
  <c r="G24" i="40"/>
  <c r="E24" i="40"/>
  <c r="AE23" i="40"/>
  <c r="AC23" i="40"/>
  <c r="AA23" i="40"/>
  <c r="Y23" i="40"/>
  <c r="W23" i="40"/>
  <c r="U23" i="40"/>
  <c r="S23" i="40"/>
  <c r="Q23" i="40"/>
  <c r="O23" i="40"/>
  <c r="M23" i="40"/>
  <c r="K23" i="40"/>
  <c r="I23" i="40"/>
  <c r="G23" i="40"/>
  <c r="E23" i="40"/>
  <c r="AE22" i="40"/>
  <c r="AC22" i="40"/>
  <c r="AA22" i="40"/>
  <c r="Y22" i="40"/>
  <c r="W22" i="40"/>
  <c r="U22" i="40"/>
  <c r="S22" i="40"/>
  <c r="Q22" i="40"/>
  <c r="O22" i="40"/>
  <c r="M22" i="40"/>
  <c r="K22" i="40"/>
  <c r="I22" i="40"/>
  <c r="G22" i="40"/>
  <c r="E22" i="40"/>
  <c r="AE12" i="40"/>
  <c r="AC12" i="40"/>
  <c r="AC13" i="40" s="1"/>
  <c r="AA12" i="40"/>
  <c r="Y12" i="40"/>
  <c r="Y13" i="40" s="1"/>
  <c r="X12" i="40"/>
  <c r="W12" i="40"/>
  <c r="U13" i="40" s="1"/>
  <c r="U12" i="40"/>
  <c r="S12" i="40"/>
  <c r="Q12" i="40"/>
  <c r="T12" i="40" s="1"/>
  <c r="O12" i="40"/>
  <c r="M12" i="40"/>
  <c r="P12" i="40" s="1"/>
  <c r="L12" i="40"/>
  <c r="K12" i="40"/>
  <c r="I12" i="40"/>
  <c r="G12" i="40"/>
  <c r="E12" i="40"/>
  <c r="H12" i="40" s="1"/>
  <c r="AF11" i="40"/>
  <c r="AB11" i="40"/>
  <c r="X11" i="40"/>
  <c r="T11" i="40"/>
  <c r="L11" i="40"/>
  <c r="H11" i="40"/>
  <c r="AF10" i="40"/>
  <c r="AB10" i="40"/>
  <c r="X10" i="40"/>
  <c r="T10" i="40"/>
  <c r="P10" i="40"/>
  <c r="L10" i="40"/>
  <c r="H10" i="40"/>
  <c r="AF9" i="40"/>
  <c r="AB9" i="40"/>
  <c r="X9" i="40"/>
  <c r="T9" i="40"/>
  <c r="P9" i="40"/>
  <c r="L9" i="40"/>
  <c r="H9" i="40"/>
  <c r="AF8" i="40"/>
  <c r="AB8" i="40"/>
  <c r="X8" i="40"/>
  <c r="T8" i="40"/>
  <c r="P8" i="40"/>
  <c r="L8" i="40"/>
  <c r="H8" i="40"/>
  <c r="AF7" i="40"/>
  <c r="AB7" i="40"/>
  <c r="X7" i="40"/>
  <c r="T7" i="40"/>
  <c r="P7" i="40"/>
  <c r="L7" i="40"/>
  <c r="H7" i="40"/>
  <c r="AF6" i="40"/>
  <c r="AB6" i="40"/>
  <c r="X6" i="40"/>
  <c r="T6" i="40"/>
  <c r="P6" i="40"/>
  <c r="L6" i="40"/>
  <c r="H6" i="40"/>
  <c r="AF5" i="40"/>
  <c r="AB5" i="40"/>
  <c r="X5" i="40"/>
  <c r="T5" i="40"/>
  <c r="P5" i="40"/>
  <c r="L5" i="40"/>
  <c r="H5" i="40"/>
  <c r="AF4" i="40"/>
  <c r="AB4" i="40"/>
  <c r="X4" i="40"/>
  <c r="T4" i="40"/>
  <c r="P4" i="40"/>
  <c r="L4" i="40"/>
  <c r="H4" i="40"/>
  <c r="AF3" i="40"/>
  <c r="AB3" i="40"/>
  <c r="X3" i="40"/>
  <c r="T3" i="40"/>
  <c r="P3" i="40"/>
  <c r="L3" i="40"/>
  <c r="H3" i="40"/>
  <c r="AF2" i="40"/>
  <c r="AB2" i="40"/>
  <c r="X2" i="40"/>
  <c r="T2" i="40"/>
  <c r="P2" i="40"/>
  <c r="L2" i="40"/>
  <c r="H2" i="40"/>
  <c r="BL16" i="10"/>
  <c r="BY11" i="10"/>
  <c r="BY10" i="10"/>
  <c r="BQ11" i="10"/>
  <c r="BQ10" i="10"/>
  <c r="Q10" i="10"/>
  <c r="R10" i="10"/>
  <c r="S10" i="10"/>
  <c r="Q11" i="10"/>
  <c r="R11" i="10"/>
  <c r="S11" i="10"/>
  <c r="P11" i="10"/>
  <c r="P10" i="10"/>
  <c r="P272" i="2" l="1"/>
  <c r="R272" i="2"/>
  <c r="D272" i="2"/>
  <c r="N272" i="2"/>
  <c r="H272" i="2"/>
  <c r="J272" i="2"/>
  <c r="F272" i="2"/>
  <c r="AM89" i="40"/>
  <c r="AM81" i="40"/>
  <c r="AM73" i="40"/>
  <c r="AM65" i="40"/>
  <c r="AM57" i="40"/>
  <c r="AM49" i="40"/>
  <c r="AM41" i="40"/>
  <c r="AM33" i="40"/>
  <c r="AM25" i="40"/>
  <c r="I13" i="40"/>
  <c r="AM90" i="40"/>
  <c r="AM82" i="40"/>
  <c r="AM74" i="40"/>
  <c r="AM66" i="40"/>
  <c r="AM58" i="40"/>
  <c r="AM50" i="40"/>
  <c r="AM42" i="40"/>
  <c r="AM34" i="40"/>
  <c r="AM26" i="40"/>
  <c r="AB12" i="40"/>
  <c r="AM96" i="40"/>
  <c r="AM88" i="40"/>
  <c r="AM80" i="40"/>
  <c r="AM72" i="40"/>
  <c r="AM64" i="40"/>
  <c r="AM56" i="40"/>
  <c r="AM48" i="40"/>
  <c r="AM40" i="40"/>
  <c r="AM32" i="40"/>
  <c r="AM24" i="40"/>
  <c r="AM95" i="40"/>
  <c r="AM87" i="40"/>
  <c r="AM79" i="40"/>
  <c r="AM71" i="40"/>
  <c r="AM63" i="40"/>
  <c r="AM55" i="40"/>
  <c r="AM47" i="40"/>
  <c r="AM39" i="40"/>
  <c r="AM31" i="40"/>
  <c r="AM23" i="40"/>
  <c r="AM86" i="40"/>
  <c r="AM78" i="40"/>
  <c r="AM54" i="40"/>
  <c r="AM46" i="40"/>
  <c r="AM38" i="40"/>
  <c r="AM85" i="40"/>
  <c r="AM69" i="40"/>
  <c r="AM61" i="40"/>
  <c r="M13" i="40"/>
  <c r="AM92" i="40"/>
  <c r="AM84" i="40"/>
  <c r="AM76" i="40"/>
  <c r="AM68" i="40"/>
  <c r="AM60" i="40"/>
  <c r="AM52" i="40"/>
  <c r="AM44" i="40"/>
  <c r="AM36" i="40"/>
  <c r="AM28" i="40"/>
  <c r="AM94" i="40"/>
  <c r="AM70" i="40"/>
  <c r="AM62" i="40"/>
  <c r="AM30" i="40"/>
  <c r="AM93" i="40"/>
  <c r="AM77" i="40"/>
  <c r="AM53" i="40"/>
  <c r="AM45" i="40"/>
  <c r="AM37" i="40"/>
  <c r="AM29" i="40"/>
  <c r="AM91" i="40"/>
  <c r="AM83" i="40"/>
  <c r="AM75" i="40"/>
  <c r="AM67" i="40"/>
  <c r="AM59" i="40"/>
  <c r="AM51" i="40"/>
  <c r="AM43" i="40"/>
  <c r="AM35" i="40"/>
  <c r="AM27" i="40"/>
  <c r="AM22" i="40"/>
  <c r="E13" i="40"/>
  <c r="AF12" i="40"/>
  <c r="Q13" i="40"/>
  <c r="J53" i="38"/>
  <c r="AQ48" i="38"/>
  <c r="AQ47" i="38"/>
  <c r="AS47" i="38" s="1"/>
  <c r="AQ46" i="38"/>
  <c r="AQ45" i="38"/>
  <c r="AS45" i="38" s="1"/>
  <c r="AQ44" i="38"/>
  <c r="W44" i="38"/>
  <c r="V44" i="38"/>
  <c r="V64" i="38" s="1"/>
  <c r="AQ43" i="38"/>
  <c r="AQ42" i="38"/>
  <c r="M40" i="38"/>
  <c r="AG38" i="38"/>
  <c r="Z38" i="38"/>
  <c r="G38" i="38"/>
  <c r="D38" i="38"/>
  <c r="A38" i="38"/>
  <c r="B38" i="38" s="1"/>
  <c r="G37" i="38"/>
  <c r="D37" i="38"/>
  <c r="A37" i="38"/>
  <c r="B37" i="38" s="1"/>
  <c r="G36" i="38"/>
  <c r="D36" i="38"/>
  <c r="A36" i="38"/>
  <c r="B36" i="38" s="1"/>
  <c r="G35" i="38"/>
  <c r="D35" i="38"/>
  <c r="B35" i="38"/>
  <c r="G34" i="38"/>
  <c r="D34" i="38"/>
  <c r="B34" i="38"/>
  <c r="G33" i="38"/>
  <c r="D33" i="38"/>
  <c r="B33" i="38"/>
  <c r="G32" i="38"/>
  <c r="D32" i="38"/>
  <c r="B32" i="38"/>
  <c r="M28" i="38"/>
  <c r="K28" i="38"/>
  <c r="J28" i="38"/>
  <c r="BE23" i="38"/>
  <c r="BL23" i="38" s="1"/>
  <c r="AX23" i="38"/>
  <c r="AQ23" i="38"/>
  <c r="M23" i="38"/>
  <c r="J23" i="38"/>
  <c r="J47" i="38" s="1"/>
  <c r="I23" i="38"/>
  <c r="AR48" i="38" s="1"/>
  <c r="E23" i="38"/>
  <c r="L23" i="38" s="1"/>
  <c r="D23" i="38"/>
  <c r="K23" i="38" s="1"/>
  <c r="B23" i="38"/>
  <c r="G23" i="38" s="1"/>
  <c r="BL22" i="38"/>
  <c r="BN22" i="38" s="1"/>
  <c r="BE22" i="38"/>
  <c r="AX22" i="38"/>
  <c r="AS22" i="38"/>
  <c r="AQ22" i="38"/>
  <c r="AY22" i="38" s="1"/>
  <c r="AE22" i="38"/>
  <c r="O22" i="38"/>
  <c r="V22" i="38" s="1"/>
  <c r="AC22" i="38" s="1"/>
  <c r="AJ22" i="38" s="1"/>
  <c r="M22" i="38"/>
  <c r="M46" i="38" s="1"/>
  <c r="J22" i="38"/>
  <c r="J46" i="38" s="1"/>
  <c r="I22" i="38"/>
  <c r="BI22" i="38" s="1"/>
  <c r="E22" i="38"/>
  <c r="L22" i="38" s="1"/>
  <c r="D22" i="38"/>
  <c r="K22" i="38" s="1"/>
  <c r="B22" i="38"/>
  <c r="G22" i="38" s="1"/>
  <c r="W22" i="38" s="1"/>
  <c r="BT21" i="38"/>
  <c r="BV21" i="38" s="1"/>
  <c r="BQ21" i="38"/>
  <c r="BP21" i="38"/>
  <c r="BL21" i="38"/>
  <c r="BN21" i="38" s="1"/>
  <c r="BE21" i="38"/>
  <c r="AX21" i="38"/>
  <c r="AQ21" i="38"/>
  <c r="M21" i="38"/>
  <c r="K21" i="38"/>
  <c r="K45" i="38" s="1"/>
  <c r="J21" i="38"/>
  <c r="J45" i="38" s="1"/>
  <c r="E21" i="38"/>
  <c r="L21" i="38" s="1"/>
  <c r="D21" i="38"/>
  <c r="B21" i="38"/>
  <c r="G21" i="38" s="1"/>
  <c r="BE20" i="38"/>
  <c r="BL20" i="38" s="1"/>
  <c r="AX20" i="38"/>
  <c r="AQ20" i="38"/>
  <c r="BB20" i="38" s="1"/>
  <c r="M20" i="38"/>
  <c r="J20" i="38"/>
  <c r="I20" i="38"/>
  <c r="V42" i="38" s="1"/>
  <c r="H20" i="38"/>
  <c r="H32" i="38" s="1"/>
  <c r="G20" i="38"/>
  <c r="W20" i="38" s="1"/>
  <c r="E20" i="38"/>
  <c r="L20" i="38" s="1"/>
  <c r="D20" i="38"/>
  <c r="K20" i="38" s="1"/>
  <c r="B20" i="38"/>
  <c r="BM19" i="38"/>
  <c r="BL19" i="38"/>
  <c r="BQ19" i="38" s="1"/>
  <c r="BE19" i="38"/>
  <c r="AX19" i="38"/>
  <c r="AQ19" i="38"/>
  <c r="BI19" i="38" s="1"/>
  <c r="M19" i="38"/>
  <c r="M27" i="38" s="1"/>
  <c r="L19" i="38"/>
  <c r="J19" i="38"/>
  <c r="J26" i="38" s="1"/>
  <c r="H19" i="38"/>
  <c r="H31" i="38" s="1"/>
  <c r="G19" i="38"/>
  <c r="W19" i="38" s="1"/>
  <c r="E19" i="38"/>
  <c r="D19" i="38"/>
  <c r="K19" i="38" s="1"/>
  <c r="B19" i="38"/>
  <c r="I19" i="38" s="1"/>
  <c r="BQ18" i="38"/>
  <c r="BP18" i="38"/>
  <c r="BL18" i="38"/>
  <c r="BN18" i="38" s="1"/>
  <c r="BE18" i="38"/>
  <c r="AX18" i="38"/>
  <c r="AQ18" i="38"/>
  <c r="BI18" i="38" s="1"/>
  <c r="M18" i="38"/>
  <c r="L18" i="38"/>
  <c r="K18" i="38"/>
  <c r="K42" i="38" s="1"/>
  <c r="J18" i="38"/>
  <c r="J42" i="38" s="1"/>
  <c r="G18" i="38"/>
  <c r="H18" i="38" s="1"/>
  <c r="E18" i="38"/>
  <c r="D18" i="38"/>
  <c r="B18" i="38"/>
  <c r="I18" i="38" s="1"/>
  <c r="BG17" i="38"/>
  <c r="BE17" i="38"/>
  <c r="BL17" i="38" s="1"/>
  <c r="AX17" i="38"/>
  <c r="AS17" i="38"/>
  <c r="AQ17" i="38"/>
  <c r="BF17" i="38" s="1"/>
  <c r="X17" i="38"/>
  <c r="M17" i="38"/>
  <c r="J17" i="38"/>
  <c r="J41" i="38" s="1"/>
  <c r="I17" i="38"/>
  <c r="AC39" i="38" s="1"/>
  <c r="H17" i="38"/>
  <c r="P17" i="38" s="1"/>
  <c r="G17" i="38"/>
  <c r="E17" i="38"/>
  <c r="L17" i="38" s="1"/>
  <c r="D17" i="38"/>
  <c r="K17" i="38" s="1"/>
  <c r="B17" i="38"/>
  <c r="BL16" i="38"/>
  <c r="BT16" i="38" s="1"/>
  <c r="AM16" i="38"/>
  <c r="AL16" i="38"/>
  <c r="AK16" i="38"/>
  <c r="AG16" i="38"/>
  <c r="AN16" i="38" s="1"/>
  <c r="AF16" i="38"/>
  <c r="AE16" i="38"/>
  <c r="AD16" i="38"/>
  <c r="O16" i="38"/>
  <c r="V16" i="38" s="1"/>
  <c r="AC16" i="38" s="1"/>
  <c r="AJ16" i="38" s="1"/>
  <c r="L16" i="38"/>
  <c r="L40" i="38" s="1"/>
  <c r="K16" i="38"/>
  <c r="AE38" i="38" s="1"/>
  <c r="J16" i="38"/>
  <c r="AD38" i="38" s="1"/>
  <c r="I16" i="38"/>
  <c r="V38" i="38" s="1"/>
  <c r="V58" i="38" s="1"/>
  <c r="M13" i="38"/>
  <c r="N13" i="38" s="1"/>
  <c r="L35" i="38" s="1"/>
  <c r="L13" i="38"/>
  <c r="K35" i="38" s="1"/>
  <c r="K13" i="38"/>
  <c r="I13" i="38"/>
  <c r="J13" i="38" s="1"/>
  <c r="M12" i="38"/>
  <c r="N12" i="38" s="1"/>
  <c r="L34" i="38" s="1"/>
  <c r="K12" i="38"/>
  <c r="L12" i="38" s="1"/>
  <c r="K34" i="38" s="1"/>
  <c r="I12" i="38"/>
  <c r="J12" i="38" s="1"/>
  <c r="N11" i="38"/>
  <c r="L33" i="38" s="1"/>
  <c r="M11" i="38"/>
  <c r="K11" i="38"/>
  <c r="L11" i="38" s="1"/>
  <c r="K33" i="38" s="1"/>
  <c r="I11" i="38"/>
  <c r="J11" i="38" s="1"/>
  <c r="N10" i="38"/>
  <c r="L32" i="38" s="1"/>
  <c r="M10" i="38"/>
  <c r="K10" i="38"/>
  <c r="L10" i="38" s="1"/>
  <c r="K32" i="38" s="1"/>
  <c r="I10" i="38"/>
  <c r="J10" i="38" s="1"/>
  <c r="M9" i="38"/>
  <c r="N9" i="38" s="1"/>
  <c r="L31" i="38" s="1"/>
  <c r="K9" i="38"/>
  <c r="L9" i="38" s="1"/>
  <c r="K31" i="38" s="1"/>
  <c r="J9" i="38"/>
  <c r="I9" i="38"/>
  <c r="M8" i="38"/>
  <c r="N8" i="38" s="1"/>
  <c r="L30" i="38" s="1"/>
  <c r="K8" i="38"/>
  <c r="L8" i="38" s="1"/>
  <c r="K30" i="38" s="1"/>
  <c r="J8" i="38"/>
  <c r="I8" i="38"/>
  <c r="M7" i="38"/>
  <c r="N7" i="38" s="1"/>
  <c r="L29" i="38" s="1"/>
  <c r="K7" i="38"/>
  <c r="L7" i="38" s="1"/>
  <c r="K29" i="38" s="1"/>
  <c r="I7" i="38"/>
  <c r="J7" i="38" s="1"/>
  <c r="J29" i="38" s="1"/>
  <c r="O13" i="37"/>
  <c r="N13" i="37"/>
  <c r="M13" i="37"/>
  <c r="L13" i="37"/>
  <c r="O12" i="37"/>
  <c r="N12" i="37"/>
  <c r="M12" i="37"/>
  <c r="L12" i="37"/>
  <c r="O8" i="37"/>
  <c r="N8" i="37"/>
  <c r="M8" i="37"/>
  <c r="L8" i="37"/>
  <c r="O7" i="37"/>
  <c r="N7" i="37"/>
  <c r="M7" i="37"/>
  <c r="L7" i="37"/>
  <c r="C19" i="35"/>
  <c r="L19" i="35" s="1"/>
  <c r="D19" i="35"/>
  <c r="E19" i="35"/>
  <c r="F19" i="35"/>
  <c r="G19" i="35"/>
  <c r="H19" i="35"/>
  <c r="I19" i="35"/>
  <c r="C20" i="35"/>
  <c r="L20" i="35" s="1"/>
  <c r="D20" i="35"/>
  <c r="E20" i="35"/>
  <c r="F20" i="35"/>
  <c r="G20" i="35"/>
  <c r="H20" i="35"/>
  <c r="I20" i="35"/>
  <c r="C21" i="35"/>
  <c r="L21" i="35" s="1"/>
  <c r="D21" i="35"/>
  <c r="E21" i="35"/>
  <c r="F21" i="35"/>
  <c r="G21" i="35"/>
  <c r="H21" i="35"/>
  <c r="I21" i="35"/>
  <c r="D18" i="35"/>
  <c r="E18" i="35"/>
  <c r="F18" i="35"/>
  <c r="G18" i="35"/>
  <c r="H18" i="35"/>
  <c r="I18" i="35"/>
  <c r="B19" i="35"/>
  <c r="B20" i="35"/>
  <c r="B21" i="35"/>
  <c r="B18" i="35"/>
  <c r="C18" i="35"/>
  <c r="L18" i="35" s="1"/>
  <c r="AM21" i="30"/>
  <c r="AC33" i="30"/>
  <c r="AC34" i="30"/>
  <c r="AL21" i="30"/>
  <c r="AM22" i="30"/>
  <c r="AM23" i="30"/>
  <c r="AM24" i="30"/>
  <c r="AM25" i="30"/>
  <c r="AM26" i="30"/>
  <c r="AM27" i="30"/>
  <c r="AM28" i="30"/>
  <c r="AM29" i="30"/>
  <c r="AM30" i="30"/>
  <c r="AM31" i="30"/>
  <c r="AM32" i="30"/>
  <c r="AL22" i="30"/>
  <c r="AL23" i="30"/>
  <c r="AL24" i="30"/>
  <c r="AL25" i="30"/>
  <c r="AL26" i="30"/>
  <c r="AL27" i="30"/>
  <c r="AL28" i="30"/>
  <c r="AL29" i="30"/>
  <c r="AL30" i="30"/>
  <c r="AL31" i="30"/>
  <c r="AL32" i="30"/>
  <c r="AJ33" i="30"/>
  <c r="AK33" i="30" s="1"/>
  <c r="AK32" i="30"/>
  <c r="AK22" i="30"/>
  <c r="AK23" i="30"/>
  <c r="AK24" i="30"/>
  <c r="AK25" i="30"/>
  <c r="AK26" i="30"/>
  <c r="AK27" i="30"/>
  <c r="AK28" i="30"/>
  <c r="AK29" i="30"/>
  <c r="AK30" i="30"/>
  <c r="AK31" i="30"/>
  <c r="AK21" i="30"/>
  <c r="AH33" i="30"/>
  <c r="AH34" i="30" s="1"/>
  <c r="AI22" i="30"/>
  <c r="AI23" i="30"/>
  <c r="AI24" i="30"/>
  <c r="AI25" i="30"/>
  <c r="AI26" i="30"/>
  <c r="AI27" i="30"/>
  <c r="AI28" i="30"/>
  <c r="AI29" i="30"/>
  <c r="AI30" i="30"/>
  <c r="AI31" i="30"/>
  <c r="AI32" i="30"/>
  <c r="AI21" i="30"/>
  <c r="AP22" i="30"/>
  <c r="AP23" i="30"/>
  <c r="AP24" i="30"/>
  <c r="AP25" i="30"/>
  <c r="AP26" i="30"/>
  <c r="AP27" i="30"/>
  <c r="AP28" i="30"/>
  <c r="AP29" i="30"/>
  <c r="AP30" i="30"/>
  <c r="AP33" i="30"/>
  <c r="AP21" i="30"/>
  <c r="AQ22" i="30"/>
  <c r="AR22" i="30"/>
  <c r="AQ23" i="30"/>
  <c r="AR23" i="30"/>
  <c r="AQ24" i="30"/>
  <c r="AR24" i="30"/>
  <c r="AQ25" i="30"/>
  <c r="AR25" i="30"/>
  <c r="AQ26" i="30"/>
  <c r="AR26" i="30"/>
  <c r="AQ27" i="30"/>
  <c r="AR27" i="30"/>
  <c r="AQ28" i="30"/>
  <c r="AR28" i="30"/>
  <c r="AQ29" i="30"/>
  <c r="AR29" i="30"/>
  <c r="AQ30" i="30"/>
  <c r="AR30" i="30"/>
  <c r="AR33" i="30"/>
  <c r="AR21" i="30"/>
  <c r="AQ21" i="30"/>
  <c r="AR43" i="38" l="1"/>
  <c r="AU43" i="38"/>
  <c r="AL18" i="38"/>
  <c r="Z18" i="38"/>
  <c r="R18" i="38"/>
  <c r="AV18" i="38"/>
  <c r="BU18" i="38"/>
  <c r="AK18" i="38"/>
  <c r="BM17" i="38"/>
  <c r="AS20" i="38"/>
  <c r="AO65" i="40"/>
  <c r="AQ33" i="30"/>
  <c r="AQ34" i="30" s="1"/>
  <c r="Z17" i="38"/>
  <c r="AT17" i="38"/>
  <c r="AT20" i="38"/>
  <c r="V39" i="38"/>
  <c r="W39" i="38" s="1"/>
  <c r="AO74" i="40"/>
  <c r="AO63" i="40"/>
  <c r="AE17" i="38"/>
  <c r="AV17" i="38"/>
  <c r="M42" i="38"/>
  <c r="BT18" i="38"/>
  <c r="BV18" i="38" s="1"/>
  <c r="BU19" i="38"/>
  <c r="U22" i="38"/>
  <c r="BA22" i="38"/>
  <c r="J40" i="38"/>
  <c r="AU44" i="38"/>
  <c r="AO71" i="40"/>
  <c r="AF17" i="38"/>
  <c r="AD19" i="38"/>
  <c r="M44" i="38"/>
  <c r="AZ23" i="38"/>
  <c r="I29" i="38"/>
  <c r="I41" i="38" s="1"/>
  <c r="AR47" i="38"/>
  <c r="O17" i="38"/>
  <c r="V17" i="38" s="1"/>
  <c r="AC17" i="38" s="1"/>
  <c r="AJ17" i="38" s="1"/>
  <c r="AG17" i="38"/>
  <c r="BA17" i="38"/>
  <c r="W18" i="38"/>
  <c r="BF18" i="38"/>
  <c r="O20" i="38"/>
  <c r="V20" i="38" s="1"/>
  <c r="AC20" i="38" s="1"/>
  <c r="AJ20" i="38" s="1"/>
  <c r="AS42" i="38"/>
  <c r="AO62" i="40"/>
  <c r="R17" i="38"/>
  <c r="AL17" i="38"/>
  <c r="BB17" i="38"/>
  <c r="BG18" i="38"/>
  <c r="AR19" i="38"/>
  <c r="X20" i="38"/>
  <c r="AF22" i="38"/>
  <c r="I34" i="38"/>
  <c r="I46" i="38" s="1"/>
  <c r="W38" i="38"/>
  <c r="AR42" i="38"/>
  <c r="AR45" i="38"/>
  <c r="AO57" i="40"/>
  <c r="U17" i="38"/>
  <c r="BH18" i="38"/>
  <c r="AG20" i="38"/>
  <c r="AG22" i="38"/>
  <c r="J24" i="38"/>
  <c r="X38" i="38"/>
  <c r="AO69" i="40"/>
  <c r="AO67" i="40"/>
  <c r="W17" i="38"/>
  <c r="AR17" i="38"/>
  <c r="AY20" i="38"/>
  <c r="AO75" i="40"/>
  <c r="AO61" i="40"/>
  <c r="L27" i="38"/>
  <c r="N21" i="38"/>
  <c r="N23" i="38"/>
  <c r="W42" i="38"/>
  <c r="Z42" i="38"/>
  <c r="X42" i="38"/>
  <c r="Y42" i="38"/>
  <c r="V62" i="38"/>
  <c r="BN23" i="38"/>
  <c r="BQ23" i="38"/>
  <c r="BT23" i="38"/>
  <c r="BP23" i="38"/>
  <c r="BO23" i="38"/>
  <c r="L47" i="38"/>
  <c r="BO17" i="38"/>
  <c r="BP17" i="38"/>
  <c r="BQ17" i="38"/>
  <c r="BN17" i="38"/>
  <c r="BT17" i="38"/>
  <c r="K43" i="38"/>
  <c r="K26" i="38"/>
  <c r="K24" i="38"/>
  <c r="N19" i="38"/>
  <c r="K27" i="38"/>
  <c r="K25" i="38"/>
  <c r="Z19" i="38"/>
  <c r="U19" i="38"/>
  <c r="V41" i="38"/>
  <c r="AF19" i="38"/>
  <c r="AN19" i="38"/>
  <c r="AS19" i="38"/>
  <c r="AG19" i="38"/>
  <c r="O19" i="38"/>
  <c r="V19" i="38" s="1"/>
  <c r="AC19" i="38" s="1"/>
  <c r="AJ19" i="38" s="1"/>
  <c r="AC41" i="38"/>
  <c r="AT19" i="38"/>
  <c r="X19" i="38"/>
  <c r="AZ19" i="38"/>
  <c r="AU19" i="38"/>
  <c r="Y19" i="38"/>
  <c r="Q19" i="38"/>
  <c r="AV19" i="38"/>
  <c r="AL19" i="38"/>
  <c r="R19" i="38"/>
  <c r="AM19" i="38"/>
  <c r="S19" i="38"/>
  <c r="I31" i="38"/>
  <c r="I43" i="38" s="1"/>
  <c r="T19" i="38"/>
  <c r="AE19" i="38"/>
  <c r="Z64" i="38"/>
  <c r="W64" i="38"/>
  <c r="X64" i="38"/>
  <c r="Y64" i="38"/>
  <c r="L46" i="38"/>
  <c r="AD39" i="38"/>
  <c r="AG39" i="38"/>
  <c r="AE39" i="38"/>
  <c r="AF39" i="38"/>
  <c r="L42" i="38"/>
  <c r="L41" i="38"/>
  <c r="L43" i="38"/>
  <c r="W23" i="38"/>
  <c r="H23" i="38"/>
  <c r="K47" i="38"/>
  <c r="K41" i="38"/>
  <c r="N17" i="38"/>
  <c r="L44" i="38"/>
  <c r="H21" i="38"/>
  <c r="W21" i="38"/>
  <c r="W25" i="38" s="1"/>
  <c r="BP20" i="38"/>
  <c r="BP25" i="38" s="1"/>
  <c r="BQ20" i="38"/>
  <c r="BT20" i="38"/>
  <c r="BN20" i="38"/>
  <c r="BN25" i="38" s="1"/>
  <c r="BO20" i="38"/>
  <c r="N22" i="38"/>
  <c r="K46" i="38"/>
  <c r="L45" i="38"/>
  <c r="P20" i="38"/>
  <c r="Q23" i="38"/>
  <c r="AU48" i="38"/>
  <c r="AY19" i="38"/>
  <c r="M25" i="38"/>
  <c r="V40" i="38"/>
  <c r="AT48" i="38"/>
  <c r="AZ17" i="38"/>
  <c r="P18" i="38"/>
  <c r="X18" i="38"/>
  <c r="AT18" i="38"/>
  <c r="BO18" i="38"/>
  <c r="BY18" i="38"/>
  <c r="BH19" i="38"/>
  <c r="BT19" i="38"/>
  <c r="N20" i="38"/>
  <c r="AF20" i="38"/>
  <c r="AR20" i="38"/>
  <c r="BA20" i="38"/>
  <c r="BM20" i="38"/>
  <c r="I21" i="38"/>
  <c r="AU46" i="38" s="1"/>
  <c r="BB23" i="38"/>
  <c r="T17" i="38"/>
  <c r="AD17" i="38"/>
  <c r="AN17" i="38"/>
  <c r="AY17" i="38"/>
  <c r="BI17" i="38"/>
  <c r="BU17" i="38"/>
  <c r="O18" i="38"/>
  <c r="V18" i="38" s="1"/>
  <c r="AC18" i="38" s="1"/>
  <c r="AJ18" i="38" s="1"/>
  <c r="AG18" i="38"/>
  <c r="AS18" i="38"/>
  <c r="BB18" i="38"/>
  <c r="BX18" i="38"/>
  <c r="BG19" i="38"/>
  <c r="U20" i="38"/>
  <c r="AE20" i="38"/>
  <c r="BO21" i="38"/>
  <c r="BY21" i="38"/>
  <c r="S22" i="38"/>
  <c r="AM22" i="38"/>
  <c r="BH22" i="38"/>
  <c r="BT22" i="38"/>
  <c r="AF23" i="38"/>
  <c r="BA23" i="38"/>
  <c r="W29" i="38"/>
  <c r="H30" i="38"/>
  <c r="S17" i="38"/>
  <c r="AM17" i="38"/>
  <c r="BH17" i="38"/>
  <c r="N18" i="38"/>
  <c r="AF18" i="38"/>
  <c r="AR18" i="38"/>
  <c r="BA18" i="38"/>
  <c r="BM18" i="38"/>
  <c r="BW18" i="38"/>
  <c r="AK19" i="38"/>
  <c r="BF19" i="38"/>
  <c r="BP19" i="38"/>
  <c r="T20" i="38"/>
  <c r="AD20" i="38"/>
  <c r="AN20" i="38"/>
  <c r="BI20" i="38"/>
  <c r="BU20" i="38"/>
  <c r="BX21" i="38"/>
  <c r="R22" i="38"/>
  <c r="Z22" i="38"/>
  <c r="AL22" i="38"/>
  <c r="AV22" i="38"/>
  <c r="BG22" i="38"/>
  <c r="BQ22" i="38"/>
  <c r="U23" i="38"/>
  <c r="AE23" i="38"/>
  <c r="J25" i="38"/>
  <c r="J27" i="38"/>
  <c r="Z39" i="38"/>
  <c r="K40" i="38"/>
  <c r="AC40" i="38"/>
  <c r="AV42" i="38"/>
  <c r="K44" i="38"/>
  <c r="AC44" i="38"/>
  <c r="AT44" i="38"/>
  <c r="V45" i="38"/>
  <c r="Y23" i="38"/>
  <c r="AU23" i="38"/>
  <c r="V59" i="38"/>
  <c r="AT23" i="38"/>
  <c r="I35" i="38"/>
  <c r="I47" i="38" s="1"/>
  <c r="AT43" i="38"/>
  <c r="U18" i="38"/>
  <c r="AE18" i="38"/>
  <c r="AZ18" i="38"/>
  <c r="P19" i="38"/>
  <c r="BO19" i="38"/>
  <c r="S20" i="38"/>
  <c r="AM20" i="38"/>
  <c r="BH20" i="38"/>
  <c r="BW21" i="38"/>
  <c r="Q22" i="38"/>
  <c r="Y22" i="38"/>
  <c r="AU22" i="38"/>
  <c r="BF22" i="38"/>
  <c r="BP22" i="38"/>
  <c r="T23" i="38"/>
  <c r="AN23" i="38"/>
  <c r="AY23" i="38"/>
  <c r="BI23" i="38"/>
  <c r="M24" i="38"/>
  <c r="BN24" i="38"/>
  <c r="M26" i="38"/>
  <c r="AC38" i="38"/>
  <c r="AU42" i="38"/>
  <c r="J44" i="38"/>
  <c r="Z44" i="38"/>
  <c r="AS44" i="38"/>
  <c r="M45" i="38"/>
  <c r="AV45" i="38"/>
  <c r="M47" i="38"/>
  <c r="AV47" i="38"/>
  <c r="Q17" i="38"/>
  <c r="Y17" i="38"/>
  <c r="AK17" i="38"/>
  <c r="AU17" i="38"/>
  <c r="T18" i="38"/>
  <c r="AD18" i="38"/>
  <c r="AN18" i="38"/>
  <c r="AY18" i="38"/>
  <c r="BB19" i="38"/>
  <c r="BN19" i="38"/>
  <c r="BN29" i="38" s="1"/>
  <c r="R20" i="38"/>
  <c r="Z20" i="38"/>
  <c r="AL20" i="38"/>
  <c r="AV20" i="38"/>
  <c r="BG20" i="38"/>
  <c r="H22" i="38"/>
  <c r="X22" i="38"/>
  <c r="AT22" i="38"/>
  <c r="BO22" i="38"/>
  <c r="S23" i="38"/>
  <c r="AM23" i="38"/>
  <c r="BH23" i="38"/>
  <c r="L24" i="38"/>
  <c r="L26" i="38"/>
  <c r="L28" i="38"/>
  <c r="H29" i="38"/>
  <c r="I32" i="38"/>
  <c r="I44" i="38" s="1"/>
  <c r="X39" i="38"/>
  <c r="I40" i="38"/>
  <c r="AC42" i="38"/>
  <c r="AT42" i="38"/>
  <c r="Y44" i="38"/>
  <c r="AR44" i="38"/>
  <c r="AU45" i="38"/>
  <c r="AU47" i="38"/>
  <c r="Y18" i="38"/>
  <c r="AZ22" i="38"/>
  <c r="X23" i="38"/>
  <c r="S18" i="38"/>
  <c r="AM18" i="38"/>
  <c r="BA19" i="38"/>
  <c r="Q20" i="38"/>
  <c r="Y20" i="38"/>
  <c r="AK20" i="38"/>
  <c r="AU20" i="38"/>
  <c r="BF20" i="38"/>
  <c r="BB22" i="38"/>
  <c r="R23" i="38"/>
  <c r="Z23" i="38"/>
  <c r="AL23" i="38"/>
  <c r="AV23" i="38"/>
  <c r="BG23" i="38"/>
  <c r="Y38" i="38"/>
  <c r="M43" i="38"/>
  <c r="AV43" i="38"/>
  <c r="X44" i="38"/>
  <c r="AC45" i="38"/>
  <c r="AT45" i="38"/>
  <c r="AT47" i="38"/>
  <c r="AV48" i="38"/>
  <c r="T22" i="38"/>
  <c r="AN22" i="38"/>
  <c r="O23" i="38"/>
  <c r="V23" i="38" s="1"/>
  <c r="AC23" i="38" s="1"/>
  <c r="AG23" i="38"/>
  <c r="AS23" i="38"/>
  <c r="L25" i="38"/>
  <c r="I30" i="38"/>
  <c r="I42" i="38" s="1"/>
  <c r="AF38" i="38"/>
  <c r="J43" i="38"/>
  <c r="AS43" i="38"/>
  <c r="AV44" i="38"/>
  <c r="AS48" i="38"/>
  <c r="BF23" i="38"/>
  <c r="Q18" i="38"/>
  <c r="AU18" i="38"/>
  <c r="AZ20" i="38"/>
  <c r="M41" i="38"/>
  <c r="AI33" i="30"/>
  <c r="AI34" i="30" s="1"/>
  <c r="H17" i="10"/>
  <c r="G19" i="10"/>
  <c r="W19" i="10" s="1"/>
  <c r="G18" i="10"/>
  <c r="W18" i="10" s="1"/>
  <c r="G17" i="10"/>
  <c r="BU17" i="10" l="1"/>
  <c r="P17" i="10"/>
  <c r="AV46" i="38"/>
  <c r="AS46" i="38"/>
  <c r="BB21" i="38"/>
  <c r="AR46" i="38"/>
  <c r="AR50" i="38" s="1"/>
  <c r="BO29" i="38"/>
  <c r="H19" i="10"/>
  <c r="AT46" i="38"/>
  <c r="AT50" i="38" s="1"/>
  <c r="AS50" i="38"/>
  <c r="Y39" i="38"/>
  <c r="BO28" i="38"/>
  <c r="BB28" i="38"/>
  <c r="BU19" i="10"/>
  <c r="H31" i="10"/>
  <c r="P19" i="10"/>
  <c r="AD19" i="10"/>
  <c r="AK19" i="10"/>
  <c r="AR19" i="10"/>
  <c r="H18" i="10"/>
  <c r="BM19" i="10"/>
  <c r="H29" i="10"/>
  <c r="AK17" i="10"/>
  <c r="AR17" i="10"/>
  <c r="W17" i="10"/>
  <c r="BM17" i="10"/>
  <c r="AD17" i="10"/>
  <c r="Z28" i="38"/>
  <c r="AD40" i="38"/>
  <c r="AE40" i="38"/>
  <c r="AF40" i="38"/>
  <c r="AG40" i="38"/>
  <c r="BQ24" i="38"/>
  <c r="BJ24" i="38"/>
  <c r="AH24" i="38"/>
  <c r="BC24" i="38"/>
  <c r="AA24" i="38"/>
  <c r="AG45" i="38"/>
  <c r="AD45" i="38"/>
  <c r="AE45" i="38"/>
  <c r="AF45" i="38"/>
  <c r="BU21" i="38"/>
  <c r="AD21" i="38"/>
  <c r="AD24" i="38" s="1"/>
  <c r="H33" i="38"/>
  <c r="BM21" i="38"/>
  <c r="BM24" i="38" s="1"/>
  <c r="AR21" i="38"/>
  <c r="AR25" i="38" s="1"/>
  <c r="P21" i="38"/>
  <c r="AK21" i="38"/>
  <c r="BO25" i="38"/>
  <c r="W24" i="38"/>
  <c r="BM29" i="38"/>
  <c r="BW19" i="38"/>
  <c r="BX19" i="38"/>
  <c r="BY19" i="38"/>
  <c r="BV19" i="38"/>
  <c r="W41" i="38"/>
  <c r="Y41" i="38"/>
  <c r="V61" i="38"/>
  <c r="Z41" i="38"/>
  <c r="X41" i="38"/>
  <c r="AR23" i="38"/>
  <c r="P23" i="38"/>
  <c r="H35" i="38"/>
  <c r="BU23" i="38"/>
  <c r="AD23" i="38"/>
  <c r="AJ23" i="38" s="1"/>
  <c r="BM23" i="38"/>
  <c r="AK23" i="38"/>
  <c r="BP29" i="38"/>
  <c r="BP28" i="38"/>
  <c r="X62" i="38"/>
  <c r="Y62" i="38"/>
  <c r="Z62" i="38"/>
  <c r="W62" i="38"/>
  <c r="AF42" i="38"/>
  <c r="AG42" i="38"/>
  <c r="AD42" i="38"/>
  <c r="AE42" i="38"/>
  <c r="BU24" i="38"/>
  <c r="BM25" i="38"/>
  <c r="W28" i="38"/>
  <c r="AS51" i="38"/>
  <c r="BW22" i="38"/>
  <c r="BX22" i="38"/>
  <c r="BY22" i="38"/>
  <c r="BV22" i="38"/>
  <c r="AR22" i="38"/>
  <c r="BU22" i="38"/>
  <c r="BU28" i="38" s="1"/>
  <c r="AD22" i="38"/>
  <c r="P22" i="38"/>
  <c r="AK22" i="38"/>
  <c r="H34" i="38"/>
  <c r="BM22" i="38"/>
  <c r="AD44" i="38"/>
  <c r="AG44" i="38"/>
  <c r="AE44" i="38"/>
  <c r="AF44" i="38"/>
  <c r="W45" i="38"/>
  <c r="V65" i="38"/>
  <c r="X45" i="38"/>
  <c r="Y45" i="38"/>
  <c r="Z45" i="38"/>
  <c r="AT21" i="38"/>
  <c r="X21" i="38"/>
  <c r="X28" i="38" s="1"/>
  <c r="AL21" i="38"/>
  <c r="AL28" i="38" s="1"/>
  <c r="S21" i="38"/>
  <c r="S28" i="38" s="1"/>
  <c r="I33" i="38"/>
  <c r="I45" i="38" s="1"/>
  <c r="BI21" i="38"/>
  <c r="BI24" i="38" s="1"/>
  <c r="AY21" i="38"/>
  <c r="AY29" i="38" s="1"/>
  <c r="AN21" i="38"/>
  <c r="AN29" i="38" s="1"/>
  <c r="T21" i="38"/>
  <c r="T29" i="38" s="1"/>
  <c r="BG21" i="38"/>
  <c r="BG28" i="38" s="1"/>
  <c r="Z21" i="38"/>
  <c r="Z24" i="38" s="1"/>
  <c r="V43" i="38"/>
  <c r="AE21" i="38"/>
  <c r="AE28" i="38" s="1"/>
  <c r="U21" i="38"/>
  <c r="U29" i="38" s="1"/>
  <c r="BA21" i="38"/>
  <c r="BA28" i="38" s="1"/>
  <c r="AF21" i="38"/>
  <c r="AF24" i="38" s="1"/>
  <c r="AS21" i="38"/>
  <c r="AG21" i="38"/>
  <c r="AG29" i="38" s="1"/>
  <c r="O21" i="38"/>
  <c r="V21" i="38" s="1"/>
  <c r="AC21" i="38" s="1"/>
  <c r="AJ21" i="38" s="1"/>
  <c r="BF21" i="38"/>
  <c r="BF29" i="38" s="1"/>
  <c r="AU21" i="38"/>
  <c r="AU24" i="38" s="1"/>
  <c r="Y21" i="38"/>
  <c r="Y24" i="38" s="1"/>
  <c r="Q21" i="38"/>
  <c r="Q29" i="38" s="1"/>
  <c r="AC43" i="38"/>
  <c r="AV21" i="38"/>
  <c r="AV29" i="38" s="1"/>
  <c r="R21" i="38"/>
  <c r="BH21" i="38"/>
  <c r="BH24" i="38" s="1"/>
  <c r="AM21" i="38"/>
  <c r="AM28" i="38" s="1"/>
  <c r="V60" i="38"/>
  <c r="X40" i="38"/>
  <c r="Y40" i="38"/>
  <c r="Z40" i="38"/>
  <c r="W40" i="38"/>
  <c r="BX20" i="38"/>
  <c r="BY20" i="38"/>
  <c r="BY24" i="38" s="1"/>
  <c r="BV20" i="38"/>
  <c r="BW20" i="38"/>
  <c r="AE41" i="38"/>
  <c r="AF41" i="38"/>
  <c r="AD41" i="38"/>
  <c r="AG41" i="38"/>
  <c r="AR24" i="38"/>
  <c r="Z29" i="38"/>
  <c r="AT51" i="38"/>
  <c r="BB29" i="38"/>
  <c r="AZ21" i="38"/>
  <c r="AZ28" i="38" s="1"/>
  <c r="BN28" i="38"/>
  <c r="BI25" i="38"/>
  <c r="BI29" i="38"/>
  <c r="W59" i="38"/>
  <c r="X59" i="38"/>
  <c r="Y59" i="38"/>
  <c r="Z59" i="38"/>
  <c r="AV50" i="38"/>
  <c r="AV51" i="38"/>
  <c r="BQ28" i="38"/>
  <c r="BQ29" i="38"/>
  <c r="BW17" i="38"/>
  <c r="BY17" i="38"/>
  <c r="BV17" i="38"/>
  <c r="BX17" i="38"/>
  <c r="BW23" i="38"/>
  <c r="BX23" i="38"/>
  <c r="BY23" i="38"/>
  <c r="BV23" i="38"/>
  <c r="AU29" i="38"/>
  <c r="AR51" i="38"/>
  <c r="BO24" i="38"/>
  <c r="Q25" i="38"/>
  <c r="AU51" i="38"/>
  <c r="BU25" i="38"/>
  <c r="BP24" i="38"/>
  <c r="Y28" i="38"/>
  <c r="AU50" i="38"/>
  <c r="AQ48" i="10"/>
  <c r="AQ47" i="10"/>
  <c r="AQ46" i="10"/>
  <c r="AQ45" i="10"/>
  <c r="AQ44" i="10"/>
  <c r="AQ43" i="10"/>
  <c r="AQ42" i="10"/>
  <c r="BX10" i="30"/>
  <c r="BY10" i="30"/>
  <c r="BZ10" i="30"/>
  <c r="BX11" i="30"/>
  <c r="BY11" i="30"/>
  <c r="BZ11" i="30"/>
  <c r="BW11" i="30"/>
  <c r="BW10" i="30"/>
  <c r="BX5" i="30"/>
  <c r="BY5" i="30"/>
  <c r="BZ5" i="30"/>
  <c r="BX6" i="30"/>
  <c r="BY6" i="30"/>
  <c r="BZ6" i="30"/>
  <c r="BW6" i="30"/>
  <c r="BW5" i="30"/>
  <c r="BT16" i="10"/>
  <c r="AR28" i="38" l="1"/>
  <c r="AR29" i="38"/>
  <c r="AL29" i="38"/>
  <c r="AD29" i="38"/>
  <c r="BU29" i="38"/>
  <c r="BA25" i="38"/>
  <c r="BB25" i="38"/>
  <c r="BB24" i="38"/>
  <c r="AE24" i="38"/>
  <c r="BY28" i="38"/>
  <c r="BG25" i="38"/>
  <c r="BY29" i="38"/>
  <c r="AU25" i="38"/>
  <c r="Z25" i="38"/>
  <c r="AN28" i="38"/>
  <c r="AU52" i="38"/>
  <c r="AK29" i="38"/>
  <c r="BA29" i="38"/>
  <c r="P18" i="10"/>
  <c r="AR18" i="10"/>
  <c r="BU18" i="10"/>
  <c r="AD18" i="10"/>
  <c r="H30" i="10"/>
  <c r="AK18" i="10"/>
  <c r="BM18" i="10"/>
  <c r="AS25" i="38"/>
  <c r="AS24" i="38"/>
  <c r="BV24" i="38"/>
  <c r="BV25" i="38"/>
  <c r="Y43" i="38"/>
  <c r="Y48" i="38" s="1"/>
  <c r="Z43" i="38"/>
  <c r="Z48" i="38" s="1"/>
  <c r="W43" i="38"/>
  <c r="V63" i="38"/>
  <c r="X43" i="38"/>
  <c r="X48" i="38" s="1"/>
  <c r="AA28" i="38"/>
  <c r="AS28" i="38"/>
  <c r="S29" i="38"/>
  <c r="BF28" i="38"/>
  <c r="AK28" i="38"/>
  <c r="Q28" i="38"/>
  <c r="BW25" i="38"/>
  <c r="BW24" i="38"/>
  <c r="W60" i="38"/>
  <c r="Z60" i="38"/>
  <c r="X60" i="38"/>
  <c r="Y60" i="38"/>
  <c r="Y65" i="38"/>
  <c r="Z65" i="38"/>
  <c r="W65" i="38"/>
  <c r="X65" i="38"/>
  <c r="Y61" i="38"/>
  <c r="Z61" i="38"/>
  <c r="W61" i="38"/>
  <c r="X61" i="38"/>
  <c r="P29" i="38"/>
  <c r="P24" i="38"/>
  <c r="P28" i="38"/>
  <c r="AV28" i="38"/>
  <c r="T28" i="38"/>
  <c r="BI28" i="38"/>
  <c r="Y29" i="38"/>
  <c r="AE25" i="38"/>
  <c r="BG29" i="38"/>
  <c r="Y25" i="38"/>
  <c r="X47" i="38"/>
  <c r="BF24" i="38"/>
  <c r="BG24" i="38"/>
  <c r="AU28" i="38"/>
  <c r="AY24" i="38"/>
  <c r="AY25" i="38"/>
  <c r="S24" i="38"/>
  <c r="AV24" i="38"/>
  <c r="X29" i="38"/>
  <c r="AS29" i="38"/>
  <c r="BV29" i="38"/>
  <c r="BV28" i="38"/>
  <c r="W47" i="38"/>
  <c r="W48" i="38"/>
  <c r="AT25" i="38"/>
  <c r="AT24" i="38"/>
  <c r="BW28" i="38"/>
  <c r="BW29" i="38"/>
  <c r="AD43" i="38"/>
  <c r="AD48" i="38" s="1"/>
  <c r="AE43" i="38"/>
  <c r="AE48" i="38" s="1"/>
  <c r="AF43" i="38"/>
  <c r="AF47" i="38" s="1"/>
  <c r="AG43" i="38"/>
  <c r="AG47" i="38" s="1"/>
  <c r="AF25" i="38"/>
  <c r="AF28" i="38"/>
  <c r="AZ24" i="38"/>
  <c r="AT28" i="38"/>
  <c r="BM31" i="38"/>
  <c r="U28" i="38"/>
  <c r="U30" i="38" s="1"/>
  <c r="BF25" i="38"/>
  <c r="AD28" i="38"/>
  <c r="AZ29" i="38"/>
  <c r="BC29" i="38" s="1"/>
  <c r="AU53" i="38"/>
  <c r="S25" i="38"/>
  <c r="AM29" i="38"/>
  <c r="AY28" i="38"/>
  <c r="BC28" i="38" s="1"/>
  <c r="AD25" i="38"/>
  <c r="AZ25" i="38"/>
  <c r="T24" i="38"/>
  <c r="AE29" i="38"/>
  <c r="AH29" i="38" s="1"/>
  <c r="AF29" i="38"/>
  <c r="BA24" i="38"/>
  <c r="Q24" i="38"/>
  <c r="BX28" i="38"/>
  <c r="BX29" i="38"/>
  <c r="BX24" i="38"/>
  <c r="BX25" i="38"/>
  <c r="R25" i="38"/>
  <c r="R29" i="38"/>
  <c r="AG25" i="38"/>
  <c r="AG24" i="38"/>
  <c r="AG28" i="38"/>
  <c r="X24" i="38"/>
  <c r="X25" i="38"/>
  <c r="BH25" i="38"/>
  <c r="BH28" i="38"/>
  <c r="BH29" i="38"/>
  <c r="R28" i="38"/>
  <c r="P25" i="38"/>
  <c r="AE47" i="38"/>
  <c r="BM28" i="38"/>
  <c r="BM30" i="38" s="1"/>
  <c r="AT29" i="38"/>
  <c r="R24" i="38"/>
  <c r="BJ29" i="38" l="1"/>
  <c r="AO28" i="38"/>
  <c r="Y47" i="38"/>
  <c r="AO29" i="38"/>
  <c r="Z47" i="38"/>
  <c r="AU30" i="38"/>
  <c r="AF48" i="38"/>
  <c r="AG48" i="38"/>
  <c r="BU30" i="38"/>
  <c r="AU31" i="38"/>
  <c r="BU31" i="38"/>
  <c r="X70" i="38"/>
  <c r="Y70" i="38"/>
  <c r="W63" i="38"/>
  <c r="Z63" i="38"/>
  <c r="Z69" i="38" s="1"/>
  <c r="X63" i="38"/>
  <c r="Y63" i="38"/>
  <c r="AA47" i="38"/>
  <c r="BJ28" i="38"/>
  <c r="Y69" i="38"/>
  <c r="P31" i="38"/>
  <c r="AD47" i="38"/>
  <c r="AH47" i="38" s="1"/>
  <c r="AH28" i="38"/>
  <c r="AA29" i="38"/>
  <c r="P30" i="38"/>
  <c r="AS33" i="21"/>
  <c r="AS35" i="21" s="1"/>
  <c r="AS36" i="21" s="1"/>
  <c r="BH23" i="30"/>
  <c r="BI23" i="30"/>
  <c r="BJ23" i="30"/>
  <c r="BH24" i="30"/>
  <c r="BI24" i="30"/>
  <c r="BJ24" i="30"/>
  <c r="BH25" i="30"/>
  <c r="BI25" i="30"/>
  <c r="BJ25" i="30"/>
  <c r="BH26" i="30"/>
  <c r="BI26" i="30"/>
  <c r="BJ26" i="30"/>
  <c r="BG24" i="30"/>
  <c r="BG25" i="30"/>
  <c r="BG26" i="30"/>
  <c r="BG23" i="30"/>
  <c r="BH16" i="30"/>
  <c r="BI16" i="30"/>
  <c r="BJ16" i="30"/>
  <c r="BH17" i="30"/>
  <c r="BI17" i="30"/>
  <c r="BJ17" i="30"/>
  <c r="BH18" i="30"/>
  <c r="BI18" i="30"/>
  <c r="BJ18" i="30"/>
  <c r="BH19" i="30"/>
  <c r="BI19" i="30"/>
  <c r="BJ19" i="30"/>
  <c r="BG17" i="30"/>
  <c r="BG18" i="30"/>
  <c r="BG19" i="30"/>
  <c r="BG16" i="30"/>
  <c r="BH10" i="30"/>
  <c r="BI10" i="30"/>
  <c r="BJ10" i="30"/>
  <c r="BH11" i="30"/>
  <c r="BI11" i="30"/>
  <c r="BJ11" i="30"/>
  <c r="BH12" i="30"/>
  <c r="BI12" i="30"/>
  <c r="BJ12" i="30"/>
  <c r="BG11" i="30"/>
  <c r="BG12" i="30"/>
  <c r="BG10" i="30"/>
  <c r="BH5" i="30"/>
  <c r="BI5" i="30"/>
  <c r="BJ5" i="30"/>
  <c r="BH6" i="30"/>
  <c r="BI6" i="30"/>
  <c r="BJ6" i="30"/>
  <c r="BG6" i="30"/>
  <c r="BG5" i="30"/>
  <c r="AT27" i="21"/>
  <c r="AS23" i="21"/>
  <c r="AT23" i="21" s="1"/>
  <c r="AS24" i="21"/>
  <c r="AT24" i="21" s="1"/>
  <c r="AS25" i="21"/>
  <c r="AT25" i="21" s="1"/>
  <c r="AS26" i="21"/>
  <c r="AT26" i="21" s="1"/>
  <c r="AS27" i="21"/>
  <c r="AS28" i="21"/>
  <c r="AT28" i="21" s="1"/>
  <c r="AS29" i="21"/>
  <c r="AT29" i="21" s="1"/>
  <c r="AS22" i="21"/>
  <c r="AT22" i="21" s="1"/>
  <c r="W66" i="38" l="1"/>
  <c r="W67" i="38"/>
  <c r="W69" i="38"/>
  <c r="W70" i="38"/>
  <c r="Z67" i="38"/>
  <c r="Z66" i="38"/>
  <c r="Z70" i="38"/>
  <c r="X66" i="38"/>
  <c r="X69" i="38"/>
  <c r="X67" i="38"/>
  <c r="Y66" i="38"/>
  <c r="Y67" i="38"/>
  <c r="E52" i="9"/>
  <c r="E53" i="9"/>
  <c r="E54" i="9"/>
  <c r="E55" i="9"/>
  <c r="E56" i="9"/>
  <c r="E57" i="9"/>
  <c r="E58" i="9"/>
  <c r="A54" i="9"/>
  <c r="A52" i="9"/>
  <c r="A53" i="9"/>
  <c r="AE16" i="10"/>
  <c r="AF16" i="10"/>
  <c r="AG16" i="10"/>
  <c r="AD16" i="10"/>
  <c r="I7" i="10"/>
  <c r="G32" i="10"/>
  <c r="I48" i="27"/>
  <c r="L40" i="27"/>
  <c r="V33" i="27"/>
  <c r="U33" i="27"/>
  <c r="G33" i="27"/>
  <c r="D33" i="27"/>
  <c r="A33" i="27"/>
  <c r="B33" i="27" s="1"/>
  <c r="G32" i="27"/>
  <c r="D32" i="27"/>
  <c r="A32" i="27"/>
  <c r="B32" i="27" s="1"/>
  <c r="G31" i="27"/>
  <c r="D31" i="27"/>
  <c r="A31" i="27"/>
  <c r="B31" i="27" s="1"/>
  <c r="G30" i="27"/>
  <c r="D30" i="27"/>
  <c r="B30" i="27"/>
  <c r="G29" i="27"/>
  <c r="D29" i="27"/>
  <c r="B29" i="27"/>
  <c r="G28" i="27"/>
  <c r="D28" i="27"/>
  <c r="B28" i="27"/>
  <c r="G27" i="27"/>
  <c r="D27" i="27"/>
  <c r="B27" i="27"/>
  <c r="BK21" i="27"/>
  <c r="BD21" i="27"/>
  <c r="AW21" i="27"/>
  <c r="AP21" i="27"/>
  <c r="AY21" i="27" s="1"/>
  <c r="L21" i="27"/>
  <c r="L42" i="27" s="1"/>
  <c r="E21" i="27"/>
  <c r="K21" i="27" s="1"/>
  <c r="D21" i="27"/>
  <c r="J21" i="27" s="1"/>
  <c r="C21" i="27"/>
  <c r="I21" i="27" s="1"/>
  <c r="B21" i="27"/>
  <c r="H21" i="27" s="1"/>
  <c r="BK20" i="27"/>
  <c r="BD20" i="27"/>
  <c r="AW20" i="27"/>
  <c r="AP20" i="27"/>
  <c r="L20" i="27"/>
  <c r="L41" i="27" s="1"/>
  <c r="E20" i="27"/>
  <c r="K20" i="27" s="1"/>
  <c r="D20" i="27"/>
  <c r="J20" i="27" s="1"/>
  <c r="C20" i="27"/>
  <c r="I20" i="27" s="1"/>
  <c r="B20" i="27"/>
  <c r="H20" i="27" s="1"/>
  <c r="BK19" i="27"/>
  <c r="BD19" i="27"/>
  <c r="AY19" i="27"/>
  <c r="AW19" i="27"/>
  <c r="AP19" i="27"/>
  <c r="L19" i="27"/>
  <c r="H19" i="27"/>
  <c r="AD19" i="27" s="1"/>
  <c r="E19" i="27"/>
  <c r="K19" i="27" s="1"/>
  <c r="D19" i="27"/>
  <c r="J19" i="27" s="1"/>
  <c r="C19" i="27"/>
  <c r="I19" i="27" s="1"/>
  <c r="B19" i="27"/>
  <c r="BK18" i="27"/>
  <c r="BD18" i="27"/>
  <c r="AW18" i="27"/>
  <c r="AP18" i="27"/>
  <c r="L18" i="27"/>
  <c r="E18" i="27"/>
  <c r="K18" i="27" s="1"/>
  <c r="D18" i="27"/>
  <c r="J18" i="27" s="1"/>
  <c r="C18" i="27"/>
  <c r="I18" i="27" s="1"/>
  <c r="B18" i="27"/>
  <c r="H18" i="27" s="1"/>
  <c r="BO17" i="27"/>
  <c r="BK17" i="27"/>
  <c r="BD17" i="27"/>
  <c r="AW17" i="27"/>
  <c r="AP17" i="27"/>
  <c r="BF17" i="27" s="1"/>
  <c r="L17" i="27"/>
  <c r="L38" i="27" s="1"/>
  <c r="E17" i="27"/>
  <c r="K17" i="27" s="1"/>
  <c r="D17" i="27"/>
  <c r="J17" i="27" s="1"/>
  <c r="C17" i="27"/>
  <c r="I17" i="27" s="1"/>
  <c r="B17" i="27"/>
  <c r="H17" i="27" s="1"/>
  <c r="BM16" i="27"/>
  <c r="BK16" i="27"/>
  <c r="BG16" i="27"/>
  <c r="BF16" i="27"/>
  <c r="BE16" i="27"/>
  <c r="BD16" i="27"/>
  <c r="AW16" i="27"/>
  <c r="AP16" i="27"/>
  <c r="BH16" i="27" s="1"/>
  <c r="L16" i="27"/>
  <c r="L37" i="27" s="1"/>
  <c r="E16" i="27"/>
  <c r="K16" i="27" s="1"/>
  <c r="D16" i="27"/>
  <c r="J16" i="27" s="1"/>
  <c r="C16" i="27"/>
  <c r="I16" i="27" s="1"/>
  <c r="B16" i="27"/>
  <c r="H16" i="27" s="1"/>
  <c r="BO15" i="27"/>
  <c r="BK15" i="27"/>
  <c r="BH15" i="27"/>
  <c r="BG15" i="27"/>
  <c r="BF15" i="27"/>
  <c r="BE15" i="27"/>
  <c r="BD15" i="27"/>
  <c r="AW15" i="27"/>
  <c r="AP15" i="27"/>
  <c r="BL15" i="27" s="1"/>
  <c r="AC15" i="27"/>
  <c r="R15" i="27"/>
  <c r="L15" i="27"/>
  <c r="L36" i="27" s="1"/>
  <c r="H15" i="27"/>
  <c r="AD15" i="27" s="1"/>
  <c r="E15" i="27"/>
  <c r="K15" i="27" s="1"/>
  <c r="D15" i="27"/>
  <c r="J15" i="27" s="1"/>
  <c r="C15" i="27"/>
  <c r="I15" i="27" s="1"/>
  <c r="I36" i="27" s="1"/>
  <c r="B15" i="27"/>
  <c r="P14" i="27"/>
  <c r="W14" i="27" s="1"/>
  <c r="AD14" i="27" s="1"/>
  <c r="AK14" i="27" s="1"/>
  <c r="O14" i="27"/>
  <c r="V14" i="27" s="1"/>
  <c r="AC14" i="27" s="1"/>
  <c r="AJ14" i="27" s="1"/>
  <c r="N14" i="27"/>
  <c r="U14" i="27" s="1"/>
  <c r="AB14" i="27" s="1"/>
  <c r="AI14" i="27" s="1"/>
  <c r="L14" i="27"/>
  <c r="Y33" i="27" s="1"/>
  <c r="K14" i="27"/>
  <c r="Q14" i="27" s="1"/>
  <c r="X14" i="27" s="1"/>
  <c r="AE14" i="27" s="1"/>
  <c r="AL14" i="27" s="1"/>
  <c r="J14" i="27"/>
  <c r="J23" i="27" s="1"/>
  <c r="I14" i="27"/>
  <c r="I23" i="27" s="1"/>
  <c r="H14" i="27"/>
  <c r="H35" i="27" s="1"/>
  <c r="L11" i="27"/>
  <c r="M11" i="27" s="1"/>
  <c r="K30" i="27" s="1"/>
  <c r="K11" i="27"/>
  <c r="J30" i="27" s="1"/>
  <c r="J11" i="27"/>
  <c r="H11" i="27"/>
  <c r="I11" i="27" s="1"/>
  <c r="I30" i="27" s="1"/>
  <c r="AM10" i="27"/>
  <c r="AL10" i="27"/>
  <c r="AK10" i="27"/>
  <c r="AJ10" i="27"/>
  <c r="M10" i="27"/>
  <c r="K29" i="27" s="1"/>
  <c r="L10" i="27"/>
  <c r="J10" i="27"/>
  <c r="K10" i="27" s="1"/>
  <c r="J29" i="27" s="1"/>
  <c r="H10" i="27"/>
  <c r="I10" i="27" s="1"/>
  <c r="I29" i="27" s="1"/>
  <c r="L9" i="27"/>
  <c r="M9" i="27" s="1"/>
  <c r="K28" i="27" s="1"/>
  <c r="K9" i="27"/>
  <c r="J28" i="27" s="1"/>
  <c r="J9" i="27"/>
  <c r="I9" i="27"/>
  <c r="I28" i="27" s="1"/>
  <c r="H9" i="27"/>
  <c r="AM8" i="27"/>
  <c r="AM20" i="27" s="1"/>
  <c r="AL8" i="27"/>
  <c r="AL20" i="27" s="1"/>
  <c r="AK8" i="27"/>
  <c r="AJ8" i="27"/>
  <c r="M8" i="27"/>
  <c r="K27" i="27" s="1"/>
  <c r="L8" i="27"/>
  <c r="K8" i="27"/>
  <c r="J27" i="27" s="1"/>
  <c r="J8" i="27"/>
  <c r="H8" i="27"/>
  <c r="I8" i="27" s="1"/>
  <c r="I27" i="27" s="1"/>
  <c r="M7" i="27"/>
  <c r="K26" i="27" s="1"/>
  <c r="L7" i="27"/>
  <c r="J7" i="27"/>
  <c r="K7" i="27" s="1"/>
  <c r="J26" i="27" s="1"/>
  <c r="I7" i="27"/>
  <c r="I26" i="27" s="1"/>
  <c r="H7" i="27"/>
  <c r="L6" i="27"/>
  <c r="M6" i="27" s="1"/>
  <c r="K25" i="27" s="1"/>
  <c r="K6" i="27"/>
  <c r="J25" i="27" s="1"/>
  <c r="J6" i="27"/>
  <c r="H6" i="27"/>
  <c r="I6" i="27" s="1"/>
  <c r="I25" i="27" s="1"/>
  <c r="M5" i="27"/>
  <c r="K24" i="27" s="1"/>
  <c r="L5" i="27"/>
  <c r="J5" i="27"/>
  <c r="K5" i="27" s="1"/>
  <c r="J24" i="27" s="1"/>
  <c r="H5" i="27"/>
  <c r="I5" i="27" s="1"/>
  <c r="I24" i="27" s="1"/>
  <c r="AL96" i="24"/>
  <c r="AJ96" i="24"/>
  <c r="AG96" i="24"/>
  <c r="AE96" i="24"/>
  <c r="AB96" i="24"/>
  <c r="Z96" i="24"/>
  <c r="W96" i="24"/>
  <c r="U96" i="24"/>
  <c r="R96" i="24"/>
  <c r="P96" i="24"/>
  <c r="M96" i="24"/>
  <c r="K96" i="24"/>
  <c r="H96" i="24"/>
  <c r="F96" i="24"/>
  <c r="AL95" i="24"/>
  <c r="AJ95" i="24"/>
  <c r="AG95" i="24"/>
  <c r="AE95" i="24"/>
  <c r="AB95" i="24"/>
  <c r="Z95" i="24"/>
  <c r="W95" i="24"/>
  <c r="U95" i="24"/>
  <c r="R95" i="24"/>
  <c r="P95" i="24"/>
  <c r="M95" i="24"/>
  <c r="K95" i="24"/>
  <c r="H95" i="24"/>
  <c r="F95" i="24"/>
  <c r="AL94" i="24"/>
  <c r="AJ94" i="24"/>
  <c r="AG94" i="24"/>
  <c r="AE94" i="24"/>
  <c r="AB94" i="24"/>
  <c r="Z94" i="24"/>
  <c r="W94" i="24"/>
  <c r="U94" i="24"/>
  <c r="R94" i="24"/>
  <c r="P94" i="24"/>
  <c r="M94" i="24"/>
  <c r="K94" i="24"/>
  <c r="H94" i="24"/>
  <c r="F94" i="24"/>
  <c r="AL93" i="24"/>
  <c r="AJ93" i="24"/>
  <c r="AG93" i="24"/>
  <c r="AE93" i="24"/>
  <c r="AB93" i="24"/>
  <c r="Z93" i="24"/>
  <c r="W93" i="24"/>
  <c r="U93" i="24"/>
  <c r="R93" i="24"/>
  <c r="P93" i="24"/>
  <c r="M93" i="24"/>
  <c r="K93" i="24"/>
  <c r="H93" i="24"/>
  <c r="F93" i="24"/>
  <c r="AL92" i="24"/>
  <c r="AJ92" i="24"/>
  <c r="AG92" i="24"/>
  <c r="AE92" i="24"/>
  <c r="AB92" i="24"/>
  <c r="Z92" i="24"/>
  <c r="W92" i="24"/>
  <c r="U92" i="24"/>
  <c r="R92" i="24"/>
  <c r="P92" i="24"/>
  <c r="M92" i="24"/>
  <c r="K92" i="24"/>
  <c r="H92" i="24"/>
  <c r="F92" i="24"/>
  <c r="AL91" i="24"/>
  <c r="AJ91" i="24"/>
  <c r="AG91" i="24"/>
  <c r="AE91" i="24"/>
  <c r="AB91" i="24"/>
  <c r="Z91" i="24"/>
  <c r="W91" i="24"/>
  <c r="U91" i="24"/>
  <c r="R91" i="24"/>
  <c r="P91" i="24"/>
  <c r="M91" i="24"/>
  <c r="K91" i="24"/>
  <c r="H91" i="24"/>
  <c r="F91" i="24"/>
  <c r="AL90" i="24"/>
  <c r="AJ90" i="24"/>
  <c r="AG90" i="24"/>
  <c r="AE90" i="24"/>
  <c r="AB90" i="24"/>
  <c r="Z90" i="24"/>
  <c r="W90" i="24"/>
  <c r="U90" i="24"/>
  <c r="R90" i="24"/>
  <c r="P90" i="24"/>
  <c r="M90" i="24"/>
  <c r="K90" i="24"/>
  <c r="H90" i="24"/>
  <c r="F90" i="24"/>
  <c r="AL89" i="24"/>
  <c r="AJ89" i="24"/>
  <c r="AG89" i="24"/>
  <c r="AE89" i="24"/>
  <c r="AB89" i="24"/>
  <c r="Z89" i="24"/>
  <c r="W89" i="24"/>
  <c r="U89" i="24"/>
  <c r="R89" i="24"/>
  <c r="P89" i="24"/>
  <c r="M89" i="24"/>
  <c r="K89" i="24"/>
  <c r="H89" i="24"/>
  <c r="F89" i="24"/>
  <c r="AL88" i="24"/>
  <c r="AJ88" i="24"/>
  <c r="AG88" i="24"/>
  <c r="AE88" i="24"/>
  <c r="AB88" i="24"/>
  <c r="Z88" i="24"/>
  <c r="W88" i="24"/>
  <c r="U88" i="24"/>
  <c r="R88" i="24"/>
  <c r="P88" i="24"/>
  <c r="M88" i="24"/>
  <c r="K88" i="24"/>
  <c r="H88" i="24"/>
  <c r="F88" i="24"/>
  <c r="AL87" i="24"/>
  <c r="AJ87" i="24"/>
  <c r="AG87" i="24"/>
  <c r="AE87" i="24"/>
  <c r="AB87" i="24"/>
  <c r="Z87" i="24"/>
  <c r="W87" i="24"/>
  <c r="U87" i="24"/>
  <c r="R87" i="24"/>
  <c r="P87" i="24"/>
  <c r="M87" i="24"/>
  <c r="K87" i="24"/>
  <c r="H87" i="24"/>
  <c r="F87" i="24"/>
  <c r="AL86" i="24"/>
  <c r="AJ86" i="24"/>
  <c r="AG86" i="24"/>
  <c r="AE86" i="24"/>
  <c r="AB86" i="24"/>
  <c r="Z86" i="24"/>
  <c r="W86" i="24"/>
  <c r="U86" i="24"/>
  <c r="R86" i="24"/>
  <c r="P86" i="24"/>
  <c r="M86" i="24"/>
  <c r="K86" i="24"/>
  <c r="H86" i="24"/>
  <c r="F86" i="24"/>
  <c r="AL85" i="24"/>
  <c r="AJ85" i="24"/>
  <c r="AG85" i="24"/>
  <c r="AE85" i="24"/>
  <c r="AB85" i="24"/>
  <c r="Z85" i="24"/>
  <c r="W85" i="24"/>
  <c r="U85" i="24"/>
  <c r="R85" i="24"/>
  <c r="P85" i="24"/>
  <c r="M85" i="24"/>
  <c r="K85" i="24"/>
  <c r="H85" i="24"/>
  <c r="F85" i="24"/>
  <c r="AL84" i="24"/>
  <c r="AJ84" i="24"/>
  <c r="AG84" i="24"/>
  <c r="AE84" i="24"/>
  <c r="AB84" i="24"/>
  <c r="Z84" i="24"/>
  <c r="W84" i="24"/>
  <c r="U84" i="24"/>
  <c r="R84" i="24"/>
  <c r="P84" i="24"/>
  <c r="M84" i="24"/>
  <c r="K84" i="24"/>
  <c r="H84" i="24"/>
  <c r="F84" i="24"/>
  <c r="AL83" i="24"/>
  <c r="AJ83" i="24"/>
  <c r="AG83" i="24"/>
  <c r="AE83" i="24"/>
  <c r="AB83" i="24"/>
  <c r="Z83" i="24"/>
  <c r="W83" i="24"/>
  <c r="U83" i="24"/>
  <c r="R83" i="24"/>
  <c r="P83" i="24"/>
  <c r="M83" i="24"/>
  <c r="K83" i="24"/>
  <c r="H83" i="24"/>
  <c r="F83" i="24"/>
  <c r="AL82" i="24"/>
  <c r="AJ82" i="24"/>
  <c r="AG82" i="24"/>
  <c r="AE82" i="24"/>
  <c r="AB82" i="24"/>
  <c r="Z82" i="24"/>
  <c r="W82" i="24"/>
  <c r="U82" i="24"/>
  <c r="R82" i="24"/>
  <c r="P82" i="24"/>
  <c r="M82" i="24"/>
  <c r="K82" i="24"/>
  <c r="H82" i="24"/>
  <c r="F82" i="24"/>
  <c r="AL81" i="24"/>
  <c r="AJ81" i="24"/>
  <c r="AG81" i="24"/>
  <c r="AE81" i="24"/>
  <c r="AB81" i="24"/>
  <c r="Z81" i="24"/>
  <c r="W81" i="24"/>
  <c r="U81" i="24"/>
  <c r="R81" i="24"/>
  <c r="P81" i="24"/>
  <c r="M81" i="24"/>
  <c r="K81" i="24"/>
  <c r="H81" i="24"/>
  <c r="F81" i="24"/>
  <c r="AL80" i="24"/>
  <c r="AJ80" i="24"/>
  <c r="AG80" i="24"/>
  <c r="AE80" i="24"/>
  <c r="AB80" i="24"/>
  <c r="Z80" i="24"/>
  <c r="W80" i="24"/>
  <c r="U80" i="24"/>
  <c r="R80" i="24"/>
  <c r="P80" i="24"/>
  <c r="M80" i="24"/>
  <c r="K80" i="24"/>
  <c r="H80" i="24"/>
  <c r="F80" i="24"/>
  <c r="AL79" i="24"/>
  <c r="AJ79" i="24"/>
  <c r="AG79" i="24"/>
  <c r="AE79" i="24"/>
  <c r="AB79" i="24"/>
  <c r="Z79" i="24"/>
  <c r="W79" i="24"/>
  <c r="U79" i="24"/>
  <c r="R79" i="24"/>
  <c r="P79" i="24"/>
  <c r="M79" i="24"/>
  <c r="K79" i="24"/>
  <c r="H79" i="24"/>
  <c r="F79" i="24"/>
  <c r="AL78" i="24"/>
  <c r="AJ78" i="24"/>
  <c r="AG78" i="24"/>
  <c r="AE78" i="24"/>
  <c r="AB78" i="24"/>
  <c r="Z78" i="24"/>
  <c r="W78" i="24"/>
  <c r="U78" i="24"/>
  <c r="R78" i="24"/>
  <c r="P78" i="24"/>
  <c r="M78" i="24"/>
  <c r="K78" i="24"/>
  <c r="H78" i="24"/>
  <c r="F78" i="24"/>
  <c r="AL77" i="24"/>
  <c r="AJ77" i="24"/>
  <c r="AG77" i="24"/>
  <c r="AE77" i="24"/>
  <c r="AB77" i="24"/>
  <c r="Z77" i="24"/>
  <c r="W77" i="24"/>
  <c r="U77" i="24"/>
  <c r="R77" i="24"/>
  <c r="P77" i="24"/>
  <c r="M77" i="24"/>
  <c r="K77" i="24"/>
  <c r="H77" i="24"/>
  <c r="F77" i="24"/>
  <c r="AL76" i="24"/>
  <c r="AJ76" i="24"/>
  <c r="AG76" i="24"/>
  <c r="AE76" i="24"/>
  <c r="AB76" i="24"/>
  <c r="Z76" i="24"/>
  <c r="W76" i="24"/>
  <c r="U76" i="24"/>
  <c r="R76" i="24"/>
  <c r="P76" i="24"/>
  <c r="M76" i="24"/>
  <c r="K76" i="24"/>
  <c r="H76" i="24"/>
  <c r="F76" i="24"/>
  <c r="AL75" i="24"/>
  <c r="AJ75" i="24"/>
  <c r="AG75" i="24"/>
  <c r="AE75" i="24"/>
  <c r="AB75" i="24"/>
  <c r="Z75" i="24"/>
  <c r="W75" i="24"/>
  <c r="U75" i="24"/>
  <c r="R75" i="24"/>
  <c r="P75" i="24"/>
  <c r="M75" i="24"/>
  <c r="K75" i="24"/>
  <c r="H75" i="24"/>
  <c r="F75" i="24"/>
  <c r="AL74" i="24"/>
  <c r="AJ74" i="24"/>
  <c r="AG74" i="24"/>
  <c r="AE74" i="24"/>
  <c r="AB74" i="24"/>
  <c r="Z74" i="24"/>
  <c r="W74" i="24"/>
  <c r="U74" i="24"/>
  <c r="R74" i="24"/>
  <c r="P74" i="24"/>
  <c r="M74" i="24"/>
  <c r="K74" i="24"/>
  <c r="H74" i="24"/>
  <c r="F74" i="24"/>
  <c r="AL73" i="24"/>
  <c r="AJ73" i="24"/>
  <c r="AG73" i="24"/>
  <c r="AE73" i="24"/>
  <c r="AB73" i="24"/>
  <c r="Z73" i="24"/>
  <c r="W73" i="24"/>
  <c r="U73" i="24"/>
  <c r="R73" i="24"/>
  <c r="P73" i="24"/>
  <c r="M73" i="24"/>
  <c r="K73" i="24"/>
  <c r="H73" i="24"/>
  <c r="F73" i="24"/>
  <c r="AL72" i="24"/>
  <c r="AJ72" i="24"/>
  <c r="AG72" i="24"/>
  <c r="AE72" i="24"/>
  <c r="AB72" i="24"/>
  <c r="Z72" i="24"/>
  <c r="W72" i="24"/>
  <c r="U72" i="24"/>
  <c r="R72" i="24"/>
  <c r="P72" i="24"/>
  <c r="M72" i="24"/>
  <c r="K72" i="24"/>
  <c r="H72" i="24"/>
  <c r="F72" i="24"/>
  <c r="AL71" i="24"/>
  <c r="AJ71" i="24"/>
  <c r="AG71" i="24"/>
  <c r="AE71" i="24"/>
  <c r="AB71" i="24"/>
  <c r="Z71" i="24"/>
  <c r="W71" i="24"/>
  <c r="U71" i="24"/>
  <c r="R71" i="24"/>
  <c r="P71" i="24"/>
  <c r="M71" i="24"/>
  <c r="K71" i="24"/>
  <c r="H71" i="24"/>
  <c r="F71" i="24"/>
  <c r="AL70" i="24"/>
  <c r="AJ70" i="24"/>
  <c r="AG70" i="24"/>
  <c r="AE70" i="24"/>
  <c r="AB70" i="24"/>
  <c r="Z70" i="24"/>
  <c r="W70" i="24"/>
  <c r="U70" i="24"/>
  <c r="R70" i="24"/>
  <c r="P70" i="24"/>
  <c r="M70" i="24"/>
  <c r="K70" i="24"/>
  <c r="H70" i="24"/>
  <c r="F70" i="24"/>
  <c r="AL69" i="24"/>
  <c r="AJ69" i="24"/>
  <c r="AG69" i="24"/>
  <c r="AE69" i="24"/>
  <c r="AB69" i="24"/>
  <c r="Z69" i="24"/>
  <c r="W69" i="24"/>
  <c r="U69" i="24"/>
  <c r="R69" i="24"/>
  <c r="P69" i="24"/>
  <c r="M69" i="24"/>
  <c r="K69" i="24"/>
  <c r="H69" i="24"/>
  <c r="F69" i="24"/>
  <c r="AL68" i="24"/>
  <c r="AJ68" i="24"/>
  <c r="AG68" i="24"/>
  <c r="AE68" i="24"/>
  <c r="AB68" i="24"/>
  <c r="Z68" i="24"/>
  <c r="W68" i="24"/>
  <c r="U68" i="24"/>
  <c r="R68" i="24"/>
  <c r="P68" i="24"/>
  <c r="M68" i="24"/>
  <c r="K68" i="24"/>
  <c r="H68" i="24"/>
  <c r="F68" i="24"/>
  <c r="AL67" i="24"/>
  <c r="AJ67" i="24"/>
  <c r="AG67" i="24"/>
  <c r="AE67" i="24"/>
  <c r="AB67" i="24"/>
  <c r="Z67" i="24"/>
  <c r="W67" i="24"/>
  <c r="U67" i="24"/>
  <c r="R67" i="24"/>
  <c r="P67" i="24"/>
  <c r="M67" i="24"/>
  <c r="K67" i="24"/>
  <c r="H67" i="24"/>
  <c r="F67" i="24"/>
  <c r="AL66" i="24"/>
  <c r="AJ66" i="24"/>
  <c r="AG66" i="24"/>
  <c r="AE66" i="24"/>
  <c r="AB66" i="24"/>
  <c r="Z66" i="24"/>
  <c r="W66" i="24"/>
  <c r="U66" i="24"/>
  <c r="R66" i="24"/>
  <c r="P66" i="24"/>
  <c r="M66" i="24"/>
  <c r="K66" i="24"/>
  <c r="H66" i="24"/>
  <c r="F66" i="24"/>
  <c r="AL65" i="24"/>
  <c r="AJ65" i="24"/>
  <c r="AG65" i="24"/>
  <c r="AE65" i="24"/>
  <c r="AB65" i="24"/>
  <c r="Z65" i="24"/>
  <c r="W65" i="24"/>
  <c r="U65" i="24"/>
  <c r="R65" i="24"/>
  <c r="P65" i="24"/>
  <c r="M65" i="24"/>
  <c r="K65" i="24"/>
  <c r="H65" i="24"/>
  <c r="F65" i="24"/>
  <c r="AL64" i="24"/>
  <c r="AJ64" i="24"/>
  <c r="AG64" i="24"/>
  <c r="AE64" i="24"/>
  <c r="AB64" i="24"/>
  <c r="Z64" i="24"/>
  <c r="W64" i="24"/>
  <c r="U64" i="24"/>
  <c r="R64" i="24"/>
  <c r="P64" i="24"/>
  <c r="M64" i="24"/>
  <c r="K64" i="24"/>
  <c r="H64" i="24"/>
  <c r="F64" i="24"/>
  <c r="AL63" i="24"/>
  <c r="AJ63" i="24"/>
  <c r="AG63" i="24"/>
  <c r="AE63" i="24"/>
  <c r="AB63" i="24"/>
  <c r="Z63" i="24"/>
  <c r="W63" i="24"/>
  <c r="U63" i="24"/>
  <c r="R63" i="24"/>
  <c r="P63" i="24"/>
  <c r="M63" i="24"/>
  <c r="K63" i="24"/>
  <c r="H63" i="24"/>
  <c r="F63" i="24"/>
  <c r="AL62" i="24"/>
  <c r="AJ62" i="24"/>
  <c r="AG62" i="24"/>
  <c r="AE62" i="24"/>
  <c r="AB62" i="24"/>
  <c r="Z62" i="24"/>
  <c r="W62" i="24"/>
  <c r="U62" i="24"/>
  <c r="R62" i="24"/>
  <c r="P62" i="24"/>
  <c r="M62" i="24"/>
  <c r="K62" i="24"/>
  <c r="H62" i="24"/>
  <c r="F62" i="24"/>
  <c r="AL61" i="24"/>
  <c r="AJ61" i="24"/>
  <c r="AG61" i="24"/>
  <c r="AE61" i="24"/>
  <c r="AB61" i="24"/>
  <c r="Z61" i="24"/>
  <c r="W61" i="24"/>
  <c r="U61" i="24"/>
  <c r="R61" i="24"/>
  <c r="P61" i="24"/>
  <c r="M61" i="24"/>
  <c r="K61" i="24"/>
  <c r="H61" i="24"/>
  <c r="F61" i="24"/>
  <c r="AL60" i="24"/>
  <c r="AJ60" i="24"/>
  <c r="AG60" i="24"/>
  <c r="AE60" i="24"/>
  <c r="AB60" i="24"/>
  <c r="Z60" i="24"/>
  <c r="W60" i="24"/>
  <c r="U60" i="24"/>
  <c r="R60" i="24"/>
  <c r="P60" i="24"/>
  <c r="M60" i="24"/>
  <c r="K60" i="24"/>
  <c r="H60" i="24"/>
  <c r="F60" i="24"/>
  <c r="AL59" i="24"/>
  <c r="AJ59" i="24"/>
  <c r="AG59" i="24"/>
  <c r="AE59" i="24"/>
  <c r="AB59" i="24"/>
  <c r="Z59" i="24"/>
  <c r="W59" i="24"/>
  <c r="U59" i="24"/>
  <c r="R59" i="24"/>
  <c r="P59" i="24"/>
  <c r="M59" i="24"/>
  <c r="K59" i="24"/>
  <c r="H59" i="24"/>
  <c r="F59" i="24"/>
  <c r="AL58" i="24"/>
  <c r="AJ58" i="24"/>
  <c r="AG58" i="24"/>
  <c r="AE58" i="24"/>
  <c r="AB58" i="24"/>
  <c r="Z58" i="24"/>
  <c r="W58" i="24"/>
  <c r="U58" i="24"/>
  <c r="R58" i="24"/>
  <c r="P58" i="24"/>
  <c r="M58" i="24"/>
  <c r="K58" i="24"/>
  <c r="H58" i="24"/>
  <c r="F58" i="24"/>
  <c r="AL57" i="24"/>
  <c r="AJ57" i="24"/>
  <c r="AG57" i="24"/>
  <c r="AE57" i="24"/>
  <c r="AB57" i="24"/>
  <c r="Z57" i="24"/>
  <c r="W57" i="24"/>
  <c r="U57" i="24"/>
  <c r="R57" i="24"/>
  <c r="P57" i="24"/>
  <c r="M57" i="24"/>
  <c r="K57" i="24"/>
  <c r="H57" i="24"/>
  <c r="F57" i="24"/>
  <c r="AL56" i="24"/>
  <c r="AJ56" i="24"/>
  <c r="AG56" i="24"/>
  <c r="AE56" i="24"/>
  <c r="AB56" i="24"/>
  <c r="Z56" i="24"/>
  <c r="W56" i="24"/>
  <c r="U56" i="24"/>
  <c r="R56" i="24"/>
  <c r="P56" i="24"/>
  <c r="M56" i="24"/>
  <c r="K56" i="24"/>
  <c r="H56" i="24"/>
  <c r="F56" i="24"/>
  <c r="AL55" i="24"/>
  <c r="AJ55" i="24"/>
  <c r="AG55" i="24"/>
  <c r="AE55" i="24"/>
  <c r="AB55" i="24"/>
  <c r="Z55" i="24"/>
  <c r="W55" i="24"/>
  <c r="U55" i="24"/>
  <c r="R55" i="24"/>
  <c r="P55" i="24"/>
  <c r="M55" i="24"/>
  <c r="K55" i="24"/>
  <c r="H55" i="24"/>
  <c r="F55" i="24"/>
  <c r="AL54" i="24"/>
  <c r="AJ54" i="24"/>
  <c r="AG54" i="24"/>
  <c r="AE54" i="24"/>
  <c r="AB54" i="24"/>
  <c r="Z54" i="24"/>
  <c r="W54" i="24"/>
  <c r="U54" i="24"/>
  <c r="R54" i="24"/>
  <c r="P54" i="24"/>
  <c r="M54" i="24"/>
  <c r="K54" i="24"/>
  <c r="H54" i="24"/>
  <c r="F54" i="24"/>
  <c r="AL53" i="24"/>
  <c r="AJ53" i="24"/>
  <c r="AG53" i="24"/>
  <c r="AE53" i="24"/>
  <c r="AB53" i="24"/>
  <c r="Z53" i="24"/>
  <c r="W53" i="24"/>
  <c r="U53" i="24"/>
  <c r="R53" i="24"/>
  <c r="P53" i="24"/>
  <c r="M53" i="24"/>
  <c r="K53" i="24"/>
  <c r="H53" i="24"/>
  <c r="F53" i="24"/>
  <c r="AL52" i="24"/>
  <c r="AJ52" i="24"/>
  <c r="AG52" i="24"/>
  <c r="AE52" i="24"/>
  <c r="AB52" i="24"/>
  <c r="Z52" i="24"/>
  <c r="W52" i="24"/>
  <c r="U52" i="24"/>
  <c r="R52" i="24"/>
  <c r="P52" i="24"/>
  <c r="M52" i="24"/>
  <c r="K52" i="24"/>
  <c r="H52" i="24"/>
  <c r="F52" i="24"/>
  <c r="AL51" i="24"/>
  <c r="AJ51" i="24"/>
  <c r="AG51" i="24"/>
  <c r="AE51" i="24"/>
  <c r="AB51" i="24"/>
  <c r="Z51" i="24"/>
  <c r="W51" i="24"/>
  <c r="U51" i="24"/>
  <c r="R51" i="24"/>
  <c r="P51" i="24"/>
  <c r="M51" i="24"/>
  <c r="K51" i="24"/>
  <c r="H51" i="24"/>
  <c r="F51" i="24"/>
  <c r="AL50" i="24"/>
  <c r="AJ50" i="24"/>
  <c r="AG50" i="24"/>
  <c r="AE50" i="24"/>
  <c r="AB50" i="24"/>
  <c r="Z50" i="24"/>
  <c r="W50" i="24"/>
  <c r="U50" i="24"/>
  <c r="R50" i="24"/>
  <c r="P50" i="24"/>
  <c r="M50" i="24"/>
  <c r="K50" i="24"/>
  <c r="H50" i="24"/>
  <c r="F50" i="24"/>
  <c r="AL49" i="24"/>
  <c r="AJ49" i="24"/>
  <c r="AG49" i="24"/>
  <c r="AE49" i="24"/>
  <c r="AB49" i="24"/>
  <c r="Z49" i="24"/>
  <c r="W49" i="24"/>
  <c r="U49" i="24"/>
  <c r="R49" i="24"/>
  <c r="P49" i="24"/>
  <c r="M49" i="24"/>
  <c r="K49" i="24"/>
  <c r="H49" i="24"/>
  <c r="F49" i="24"/>
  <c r="AL48" i="24"/>
  <c r="AJ48" i="24"/>
  <c r="AG48" i="24"/>
  <c r="AE48" i="24"/>
  <c r="AB48" i="24"/>
  <c r="Z48" i="24"/>
  <c r="W48" i="24"/>
  <c r="U48" i="24"/>
  <c r="R48" i="24"/>
  <c r="P48" i="24"/>
  <c r="M48" i="24"/>
  <c r="K48" i="24"/>
  <c r="H48" i="24"/>
  <c r="F48" i="24"/>
  <c r="AL47" i="24"/>
  <c r="AJ47" i="24"/>
  <c r="AG47" i="24"/>
  <c r="AE47" i="24"/>
  <c r="AB47" i="24"/>
  <c r="Z47" i="24"/>
  <c r="W47" i="24"/>
  <c r="U47" i="24"/>
  <c r="R47" i="24"/>
  <c r="P47" i="24"/>
  <c r="M47" i="24"/>
  <c r="K47" i="24"/>
  <c r="H47" i="24"/>
  <c r="F47" i="24"/>
  <c r="AL46" i="24"/>
  <c r="AJ46" i="24"/>
  <c r="AG46" i="24"/>
  <c r="AE46" i="24"/>
  <c r="AB46" i="24"/>
  <c r="Z46" i="24"/>
  <c r="W46" i="24"/>
  <c r="U46" i="24"/>
  <c r="R46" i="24"/>
  <c r="P46" i="24"/>
  <c r="M46" i="24"/>
  <c r="K46" i="24"/>
  <c r="H46" i="24"/>
  <c r="F46" i="24"/>
  <c r="AL45" i="24"/>
  <c r="AJ45" i="24"/>
  <c r="AG45" i="24"/>
  <c r="AE45" i="24"/>
  <c r="AB45" i="24"/>
  <c r="Z45" i="24"/>
  <c r="W45" i="24"/>
  <c r="U45" i="24"/>
  <c r="R45" i="24"/>
  <c r="P45" i="24"/>
  <c r="M45" i="24"/>
  <c r="K45" i="24"/>
  <c r="H45" i="24"/>
  <c r="F45" i="24"/>
  <c r="AL44" i="24"/>
  <c r="AJ44" i="24"/>
  <c r="AG44" i="24"/>
  <c r="AE44" i="24"/>
  <c r="AB44" i="24"/>
  <c r="Z44" i="24"/>
  <c r="W44" i="24"/>
  <c r="U44" i="24"/>
  <c r="R44" i="24"/>
  <c r="P44" i="24"/>
  <c r="M44" i="24"/>
  <c r="K44" i="24"/>
  <c r="H44" i="24"/>
  <c r="F44" i="24"/>
  <c r="AL43" i="24"/>
  <c r="AJ43" i="24"/>
  <c r="AG43" i="24"/>
  <c r="AE43" i="24"/>
  <c r="AB43" i="24"/>
  <c r="Z43" i="24"/>
  <c r="W43" i="24"/>
  <c r="U43" i="24"/>
  <c r="R43" i="24"/>
  <c r="P43" i="24"/>
  <c r="M43" i="24"/>
  <c r="K43" i="24"/>
  <c r="H43" i="24"/>
  <c r="F43" i="24"/>
  <c r="AL42" i="24"/>
  <c r="AJ42" i="24"/>
  <c r="AG42" i="24"/>
  <c r="AE42" i="24"/>
  <c r="AB42" i="24"/>
  <c r="Z42" i="24"/>
  <c r="W42" i="24"/>
  <c r="U42" i="24"/>
  <c r="R42" i="24"/>
  <c r="P42" i="24"/>
  <c r="M42" i="24"/>
  <c r="K42" i="24"/>
  <c r="H42" i="24"/>
  <c r="F42" i="24"/>
  <c r="AL41" i="24"/>
  <c r="AJ41" i="24"/>
  <c r="AG41" i="24"/>
  <c r="AE41" i="24"/>
  <c r="AB41" i="24"/>
  <c r="Z41" i="24"/>
  <c r="W41" i="24"/>
  <c r="U41" i="24"/>
  <c r="R41" i="24"/>
  <c r="P41" i="24"/>
  <c r="M41" i="24"/>
  <c r="K41" i="24"/>
  <c r="H41" i="24"/>
  <c r="F41" i="24"/>
  <c r="AL40" i="24"/>
  <c r="AJ40" i="24"/>
  <c r="AG40" i="24"/>
  <c r="AE40" i="24"/>
  <c r="AB40" i="24"/>
  <c r="Z40" i="24"/>
  <c r="W40" i="24"/>
  <c r="U40" i="24"/>
  <c r="R40" i="24"/>
  <c r="P40" i="24"/>
  <c r="M40" i="24"/>
  <c r="K40" i="24"/>
  <c r="H40" i="24"/>
  <c r="F40" i="24"/>
  <c r="AL39" i="24"/>
  <c r="AJ39" i="24"/>
  <c r="AG39" i="24"/>
  <c r="AE39" i="24"/>
  <c r="AB39" i="24"/>
  <c r="Z39" i="24"/>
  <c r="W39" i="24"/>
  <c r="U39" i="24"/>
  <c r="R39" i="24"/>
  <c r="P39" i="24"/>
  <c r="M39" i="24"/>
  <c r="K39" i="24"/>
  <c r="H39" i="24"/>
  <c r="F39" i="24"/>
  <c r="AL38" i="24"/>
  <c r="AJ38" i="24"/>
  <c r="AG38" i="24"/>
  <c r="AE38" i="24"/>
  <c r="AB38" i="24"/>
  <c r="Z38" i="24"/>
  <c r="W38" i="24"/>
  <c r="U38" i="24"/>
  <c r="R38" i="24"/>
  <c r="P38" i="24"/>
  <c r="M38" i="24"/>
  <c r="K38" i="24"/>
  <c r="H38" i="24"/>
  <c r="F38" i="24"/>
  <c r="AL37" i="24"/>
  <c r="AJ37" i="24"/>
  <c r="AG37" i="24"/>
  <c r="AE37" i="24"/>
  <c r="AB37" i="24"/>
  <c r="Z37" i="24"/>
  <c r="W37" i="24"/>
  <c r="U37" i="24"/>
  <c r="R37" i="24"/>
  <c r="P37" i="24"/>
  <c r="M37" i="24"/>
  <c r="K37" i="24"/>
  <c r="H37" i="24"/>
  <c r="F37" i="24"/>
  <c r="AL36" i="24"/>
  <c r="AJ36" i="24"/>
  <c r="AG36" i="24"/>
  <c r="AE36" i="24"/>
  <c r="AB36" i="24"/>
  <c r="Z36" i="24"/>
  <c r="W36" i="24"/>
  <c r="U36" i="24"/>
  <c r="R36" i="24"/>
  <c r="P36" i="24"/>
  <c r="M36" i="24"/>
  <c r="K36" i="24"/>
  <c r="H36" i="24"/>
  <c r="F36" i="24"/>
  <c r="AL35" i="24"/>
  <c r="AJ35" i="24"/>
  <c r="AG35" i="24"/>
  <c r="AE35" i="24"/>
  <c r="AB35" i="24"/>
  <c r="Z35" i="24"/>
  <c r="W35" i="24"/>
  <c r="U35" i="24"/>
  <c r="R35" i="24"/>
  <c r="P35" i="24"/>
  <c r="M35" i="24"/>
  <c r="K35" i="24"/>
  <c r="H35" i="24"/>
  <c r="F35" i="24"/>
  <c r="AL34" i="24"/>
  <c r="AJ34" i="24"/>
  <c r="AG34" i="24"/>
  <c r="AE34" i="24"/>
  <c r="AB34" i="24"/>
  <c r="Z34" i="24"/>
  <c r="W34" i="24"/>
  <c r="U34" i="24"/>
  <c r="R34" i="24"/>
  <c r="P34" i="24"/>
  <c r="M34" i="24"/>
  <c r="K34" i="24"/>
  <c r="H34" i="24"/>
  <c r="F34" i="24"/>
  <c r="AL33" i="24"/>
  <c r="AJ33" i="24"/>
  <c r="AG33" i="24"/>
  <c r="AE33" i="24"/>
  <c r="AB33" i="24"/>
  <c r="Z33" i="24"/>
  <c r="W33" i="24"/>
  <c r="U33" i="24"/>
  <c r="R33" i="24"/>
  <c r="P33" i="24"/>
  <c r="M33" i="24"/>
  <c r="K33" i="24"/>
  <c r="H33" i="24"/>
  <c r="F33" i="24"/>
  <c r="AL32" i="24"/>
  <c r="AJ32" i="24"/>
  <c r="AG32" i="24"/>
  <c r="AE32" i="24"/>
  <c r="AB32" i="24"/>
  <c r="Z32" i="24"/>
  <c r="W32" i="24"/>
  <c r="U32" i="24"/>
  <c r="R32" i="24"/>
  <c r="P32" i="24"/>
  <c r="M32" i="24"/>
  <c r="K32" i="24"/>
  <c r="H32" i="24"/>
  <c r="F32" i="24"/>
  <c r="AL31" i="24"/>
  <c r="AJ31" i="24"/>
  <c r="AG31" i="24"/>
  <c r="AE31" i="24"/>
  <c r="AB31" i="24"/>
  <c r="Z31" i="24"/>
  <c r="W31" i="24"/>
  <c r="U31" i="24"/>
  <c r="R31" i="24"/>
  <c r="P31" i="24"/>
  <c r="M31" i="24"/>
  <c r="K31" i="24"/>
  <c r="H31" i="24"/>
  <c r="F31" i="24"/>
  <c r="AL30" i="24"/>
  <c r="AJ30" i="24"/>
  <c r="AG30" i="24"/>
  <c r="AE30" i="24"/>
  <c r="AB30" i="24"/>
  <c r="Z30" i="24"/>
  <c r="W30" i="24"/>
  <c r="U30" i="24"/>
  <c r="R30" i="24"/>
  <c r="P30" i="24"/>
  <c r="M30" i="24"/>
  <c r="K30" i="24"/>
  <c r="H30" i="24"/>
  <c r="F30" i="24"/>
  <c r="AL29" i="24"/>
  <c r="AJ29" i="24"/>
  <c r="AG29" i="24"/>
  <c r="AE29" i="24"/>
  <c r="AB29" i="24"/>
  <c r="Z29" i="24"/>
  <c r="W29" i="24"/>
  <c r="U29" i="24"/>
  <c r="R29" i="24"/>
  <c r="P29" i="24"/>
  <c r="M29" i="24"/>
  <c r="K29" i="24"/>
  <c r="H29" i="24"/>
  <c r="F29" i="24"/>
  <c r="AL28" i="24"/>
  <c r="AJ28" i="24"/>
  <c r="AG28" i="24"/>
  <c r="AE28" i="24"/>
  <c r="AB28" i="24"/>
  <c r="Z28" i="24"/>
  <c r="W28" i="24"/>
  <c r="U28" i="24"/>
  <c r="R28" i="24"/>
  <c r="P28" i="24"/>
  <c r="M28" i="24"/>
  <c r="K28" i="24"/>
  <c r="H28" i="24"/>
  <c r="F28" i="24"/>
  <c r="AL27" i="24"/>
  <c r="AJ27" i="24"/>
  <c r="AG27" i="24"/>
  <c r="AE27" i="24"/>
  <c r="AB27" i="24"/>
  <c r="Z27" i="24"/>
  <c r="W27" i="24"/>
  <c r="U27" i="24"/>
  <c r="R27" i="24"/>
  <c r="P27" i="24"/>
  <c r="M27" i="24"/>
  <c r="K27" i="24"/>
  <c r="H27" i="24"/>
  <c r="F27" i="24"/>
  <c r="AL26" i="24"/>
  <c r="AJ26" i="24"/>
  <c r="AG26" i="24"/>
  <c r="AE26" i="24"/>
  <c r="AB26" i="24"/>
  <c r="Z26" i="24"/>
  <c r="W26" i="24"/>
  <c r="U26" i="24"/>
  <c r="R26" i="24"/>
  <c r="P26" i="24"/>
  <c r="M26" i="24"/>
  <c r="K26" i="24"/>
  <c r="H26" i="24"/>
  <c r="F26" i="24"/>
  <c r="AL25" i="24"/>
  <c r="AJ25" i="24"/>
  <c r="AG25" i="24"/>
  <c r="AE25" i="24"/>
  <c r="AB25" i="24"/>
  <c r="Z25" i="24"/>
  <c r="W25" i="24"/>
  <c r="U25" i="24"/>
  <c r="R25" i="24"/>
  <c r="P25" i="24"/>
  <c r="M25" i="24"/>
  <c r="K25" i="24"/>
  <c r="H25" i="24"/>
  <c r="F25" i="24"/>
  <c r="AL24" i="24"/>
  <c r="AJ24" i="24"/>
  <c r="AG24" i="24"/>
  <c r="AE24" i="24"/>
  <c r="AB24" i="24"/>
  <c r="Z24" i="24"/>
  <c r="W24" i="24"/>
  <c r="U24" i="24"/>
  <c r="R24" i="24"/>
  <c r="P24" i="24"/>
  <c r="M24" i="24"/>
  <c r="K24" i="24"/>
  <c r="H24" i="24"/>
  <c r="F24" i="24"/>
  <c r="AL23" i="24"/>
  <c r="AJ23" i="24"/>
  <c r="AG23" i="24"/>
  <c r="AE23" i="24"/>
  <c r="AB23" i="24"/>
  <c r="Z23" i="24"/>
  <c r="W23" i="24"/>
  <c r="U23" i="24"/>
  <c r="R23" i="24"/>
  <c r="P23" i="24"/>
  <c r="M23" i="24"/>
  <c r="K23" i="24"/>
  <c r="H23" i="24"/>
  <c r="F23" i="24"/>
  <c r="AL22" i="24"/>
  <c r="AJ22" i="24"/>
  <c r="AG22" i="24"/>
  <c r="AE22" i="24"/>
  <c r="AB22" i="24"/>
  <c r="Z22" i="24"/>
  <c r="W22" i="24"/>
  <c r="U22" i="24"/>
  <c r="R22" i="24"/>
  <c r="P22" i="24"/>
  <c r="M22" i="24"/>
  <c r="K22" i="24"/>
  <c r="H22" i="24"/>
  <c r="F22" i="24"/>
  <c r="AL12" i="24"/>
  <c r="AJ12" i="24"/>
  <c r="AG12" i="24"/>
  <c r="AE12" i="24"/>
  <c r="AB12" i="24"/>
  <c r="Z12" i="24"/>
  <c r="AD12" i="24" s="1"/>
  <c r="W12" i="24"/>
  <c r="U12" i="24"/>
  <c r="R12" i="24"/>
  <c r="P12" i="24"/>
  <c r="M12" i="24"/>
  <c r="K12" i="24"/>
  <c r="H12" i="24"/>
  <c r="F12" i="24"/>
  <c r="F13" i="24" s="1"/>
  <c r="AM11" i="24"/>
  <c r="AI11" i="24"/>
  <c r="AD11" i="24"/>
  <c r="Y11" i="24"/>
  <c r="O11" i="24"/>
  <c r="J11" i="24"/>
  <c r="AM10" i="24"/>
  <c r="AI10" i="24"/>
  <c r="AD10" i="24"/>
  <c r="Y10" i="24"/>
  <c r="T10" i="24"/>
  <c r="O10" i="24"/>
  <c r="J10" i="24"/>
  <c r="AM9" i="24"/>
  <c r="AI9" i="24"/>
  <c r="AD9" i="24"/>
  <c r="Y9" i="24"/>
  <c r="T9" i="24"/>
  <c r="O9" i="24"/>
  <c r="J9" i="24"/>
  <c r="AM8" i="24"/>
  <c r="AI8" i="24"/>
  <c r="AD8" i="24"/>
  <c r="Y8" i="24"/>
  <c r="T8" i="24"/>
  <c r="O8" i="24"/>
  <c r="J8" i="24"/>
  <c r="AM7" i="24"/>
  <c r="AI7" i="24"/>
  <c r="AD7" i="24"/>
  <c r="Y7" i="24"/>
  <c r="T7" i="24"/>
  <c r="O7" i="24"/>
  <c r="J7" i="24"/>
  <c r="AM6" i="24"/>
  <c r="AI6" i="24"/>
  <c r="AD6" i="24"/>
  <c r="Y6" i="24"/>
  <c r="T6" i="24"/>
  <c r="O6" i="24"/>
  <c r="J6" i="24"/>
  <c r="AM5" i="24"/>
  <c r="AI5" i="24"/>
  <c r="AD5" i="24"/>
  <c r="Y5" i="24"/>
  <c r="T5" i="24"/>
  <c r="O5" i="24"/>
  <c r="J5" i="24"/>
  <c r="AM4" i="24"/>
  <c r="AI4" i="24"/>
  <c r="AD4" i="24"/>
  <c r="Y4" i="24"/>
  <c r="T4" i="24"/>
  <c r="O4" i="24"/>
  <c r="J4" i="24"/>
  <c r="AM3" i="24"/>
  <c r="AI3" i="24"/>
  <c r="AD3" i="24"/>
  <c r="Y3" i="24"/>
  <c r="T3" i="24"/>
  <c r="O3" i="24"/>
  <c r="J3" i="24"/>
  <c r="AM2" i="24"/>
  <c r="AI2" i="24"/>
  <c r="AD2" i="24"/>
  <c r="Y2" i="24"/>
  <c r="T2" i="24"/>
  <c r="O2" i="24"/>
  <c r="J2" i="24"/>
  <c r="J53" i="10"/>
  <c r="B17" i="10"/>
  <c r="BE23" i="10"/>
  <c r="BL23" i="10" s="1"/>
  <c r="BK23" i="10" s="1"/>
  <c r="BE22" i="10"/>
  <c r="BL22" i="10" s="1"/>
  <c r="BK22" i="10" s="1"/>
  <c r="BE21" i="10"/>
  <c r="BL21" i="10" s="1"/>
  <c r="BK21" i="10" s="1"/>
  <c r="BE20" i="10"/>
  <c r="BL20" i="10" s="1"/>
  <c r="BK20" i="10" s="1"/>
  <c r="BE19" i="10"/>
  <c r="BL19" i="10" s="1"/>
  <c r="BK19" i="10" s="1"/>
  <c r="BE18" i="10"/>
  <c r="BL18" i="10" s="1"/>
  <c r="BK18" i="10" s="1"/>
  <c r="BE17" i="10"/>
  <c r="BL17" i="10" s="1"/>
  <c r="H2" i="22"/>
  <c r="L2" i="22"/>
  <c r="P2" i="22"/>
  <c r="T2" i="22"/>
  <c r="X2" i="22"/>
  <c r="AB2" i="22"/>
  <c r="AF2" i="22"/>
  <c r="H3" i="22"/>
  <c r="L3" i="22"/>
  <c r="P3" i="22"/>
  <c r="T3" i="22"/>
  <c r="X3" i="22"/>
  <c r="AB3" i="22"/>
  <c r="AF3" i="22"/>
  <c r="H4" i="22"/>
  <c r="L4" i="22"/>
  <c r="P4" i="22"/>
  <c r="T4" i="22"/>
  <c r="X4" i="22"/>
  <c r="AB4" i="22"/>
  <c r="AF4" i="22"/>
  <c r="H5" i="22"/>
  <c r="L5" i="22"/>
  <c r="P5" i="22"/>
  <c r="T5" i="22"/>
  <c r="X5" i="22"/>
  <c r="AB5" i="22"/>
  <c r="AF5" i="22"/>
  <c r="H6" i="22"/>
  <c r="L6" i="22"/>
  <c r="P6" i="22"/>
  <c r="T6" i="22"/>
  <c r="X6" i="22"/>
  <c r="AB6" i="22"/>
  <c r="AF6" i="22"/>
  <c r="H7" i="22"/>
  <c r="L7" i="22"/>
  <c r="P7" i="22"/>
  <c r="T7" i="22"/>
  <c r="X7" i="22"/>
  <c r="AB7" i="22"/>
  <c r="AF7" i="22"/>
  <c r="H8" i="22"/>
  <c r="L8" i="22"/>
  <c r="P8" i="22"/>
  <c r="T8" i="22"/>
  <c r="X8" i="22"/>
  <c r="AB8" i="22"/>
  <c r="AF8" i="22"/>
  <c r="H9" i="22"/>
  <c r="L9" i="22"/>
  <c r="P9" i="22"/>
  <c r="T9" i="22"/>
  <c r="X9" i="22"/>
  <c r="AB9" i="22"/>
  <c r="AF9" i="22"/>
  <c r="H10" i="22"/>
  <c r="L10" i="22"/>
  <c r="P10" i="22"/>
  <c r="T10" i="22"/>
  <c r="X10" i="22"/>
  <c r="AB10" i="22"/>
  <c r="AF10" i="22"/>
  <c r="H11" i="22"/>
  <c r="L11" i="22"/>
  <c r="T11" i="22"/>
  <c r="X11" i="22"/>
  <c r="AB11" i="22"/>
  <c r="AF11" i="22"/>
  <c r="E12" i="22"/>
  <c r="G12" i="22"/>
  <c r="I12" i="22"/>
  <c r="K12" i="22"/>
  <c r="M12" i="22"/>
  <c r="O12" i="22"/>
  <c r="Q12" i="22"/>
  <c r="S12" i="22"/>
  <c r="U12" i="22"/>
  <c r="W12" i="22"/>
  <c r="Y12" i="22"/>
  <c r="AA12" i="22"/>
  <c r="AC12" i="22"/>
  <c r="AC13" i="22" s="1"/>
  <c r="AE12" i="22"/>
  <c r="AE96" i="22"/>
  <c r="AC96" i="22"/>
  <c r="AA96" i="22"/>
  <c r="Y96" i="22"/>
  <c r="W96" i="22"/>
  <c r="U96" i="22"/>
  <c r="S96" i="22"/>
  <c r="Q96" i="22"/>
  <c r="O96" i="22"/>
  <c r="M96" i="22"/>
  <c r="K96" i="22"/>
  <c r="I96" i="22"/>
  <c r="G96" i="22"/>
  <c r="E96" i="22"/>
  <c r="AE95" i="22"/>
  <c r="AC95" i="22"/>
  <c r="AA95" i="22"/>
  <c r="Y95" i="22"/>
  <c r="W95" i="22"/>
  <c r="U95" i="22"/>
  <c r="S95" i="22"/>
  <c r="Q95" i="22"/>
  <c r="O95" i="22"/>
  <c r="M95" i="22"/>
  <c r="K95" i="22"/>
  <c r="I95" i="22"/>
  <c r="G95" i="22"/>
  <c r="E95" i="22"/>
  <c r="AE94" i="22"/>
  <c r="AC94" i="22"/>
  <c r="AA94" i="22"/>
  <c r="Y94" i="22"/>
  <c r="W94" i="22"/>
  <c r="U94" i="22"/>
  <c r="S94" i="22"/>
  <c r="Q94" i="22"/>
  <c r="O94" i="22"/>
  <c r="M94" i="22"/>
  <c r="K94" i="22"/>
  <c r="I94" i="22"/>
  <c r="G94" i="22"/>
  <c r="E94" i="22"/>
  <c r="AE93" i="22"/>
  <c r="AC93" i="22"/>
  <c r="AA93" i="22"/>
  <c r="Y93" i="22"/>
  <c r="W93" i="22"/>
  <c r="U93" i="22"/>
  <c r="S93" i="22"/>
  <c r="Q93" i="22"/>
  <c r="O93" i="22"/>
  <c r="M93" i="22"/>
  <c r="K93" i="22"/>
  <c r="I93" i="22"/>
  <c r="G93" i="22"/>
  <c r="E93" i="22"/>
  <c r="AE92" i="22"/>
  <c r="AC92" i="22"/>
  <c r="AA92" i="22"/>
  <c r="Y92" i="22"/>
  <c r="W92" i="22"/>
  <c r="U92" i="22"/>
  <c r="S92" i="22"/>
  <c r="Q92" i="22"/>
  <c r="O92" i="22"/>
  <c r="M92" i="22"/>
  <c r="K92" i="22"/>
  <c r="I92" i="22"/>
  <c r="G92" i="22"/>
  <c r="E92" i="22"/>
  <c r="AE91" i="22"/>
  <c r="AC91" i="22"/>
  <c r="AA91" i="22"/>
  <c r="Y91" i="22"/>
  <c r="W91" i="22"/>
  <c r="U91" i="22"/>
  <c r="S91" i="22"/>
  <c r="Q91" i="22"/>
  <c r="O91" i="22"/>
  <c r="M91" i="22"/>
  <c r="K91" i="22"/>
  <c r="I91" i="22"/>
  <c r="G91" i="22"/>
  <c r="E91" i="22"/>
  <c r="AE90" i="22"/>
  <c r="AC90" i="22"/>
  <c r="AA90" i="22"/>
  <c r="Y90" i="22"/>
  <c r="W90" i="22"/>
  <c r="U90" i="22"/>
  <c r="S90" i="22"/>
  <c r="Q90" i="22"/>
  <c r="O90" i="22"/>
  <c r="M90" i="22"/>
  <c r="K90" i="22"/>
  <c r="I90" i="22"/>
  <c r="G90" i="22"/>
  <c r="E90" i="22"/>
  <c r="AE89" i="22"/>
  <c r="AC89" i="22"/>
  <c r="AA89" i="22"/>
  <c r="Y89" i="22"/>
  <c r="W89" i="22"/>
  <c r="U89" i="22"/>
  <c r="S89" i="22"/>
  <c r="Q89" i="22"/>
  <c r="O89" i="22"/>
  <c r="M89" i="22"/>
  <c r="K89" i="22"/>
  <c r="I89" i="22"/>
  <c r="G89" i="22"/>
  <c r="E89" i="22"/>
  <c r="AE88" i="22"/>
  <c r="AC88" i="22"/>
  <c r="AA88" i="22"/>
  <c r="Y88" i="22"/>
  <c r="W88" i="22"/>
  <c r="U88" i="22"/>
  <c r="S88" i="22"/>
  <c r="Q88" i="22"/>
  <c r="O88" i="22"/>
  <c r="M88" i="22"/>
  <c r="K88" i="22"/>
  <c r="I88" i="22"/>
  <c r="G88" i="22"/>
  <c r="E88" i="22"/>
  <c r="AE87" i="22"/>
  <c r="AC87" i="22"/>
  <c r="AA87" i="22"/>
  <c r="Y87" i="22"/>
  <c r="W87" i="22"/>
  <c r="U87" i="22"/>
  <c r="S87" i="22"/>
  <c r="Q87" i="22"/>
  <c r="O87" i="22"/>
  <c r="M87" i="22"/>
  <c r="K87" i="22"/>
  <c r="I87" i="22"/>
  <c r="G87" i="22"/>
  <c r="E87" i="22"/>
  <c r="AE86" i="22"/>
  <c r="AC86" i="22"/>
  <c r="AA86" i="22"/>
  <c r="Y86" i="22"/>
  <c r="W86" i="22"/>
  <c r="U86" i="22"/>
  <c r="S86" i="22"/>
  <c r="Q86" i="22"/>
  <c r="O86" i="22"/>
  <c r="M86" i="22"/>
  <c r="K86" i="22"/>
  <c r="I86" i="22"/>
  <c r="G86" i="22"/>
  <c r="E86" i="22"/>
  <c r="AE85" i="22"/>
  <c r="AC85" i="22"/>
  <c r="AA85" i="22"/>
  <c r="Y85" i="22"/>
  <c r="W85" i="22"/>
  <c r="U85" i="22"/>
  <c r="S85" i="22"/>
  <c r="Q85" i="22"/>
  <c r="O85" i="22"/>
  <c r="M85" i="22"/>
  <c r="K85" i="22"/>
  <c r="I85" i="22"/>
  <c r="G85" i="22"/>
  <c r="E85" i="22"/>
  <c r="AE84" i="22"/>
  <c r="AC84" i="22"/>
  <c r="AA84" i="22"/>
  <c r="Y84" i="22"/>
  <c r="W84" i="22"/>
  <c r="U84" i="22"/>
  <c r="S84" i="22"/>
  <c r="Q84" i="22"/>
  <c r="O84" i="22"/>
  <c r="M84" i="22"/>
  <c r="K84" i="22"/>
  <c r="I84" i="22"/>
  <c r="G84" i="22"/>
  <c r="E84" i="22"/>
  <c r="AE83" i="22"/>
  <c r="AC83" i="22"/>
  <c r="AA83" i="22"/>
  <c r="Y83" i="22"/>
  <c r="W83" i="22"/>
  <c r="U83" i="22"/>
  <c r="S83" i="22"/>
  <c r="Q83" i="22"/>
  <c r="O83" i="22"/>
  <c r="M83" i="22"/>
  <c r="K83" i="22"/>
  <c r="I83" i="22"/>
  <c r="G83" i="22"/>
  <c r="E83" i="22"/>
  <c r="AE82" i="22"/>
  <c r="AC82" i="22"/>
  <c r="AA82" i="22"/>
  <c r="Y82" i="22"/>
  <c r="W82" i="22"/>
  <c r="U82" i="22"/>
  <c r="S82" i="22"/>
  <c r="Q82" i="22"/>
  <c r="O82" i="22"/>
  <c r="M82" i="22"/>
  <c r="K82" i="22"/>
  <c r="I82" i="22"/>
  <c r="G82" i="22"/>
  <c r="E82" i="22"/>
  <c r="AE81" i="22"/>
  <c r="AC81" i="22"/>
  <c r="AA81" i="22"/>
  <c r="Y81" i="22"/>
  <c r="W81" i="22"/>
  <c r="U81" i="22"/>
  <c r="S81" i="22"/>
  <c r="Q81" i="22"/>
  <c r="O81" i="22"/>
  <c r="M81" i="22"/>
  <c r="K81" i="22"/>
  <c r="I81" i="22"/>
  <c r="G81" i="22"/>
  <c r="E81" i="22"/>
  <c r="AE80" i="22"/>
  <c r="AC80" i="22"/>
  <c r="AA80" i="22"/>
  <c r="Y80" i="22"/>
  <c r="W80" i="22"/>
  <c r="U80" i="22"/>
  <c r="S80" i="22"/>
  <c r="Q80" i="22"/>
  <c r="O80" i="22"/>
  <c r="M80" i="22"/>
  <c r="K80" i="22"/>
  <c r="I80" i="22"/>
  <c r="G80" i="22"/>
  <c r="E80" i="22"/>
  <c r="AE79" i="22"/>
  <c r="AC79" i="22"/>
  <c r="AA79" i="22"/>
  <c r="Y79" i="22"/>
  <c r="W79" i="22"/>
  <c r="U79" i="22"/>
  <c r="S79" i="22"/>
  <c r="Q79" i="22"/>
  <c r="O79" i="22"/>
  <c r="M79" i="22"/>
  <c r="K79" i="22"/>
  <c r="I79" i="22"/>
  <c r="G79" i="22"/>
  <c r="E79" i="22"/>
  <c r="AE78" i="22"/>
  <c r="AC78" i="22"/>
  <c r="AA78" i="22"/>
  <c r="Y78" i="22"/>
  <c r="W78" i="22"/>
  <c r="U78" i="22"/>
  <c r="S78" i="22"/>
  <c r="Q78" i="22"/>
  <c r="O78" i="22"/>
  <c r="M78" i="22"/>
  <c r="K78" i="22"/>
  <c r="I78" i="22"/>
  <c r="G78" i="22"/>
  <c r="E78" i="22"/>
  <c r="AE77" i="22"/>
  <c r="AC77" i="22"/>
  <c r="AA77" i="22"/>
  <c r="Y77" i="22"/>
  <c r="W77" i="22"/>
  <c r="U77" i="22"/>
  <c r="S77" i="22"/>
  <c r="Q77" i="22"/>
  <c r="O77" i="22"/>
  <c r="M77" i="22"/>
  <c r="K77" i="22"/>
  <c r="I77" i="22"/>
  <c r="G77" i="22"/>
  <c r="E77" i="22"/>
  <c r="AE76" i="22"/>
  <c r="AC76" i="22"/>
  <c r="AA76" i="22"/>
  <c r="Y76" i="22"/>
  <c r="W76" i="22"/>
  <c r="U76" i="22"/>
  <c r="S76" i="22"/>
  <c r="Q76" i="22"/>
  <c r="O76" i="22"/>
  <c r="M76" i="22"/>
  <c r="K76" i="22"/>
  <c r="I76" i="22"/>
  <c r="G76" i="22"/>
  <c r="E76" i="22"/>
  <c r="AE75" i="22"/>
  <c r="AC75" i="22"/>
  <c r="AA75" i="22"/>
  <c r="Y75" i="22"/>
  <c r="W75" i="22"/>
  <c r="U75" i="22"/>
  <c r="S75" i="22"/>
  <c r="Q75" i="22"/>
  <c r="O75" i="22"/>
  <c r="M75" i="22"/>
  <c r="K75" i="22"/>
  <c r="I75" i="22"/>
  <c r="G75" i="22"/>
  <c r="E75" i="22"/>
  <c r="AE74" i="22"/>
  <c r="AC74" i="22"/>
  <c r="AA74" i="22"/>
  <c r="Y74" i="22"/>
  <c r="W74" i="22"/>
  <c r="U74" i="22"/>
  <c r="S74" i="22"/>
  <c r="Q74" i="22"/>
  <c r="O74" i="22"/>
  <c r="M74" i="22"/>
  <c r="K74" i="22"/>
  <c r="I74" i="22"/>
  <c r="G74" i="22"/>
  <c r="E74" i="22"/>
  <c r="AE73" i="22"/>
  <c r="AC73" i="22"/>
  <c r="AA73" i="22"/>
  <c r="Y73" i="22"/>
  <c r="W73" i="22"/>
  <c r="U73" i="22"/>
  <c r="S73" i="22"/>
  <c r="Q73" i="22"/>
  <c r="O73" i="22"/>
  <c r="M73" i="22"/>
  <c r="K73" i="22"/>
  <c r="I73" i="22"/>
  <c r="G73" i="22"/>
  <c r="E73" i="22"/>
  <c r="AE72" i="22"/>
  <c r="AC72" i="22"/>
  <c r="AA72" i="22"/>
  <c r="Y72" i="22"/>
  <c r="W72" i="22"/>
  <c r="U72" i="22"/>
  <c r="S72" i="22"/>
  <c r="Q72" i="22"/>
  <c r="O72" i="22"/>
  <c r="M72" i="22"/>
  <c r="K72" i="22"/>
  <c r="I72" i="22"/>
  <c r="G72" i="22"/>
  <c r="E72" i="22"/>
  <c r="AE71" i="22"/>
  <c r="AC71" i="22"/>
  <c r="AA71" i="22"/>
  <c r="Y71" i="22"/>
  <c r="W71" i="22"/>
  <c r="U71" i="22"/>
  <c r="S71" i="22"/>
  <c r="Q71" i="22"/>
  <c r="O71" i="22"/>
  <c r="M71" i="22"/>
  <c r="K71" i="22"/>
  <c r="I71" i="22"/>
  <c r="G71" i="22"/>
  <c r="E71" i="22"/>
  <c r="AE70" i="22"/>
  <c r="AC70" i="22"/>
  <c r="AA70" i="22"/>
  <c r="Y70" i="22"/>
  <c r="W70" i="22"/>
  <c r="U70" i="22"/>
  <c r="S70" i="22"/>
  <c r="Q70" i="22"/>
  <c r="O70" i="22"/>
  <c r="M70" i="22"/>
  <c r="K70" i="22"/>
  <c r="I70" i="22"/>
  <c r="G70" i="22"/>
  <c r="E70" i="22"/>
  <c r="AE69" i="22"/>
  <c r="AC69" i="22"/>
  <c r="AA69" i="22"/>
  <c r="Y69" i="22"/>
  <c r="W69" i="22"/>
  <c r="U69" i="22"/>
  <c r="S69" i="22"/>
  <c r="Q69" i="22"/>
  <c r="O69" i="22"/>
  <c r="M69" i="22"/>
  <c r="K69" i="22"/>
  <c r="I69" i="22"/>
  <c r="G69" i="22"/>
  <c r="E69" i="22"/>
  <c r="AE68" i="22"/>
  <c r="AC68" i="22"/>
  <c r="AA68" i="22"/>
  <c r="Y68" i="22"/>
  <c r="W68" i="22"/>
  <c r="U68" i="22"/>
  <c r="S68" i="22"/>
  <c r="Q68" i="22"/>
  <c r="O68" i="22"/>
  <c r="M68" i="22"/>
  <c r="K68" i="22"/>
  <c r="I68" i="22"/>
  <c r="G68" i="22"/>
  <c r="E68" i="22"/>
  <c r="AE67" i="22"/>
  <c r="AC67" i="22"/>
  <c r="AA67" i="22"/>
  <c r="Y67" i="22"/>
  <c r="W67" i="22"/>
  <c r="U67" i="22"/>
  <c r="S67" i="22"/>
  <c r="Q67" i="22"/>
  <c r="O67" i="22"/>
  <c r="M67" i="22"/>
  <c r="K67" i="22"/>
  <c r="I67" i="22"/>
  <c r="G67" i="22"/>
  <c r="E67" i="22"/>
  <c r="AE66" i="22"/>
  <c r="AC66" i="22"/>
  <c r="AA66" i="22"/>
  <c r="Y66" i="22"/>
  <c r="W66" i="22"/>
  <c r="U66" i="22"/>
  <c r="S66" i="22"/>
  <c r="Q66" i="22"/>
  <c r="O66" i="22"/>
  <c r="M66" i="22"/>
  <c r="K66" i="22"/>
  <c r="I66" i="22"/>
  <c r="G66" i="22"/>
  <c r="E66" i="22"/>
  <c r="AE65" i="22"/>
  <c r="AC65" i="22"/>
  <c r="AA65" i="22"/>
  <c r="Y65" i="22"/>
  <c r="W65" i="22"/>
  <c r="U65" i="22"/>
  <c r="S65" i="22"/>
  <c r="Q65" i="22"/>
  <c r="O65" i="22"/>
  <c r="M65" i="22"/>
  <c r="K65" i="22"/>
  <c r="I65" i="22"/>
  <c r="G65" i="22"/>
  <c r="E65" i="22"/>
  <c r="AE64" i="22"/>
  <c r="AC64" i="22"/>
  <c r="AA64" i="22"/>
  <c r="Y64" i="22"/>
  <c r="W64" i="22"/>
  <c r="U64" i="22"/>
  <c r="S64" i="22"/>
  <c r="Q64" i="22"/>
  <c r="O64" i="22"/>
  <c r="M64" i="22"/>
  <c r="K64" i="22"/>
  <c r="I64" i="22"/>
  <c r="G64" i="22"/>
  <c r="E64" i="22"/>
  <c r="AE63" i="22"/>
  <c r="AC63" i="22"/>
  <c r="AA63" i="22"/>
  <c r="Y63" i="22"/>
  <c r="W63" i="22"/>
  <c r="U63" i="22"/>
  <c r="S63" i="22"/>
  <c r="Q63" i="22"/>
  <c r="O63" i="22"/>
  <c r="M63" i="22"/>
  <c r="K63" i="22"/>
  <c r="I63" i="22"/>
  <c r="G63" i="22"/>
  <c r="E63" i="22"/>
  <c r="AE62" i="22"/>
  <c r="AC62" i="22"/>
  <c r="AA62" i="22"/>
  <c r="Y62" i="22"/>
  <c r="W62" i="22"/>
  <c r="U62" i="22"/>
  <c r="S62" i="22"/>
  <c r="Q62" i="22"/>
  <c r="O62" i="22"/>
  <c r="M62" i="22"/>
  <c r="K62" i="22"/>
  <c r="I62" i="22"/>
  <c r="G62" i="22"/>
  <c r="E62" i="22"/>
  <c r="AE61" i="22"/>
  <c r="AC61" i="22"/>
  <c r="AA61" i="22"/>
  <c r="Y61" i="22"/>
  <c r="W61" i="22"/>
  <c r="U61" i="22"/>
  <c r="S61" i="22"/>
  <c r="Q61" i="22"/>
  <c r="O61" i="22"/>
  <c r="M61" i="22"/>
  <c r="K61" i="22"/>
  <c r="I61" i="22"/>
  <c r="G61" i="22"/>
  <c r="E61" i="22"/>
  <c r="AE60" i="22"/>
  <c r="AC60" i="22"/>
  <c r="AA60" i="22"/>
  <c r="Y60" i="22"/>
  <c r="W60" i="22"/>
  <c r="U60" i="22"/>
  <c r="S60" i="22"/>
  <c r="Q60" i="22"/>
  <c r="O60" i="22"/>
  <c r="M60" i="22"/>
  <c r="K60" i="22"/>
  <c r="I60" i="22"/>
  <c r="G60" i="22"/>
  <c r="E60" i="22"/>
  <c r="AE59" i="22"/>
  <c r="AC59" i="22"/>
  <c r="AA59" i="22"/>
  <c r="Y59" i="22"/>
  <c r="W59" i="22"/>
  <c r="U59" i="22"/>
  <c r="S59" i="22"/>
  <c r="Q59" i="22"/>
  <c r="O59" i="22"/>
  <c r="M59" i="22"/>
  <c r="K59" i="22"/>
  <c r="I59" i="22"/>
  <c r="G59" i="22"/>
  <c r="E59" i="22"/>
  <c r="AE58" i="22"/>
  <c r="AC58" i="22"/>
  <c r="AA58" i="22"/>
  <c r="Y58" i="22"/>
  <c r="W58" i="22"/>
  <c r="U58" i="22"/>
  <c r="S58" i="22"/>
  <c r="Q58" i="22"/>
  <c r="O58" i="22"/>
  <c r="M58" i="22"/>
  <c r="K58" i="22"/>
  <c r="I58" i="22"/>
  <c r="G58" i="22"/>
  <c r="E58" i="22"/>
  <c r="AE57" i="22"/>
  <c r="AC57" i="22"/>
  <c r="AA57" i="22"/>
  <c r="Y57" i="22"/>
  <c r="W57" i="22"/>
  <c r="U57" i="22"/>
  <c r="S57" i="22"/>
  <c r="Q57" i="22"/>
  <c r="O57" i="22"/>
  <c r="M57" i="22"/>
  <c r="K57" i="22"/>
  <c r="I57" i="22"/>
  <c r="G57" i="22"/>
  <c r="E57" i="22"/>
  <c r="AE56" i="22"/>
  <c r="AC56" i="22"/>
  <c r="AA56" i="22"/>
  <c r="Y56" i="22"/>
  <c r="W56" i="22"/>
  <c r="U56" i="22"/>
  <c r="S56" i="22"/>
  <c r="Q56" i="22"/>
  <c r="O56" i="22"/>
  <c r="M56" i="22"/>
  <c r="K56" i="22"/>
  <c r="I56" i="22"/>
  <c r="G56" i="22"/>
  <c r="E56" i="22"/>
  <c r="AE55" i="22"/>
  <c r="AC55" i="22"/>
  <c r="AA55" i="22"/>
  <c r="Y55" i="22"/>
  <c r="W55" i="22"/>
  <c r="U55" i="22"/>
  <c r="S55" i="22"/>
  <c r="Q55" i="22"/>
  <c r="O55" i="22"/>
  <c r="M55" i="22"/>
  <c r="K55" i="22"/>
  <c r="I55" i="22"/>
  <c r="G55" i="22"/>
  <c r="E55" i="22"/>
  <c r="AE54" i="22"/>
  <c r="AC54" i="22"/>
  <c r="AA54" i="22"/>
  <c r="Y54" i="22"/>
  <c r="W54" i="22"/>
  <c r="U54" i="22"/>
  <c r="S54" i="22"/>
  <c r="Q54" i="22"/>
  <c r="O54" i="22"/>
  <c r="M54" i="22"/>
  <c r="K54" i="22"/>
  <c r="I54" i="22"/>
  <c r="G54" i="22"/>
  <c r="E54" i="22"/>
  <c r="AE53" i="22"/>
  <c r="AC53" i="22"/>
  <c r="AA53" i="22"/>
  <c r="Y53" i="22"/>
  <c r="W53" i="22"/>
  <c r="U53" i="22"/>
  <c r="S53" i="22"/>
  <c r="Q53" i="22"/>
  <c r="O53" i="22"/>
  <c r="M53" i="22"/>
  <c r="K53" i="22"/>
  <c r="I53" i="22"/>
  <c r="G53" i="22"/>
  <c r="E53" i="22"/>
  <c r="AE52" i="22"/>
  <c r="AC52" i="22"/>
  <c r="AA52" i="22"/>
  <c r="Y52" i="22"/>
  <c r="W52" i="22"/>
  <c r="U52" i="22"/>
  <c r="S52" i="22"/>
  <c r="Q52" i="22"/>
  <c r="O52" i="22"/>
  <c r="M52" i="22"/>
  <c r="K52" i="22"/>
  <c r="I52" i="22"/>
  <c r="G52" i="22"/>
  <c r="E52" i="22"/>
  <c r="AE51" i="22"/>
  <c r="AC51" i="22"/>
  <c r="AA51" i="22"/>
  <c r="Y51" i="22"/>
  <c r="W51" i="22"/>
  <c r="U51" i="22"/>
  <c r="S51" i="22"/>
  <c r="Q51" i="22"/>
  <c r="O51" i="22"/>
  <c r="M51" i="22"/>
  <c r="K51" i="22"/>
  <c r="I51" i="22"/>
  <c r="G51" i="22"/>
  <c r="E51" i="22"/>
  <c r="AE50" i="22"/>
  <c r="AC50" i="22"/>
  <c r="AA50" i="22"/>
  <c r="Y50" i="22"/>
  <c r="W50" i="22"/>
  <c r="U50" i="22"/>
  <c r="S50" i="22"/>
  <c r="Q50" i="22"/>
  <c r="O50" i="22"/>
  <c r="M50" i="22"/>
  <c r="K50" i="22"/>
  <c r="I50" i="22"/>
  <c r="G50" i="22"/>
  <c r="E50" i="22"/>
  <c r="AE49" i="22"/>
  <c r="AC49" i="22"/>
  <c r="AA49" i="22"/>
  <c r="Y49" i="22"/>
  <c r="W49" i="22"/>
  <c r="U49" i="22"/>
  <c r="S49" i="22"/>
  <c r="Q49" i="22"/>
  <c r="O49" i="22"/>
  <c r="M49" i="22"/>
  <c r="K49" i="22"/>
  <c r="I49" i="22"/>
  <c r="G49" i="22"/>
  <c r="E49" i="22"/>
  <c r="AE48" i="22"/>
  <c r="AC48" i="22"/>
  <c r="AA48" i="22"/>
  <c r="Y48" i="22"/>
  <c r="W48" i="22"/>
  <c r="U48" i="22"/>
  <c r="S48" i="22"/>
  <c r="Q48" i="22"/>
  <c r="O48" i="22"/>
  <c r="M48" i="22"/>
  <c r="K48" i="22"/>
  <c r="I48" i="22"/>
  <c r="G48" i="22"/>
  <c r="E48" i="22"/>
  <c r="AE47" i="22"/>
  <c r="AC47" i="22"/>
  <c r="AA47" i="22"/>
  <c r="Y47" i="22"/>
  <c r="W47" i="22"/>
  <c r="U47" i="22"/>
  <c r="S47" i="22"/>
  <c r="Q47" i="22"/>
  <c r="O47" i="22"/>
  <c r="M47" i="22"/>
  <c r="K47" i="22"/>
  <c r="I47" i="22"/>
  <c r="G47" i="22"/>
  <c r="E47" i="22"/>
  <c r="AE46" i="22"/>
  <c r="AC46" i="22"/>
  <c r="AA46" i="22"/>
  <c r="Y46" i="22"/>
  <c r="W46" i="22"/>
  <c r="U46" i="22"/>
  <c r="S46" i="22"/>
  <c r="Q46" i="22"/>
  <c r="O46" i="22"/>
  <c r="M46" i="22"/>
  <c r="K46" i="22"/>
  <c r="I46" i="22"/>
  <c r="G46" i="22"/>
  <c r="E46" i="22"/>
  <c r="AE45" i="22"/>
  <c r="AC45" i="22"/>
  <c r="AA45" i="22"/>
  <c r="Y45" i="22"/>
  <c r="W45" i="22"/>
  <c r="U45" i="22"/>
  <c r="S45" i="22"/>
  <c r="Q45" i="22"/>
  <c r="O45" i="22"/>
  <c r="M45" i="22"/>
  <c r="K45" i="22"/>
  <c r="I45" i="22"/>
  <c r="G45" i="22"/>
  <c r="E45" i="22"/>
  <c r="AE44" i="22"/>
  <c r="AC44" i="22"/>
  <c r="AA44" i="22"/>
  <c r="Y44" i="22"/>
  <c r="W44" i="22"/>
  <c r="U44" i="22"/>
  <c r="S44" i="22"/>
  <c r="Q44" i="22"/>
  <c r="O44" i="22"/>
  <c r="M44" i="22"/>
  <c r="K44" i="22"/>
  <c r="I44" i="22"/>
  <c r="G44" i="22"/>
  <c r="E44" i="22"/>
  <c r="AE43" i="22"/>
  <c r="AC43" i="22"/>
  <c r="AA43" i="22"/>
  <c r="Y43" i="22"/>
  <c r="W43" i="22"/>
  <c r="U43" i="22"/>
  <c r="S43" i="22"/>
  <c r="Q43" i="22"/>
  <c r="O43" i="22"/>
  <c r="M43" i="22"/>
  <c r="K43" i="22"/>
  <c r="I43" i="22"/>
  <c r="G43" i="22"/>
  <c r="E43" i="22"/>
  <c r="AE42" i="22"/>
  <c r="AC42" i="22"/>
  <c r="AA42" i="22"/>
  <c r="Y42" i="22"/>
  <c r="W42" i="22"/>
  <c r="U42" i="22"/>
  <c r="S42" i="22"/>
  <c r="Q42" i="22"/>
  <c r="O42" i="22"/>
  <c r="M42" i="22"/>
  <c r="K42" i="22"/>
  <c r="I42" i="22"/>
  <c r="G42" i="22"/>
  <c r="E42" i="22"/>
  <c r="AE41" i="22"/>
  <c r="AC41" i="22"/>
  <c r="AA41" i="22"/>
  <c r="Y41" i="22"/>
  <c r="W41" i="22"/>
  <c r="U41" i="22"/>
  <c r="S41" i="22"/>
  <c r="Q41" i="22"/>
  <c r="O41" i="22"/>
  <c r="M41" i="22"/>
  <c r="K41" i="22"/>
  <c r="I41" i="22"/>
  <c r="G41" i="22"/>
  <c r="E41" i="22"/>
  <c r="AE40" i="22"/>
  <c r="AC40" i="22"/>
  <c r="AA40" i="22"/>
  <c r="Y40" i="22"/>
  <c r="W40" i="22"/>
  <c r="U40" i="22"/>
  <c r="S40" i="22"/>
  <c r="Q40" i="22"/>
  <c r="O40" i="22"/>
  <c r="M40" i="22"/>
  <c r="K40" i="22"/>
  <c r="I40" i="22"/>
  <c r="G40" i="22"/>
  <c r="E40" i="22"/>
  <c r="AE39" i="22"/>
  <c r="AC39" i="22"/>
  <c r="AA39" i="22"/>
  <c r="Y39" i="22"/>
  <c r="W39" i="22"/>
  <c r="U39" i="22"/>
  <c r="S39" i="22"/>
  <c r="Q39" i="22"/>
  <c r="O39" i="22"/>
  <c r="M39" i="22"/>
  <c r="K39" i="22"/>
  <c r="I39" i="22"/>
  <c r="G39" i="22"/>
  <c r="E39" i="22"/>
  <c r="AE38" i="22"/>
  <c r="AC38" i="22"/>
  <c r="AA38" i="22"/>
  <c r="Y38" i="22"/>
  <c r="W38" i="22"/>
  <c r="U38" i="22"/>
  <c r="S38" i="22"/>
  <c r="Q38" i="22"/>
  <c r="O38" i="22"/>
  <c r="M38" i="22"/>
  <c r="K38" i="22"/>
  <c r="I38" i="22"/>
  <c r="G38" i="22"/>
  <c r="E38" i="22"/>
  <c r="AE37" i="22"/>
  <c r="AC37" i="22"/>
  <c r="AA37" i="22"/>
  <c r="Y37" i="22"/>
  <c r="W37" i="22"/>
  <c r="U37" i="22"/>
  <c r="S37" i="22"/>
  <c r="Q37" i="22"/>
  <c r="O37" i="22"/>
  <c r="M37" i="22"/>
  <c r="K37" i="22"/>
  <c r="I37" i="22"/>
  <c r="G37" i="22"/>
  <c r="E37" i="22"/>
  <c r="AE36" i="22"/>
  <c r="AC36" i="22"/>
  <c r="AA36" i="22"/>
  <c r="Y36" i="22"/>
  <c r="W36" i="22"/>
  <c r="U36" i="22"/>
  <c r="S36" i="22"/>
  <c r="Q36" i="22"/>
  <c r="O36" i="22"/>
  <c r="M36" i="22"/>
  <c r="K36" i="22"/>
  <c r="I36" i="22"/>
  <c r="G36" i="22"/>
  <c r="E36" i="22"/>
  <c r="AE35" i="22"/>
  <c r="AC35" i="22"/>
  <c r="AA35" i="22"/>
  <c r="Y35" i="22"/>
  <c r="W35" i="22"/>
  <c r="U35" i="22"/>
  <c r="S35" i="22"/>
  <c r="Q35" i="22"/>
  <c r="O35" i="22"/>
  <c r="M35" i="22"/>
  <c r="K35" i="22"/>
  <c r="I35" i="22"/>
  <c r="G35" i="22"/>
  <c r="E35" i="22"/>
  <c r="AE34" i="22"/>
  <c r="AC34" i="22"/>
  <c r="AA34" i="22"/>
  <c r="Y34" i="22"/>
  <c r="W34" i="22"/>
  <c r="U34" i="22"/>
  <c r="S34" i="22"/>
  <c r="Q34" i="22"/>
  <c r="O34" i="22"/>
  <c r="M34" i="22"/>
  <c r="K34" i="22"/>
  <c r="I34" i="22"/>
  <c r="G34" i="22"/>
  <c r="E34" i="22"/>
  <c r="AE33" i="22"/>
  <c r="AC33" i="22"/>
  <c r="AA33" i="22"/>
  <c r="Y33" i="22"/>
  <c r="W33" i="22"/>
  <c r="U33" i="22"/>
  <c r="S33" i="22"/>
  <c r="Q33" i="22"/>
  <c r="O33" i="22"/>
  <c r="M33" i="22"/>
  <c r="K33" i="22"/>
  <c r="I33" i="22"/>
  <c r="G33" i="22"/>
  <c r="E33" i="22"/>
  <c r="AE32" i="22"/>
  <c r="AC32" i="22"/>
  <c r="AA32" i="22"/>
  <c r="Y32" i="22"/>
  <c r="W32" i="22"/>
  <c r="U32" i="22"/>
  <c r="S32" i="22"/>
  <c r="Q32" i="22"/>
  <c r="O32" i="22"/>
  <c r="M32" i="22"/>
  <c r="K32" i="22"/>
  <c r="I32" i="22"/>
  <c r="G32" i="22"/>
  <c r="E32" i="22"/>
  <c r="AE31" i="22"/>
  <c r="AC31" i="22"/>
  <c r="AA31" i="22"/>
  <c r="Y31" i="22"/>
  <c r="W31" i="22"/>
  <c r="U31" i="22"/>
  <c r="S31" i="22"/>
  <c r="Q31" i="22"/>
  <c r="O31" i="22"/>
  <c r="M31" i="22"/>
  <c r="K31" i="22"/>
  <c r="I31" i="22"/>
  <c r="G31" i="22"/>
  <c r="E31" i="22"/>
  <c r="AE30" i="22"/>
  <c r="AC30" i="22"/>
  <c r="AA30" i="22"/>
  <c r="Y30" i="22"/>
  <c r="W30" i="22"/>
  <c r="U30" i="22"/>
  <c r="S30" i="22"/>
  <c r="Q30" i="22"/>
  <c r="O30" i="22"/>
  <c r="M30" i="22"/>
  <c r="K30" i="22"/>
  <c r="I30" i="22"/>
  <c r="G30" i="22"/>
  <c r="E30" i="22"/>
  <c r="AE29" i="22"/>
  <c r="AC29" i="22"/>
  <c r="AA29" i="22"/>
  <c r="Y29" i="22"/>
  <c r="W29" i="22"/>
  <c r="U29" i="22"/>
  <c r="S29" i="22"/>
  <c r="Q29" i="22"/>
  <c r="O29" i="22"/>
  <c r="M29" i="22"/>
  <c r="K29" i="22"/>
  <c r="I29" i="22"/>
  <c r="G29" i="22"/>
  <c r="E29" i="22"/>
  <c r="AE28" i="22"/>
  <c r="AC28" i="22"/>
  <c r="AA28" i="22"/>
  <c r="Y28" i="22"/>
  <c r="W28" i="22"/>
  <c r="U28" i="22"/>
  <c r="S28" i="22"/>
  <c r="Q28" i="22"/>
  <c r="O28" i="22"/>
  <c r="M28" i="22"/>
  <c r="K28" i="22"/>
  <c r="I28" i="22"/>
  <c r="G28" i="22"/>
  <c r="E28" i="22"/>
  <c r="AE27" i="22"/>
  <c r="AC27" i="22"/>
  <c r="AA27" i="22"/>
  <c r="Y27" i="22"/>
  <c r="W27" i="22"/>
  <c r="U27" i="22"/>
  <c r="S27" i="22"/>
  <c r="Q27" i="22"/>
  <c r="O27" i="22"/>
  <c r="M27" i="22"/>
  <c r="K27" i="22"/>
  <c r="I27" i="22"/>
  <c r="G27" i="22"/>
  <c r="E27" i="22"/>
  <c r="AE26" i="22"/>
  <c r="AC26" i="22"/>
  <c r="AA26" i="22"/>
  <c r="Y26" i="22"/>
  <c r="W26" i="22"/>
  <c r="U26" i="22"/>
  <c r="S26" i="22"/>
  <c r="Q26" i="22"/>
  <c r="O26" i="22"/>
  <c r="M26" i="22"/>
  <c r="K26" i="22"/>
  <c r="I26" i="22"/>
  <c r="G26" i="22"/>
  <c r="E26" i="22"/>
  <c r="AE25" i="22"/>
  <c r="AC25" i="22"/>
  <c r="AA25" i="22"/>
  <c r="Y25" i="22"/>
  <c r="W25" i="22"/>
  <c r="U25" i="22"/>
  <c r="S25" i="22"/>
  <c r="Q25" i="22"/>
  <c r="O25" i="22"/>
  <c r="M25" i="22"/>
  <c r="K25" i="22"/>
  <c r="I25" i="22"/>
  <c r="G25" i="22"/>
  <c r="E25" i="22"/>
  <c r="AE24" i="22"/>
  <c r="AC24" i="22"/>
  <c r="AA24" i="22"/>
  <c r="Y24" i="22"/>
  <c r="W24" i="22"/>
  <c r="U24" i="22"/>
  <c r="S24" i="22"/>
  <c r="Q24" i="22"/>
  <c r="O24" i="22"/>
  <c r="M24" i="22"/>
  <c r="K24" i="22"/>
  <c r="I24" i="22"/>
  <c r="G24" i="22"/>
  <c r="E24" i="22"/>
  <c r="AE23" i="22"/>
  <c r="AC23" i="22"/>
  <c r="AA23" i="22"/>
  <c r="Y23" i="22"/>
  <c r="W23" i="22"/>
  <c r="U23" i="22"/>
  <c r="S23" i="22"/>
  <c r="Q23" i="22"/>
  <c r="O23" i="22"/>
  <c r="M23" i="22"/>
  <c r="K23" i="22"/>
  <c r="I23" i="22"/>
  <c r="G23" i="22"/>
  <c r="E23" i="22"/>
  <c r="AE22" i="22"/>
  <c r="AC22" i="22"/>
  <c r="AA22" i="22"/>
  <c r="Y22" i="22"/>
  <c r="W22" i="22"/>
  <c r="U22" i="22"/>
  <c r="S22" i="22"/>
  <c r="Q22" i="22"/>
  <c r="O22" i="22"/>
  <c r="M22" i="22"/>
  <c r="K22" i="22"/>
  <c r="I22" i="22"/>
  <c r="G22" i="22"/>
  <c r="E22" i="22"/>
  <c r="AV23" i="21"/>
  <c r="AV24" i="21"/>
  <c r="AV25" i="21"/>
  <c r="AV26" i="21"/>
  <c r="AV27" i="21"/>
  <c r="AV28" i="21"/>
  <c r="AV29" i="21"/>
  <c r="AV22" i="21"/>
  <c r="AH23" i="21"/>
  <c r="AH24" i="21"/>
  <c r="AH25" i="21"/>
  <c r="AH26" i="21"/>
  <c r="AH27" i="21"/>
  <c r="AH28" i="21"/>
  <c r="AH29" i="21"/>
  <c r="AH30" i="21"/>
  <c r="AH31" i="21"/>
  <c r="AH32" i="21"/>
  <c r="AH33" i="21"/>
  <c r="AH34" i="21"/>
  <c r="AH35" i="21"/>
  <c r="AH36" i="21"/>
  <c r="AH37" i="21"/>
  <c r="AH38" i="21"/>
  <c r="AH39" i="21"/>
  <c r="AH40" i="21"/>
  <c r="AH41" i="21"/>
  <c r="AH42" i="21"/>
  <c r="AH43" i="21"/>
  <c r="AH44" i="21"/>
  <c r="AH45" i="21"/>
  <c r="AH46" i="21"/>
  <c r="AH47" i="21"/>
  <c r="AH48" i="21"/>
  <c r="AH49" i="21"/>
  <c r="AH50" i="21"/>
  <c r="AH51" i="21"/>
  <c r="AH52" i="21"/>
  <c r="AH53" i="21"/>
  <c r="AH54" i="21"/>
  <c r="AH55" i="21"/>
  <c r="AH56" i="21"/>
  <c r="AH57" i="21"/>
  <c r="AH58" i="21"/>
  <c r="AH59" i="21"/>
  <c r="AH60" i="21"/>
  <c r="AH61" i="21"/>
  <c r="AH62" i="21"/>
  <c r="AH63" i="21"/>
  <c r="AH64" i="21"/>
  <c r="AH65" i="21"/>
  <c r="AH66" i="21"/>
  <c r="AH67" i="21"/>
  <c r="AH68" i="21"/>
  <c r="AH69" i="21"/>
  <c r="AH70" i="21"/>
  <c r="AH71" i="21"/>
  <c r="AH72" i="21"/>
  <c r="AH73" i="21"/>
  <c r="AH74" i="21"/>
  <c r="AH75" i="21"/>
  <c r="AH76" i="21"/>
  <c r="AH77" i="21"/>
  <c r="AH78" i="21"/>
  <c r="AH79" i="21"/>
  <c r="AH80" i="21"/>
  <c r="AH81" i="21"/>
  <c r="AH82" i="21"/>
  <c r="AH83" i="21"/>
  <c r="AH84" i="21"/>
  <c r="AH85" i="21"/>
  <c r="AH86" i="21"/>
  <c r="AH87" i="21"/>
  <c r="AH88" i="21"/>
  <c r="AH89" i="21"/>
  <c r="AH90" i="21"/>
  <c r="AH91" i="21"/>
  <c r="AH92" i="21"/>
  <c r="AH93" i="21"/>
  <c r="AH94" i="21"/>
  <c r="AH95" i="21"/>
  <c r="AH96" i="21"/>
  <c r="AH22" i="21"/>
  <c r="AG11" i="21"/>
  <c r="AG10" i="21"/>
  <c r="AG9" i="21"/>
  <c r="AG8" i="21"/>
  <c r="AG7" i="21"/>
  <c r="AG6" i="21"/>
  <c r="AG5" i="21"/>
  <c r="AG4" i="21"/>
  <c r="AG3" i="21"/>
  <c r="AG2" i="21"/>
  <c r="AC11" i="21"/>
  <c r="AC10" i="21"/>
  <c r="AC9" i="21"/>
  <c r="AC8" i="21"/>
  <c r="AC7" i="21"/>
  <c r="AC6" i="21"/>
  <c r="AC5" i="21"/>
  <c r="AC4" i="21"/>
  <c r="AC3" i="21"/>
  <c r="AC2" i="21"/>
  <c r="Y11" i="21"/>
  <c r="Y10" i="21"/>
  <c r="Y9" i="21"/>
  <c r="Y8" i="21"/>
  <c r="Y7" i="21"/>
  <c r="Y6" i="21"/>
  <c r="Y5" i="21"/>
  <c r="Y4" i="21"/>
  <c r="Y3" i="21"/>
  <c r="Y2" i="21"/>
  <c r="U11" i="21"/>
  <c r="U10" i="21"/>
  <c r="U9" i="21"/>
  <c r="U8" i="21"/>
  <c r="U7" i="21"/>
  <c r="U6" i="21"/>
  <c r="U5" i="21"/>
  <c r="U4" i="21"/>
  <c r="U3" i="21"/>
  <c r="U2" i="21"/>
  <c r="Q10" i="21"/>
  <c r="Q9" i="21"/>
  <c r="Q8" i="21"/>
  <c r="Q7" i="21"/>
  <c r="Q6" i="21"/>
  <c r="Q5" i="21"/>
  <c r="Q4" i="21"/>
  <c r="Q3" i="21"/>
  <c r="Q2" i="21"/>
  <c r="M11" i="21"/>
  <c r="M10" i="21"/>
  <c r="M9" i="21"/>
  <c r="M8" i="21"/>
  <c r="M7" i="21"/>
  <c r="M6" i="21"/>
  <c r="M5" i="21"/>
  <c r="M4" i="21"/>
  <c r="M3" i="21"/>
  <c r="M2" i="21"/>
  <c r="I3" i="21"/>
  <c r="I4" i="21"/>
  <c r="I5" i="21"/>
  <c r="I6" i="21"/>
  <c r="I7" i="21"/>
  <c r="I8" i="21"/>
  <c r="I9" i="21"/>
  <c r="I10" i="21"/>
  <c r="I11" i="21"/>
  <c r="I2" i="21"/>
  <c r="AF96" i="21"/>
  <c r="AF95" i="21"/>
  <c r="AF94" i="21"/>
  <c r="AF93" i="21"/>
  <c r="AF92" i="21"/>
  <c r="AF91" i="21"/>
  <c r="AF90" i="21"/>
  <c r="AF89" i="21"/>
  <c r="AF88" i="21"/>
  <c r="AF87" i="21"/>
  <c r="AF86" i="21"/>
  <c r="AF85" i="21"/>
  <c r="AF84" i="21"/>
  <c r="AF83" i="21"/>
  <c r="AF82" i="21"/>
  <c r="AF81" i="21"/>
  <c r="AF80" i="21"/>
  <c r="AF79" i="21"/>
  <c r="AF78" i="21"/>
  <c r="AF77" i="21"/>
  <c r="AF76" i="21"/>
  <c r="AF75" i="21"/>
  <c r="AF74" i="21"/>
  <c r="AF73" i="21"/>
  <c r="AF72" i="21"/>
  <c r="AF71" i="21"/>
  <c r="AF70" i="21"/>
  <c r="AF69" i="21"/>
  <c r="AF68" i="21"/>
  <c r="AF67" i="21"/>
  <c r="AF66" i="21"/>
  <c r="AF65" i="21"/>
  <c r="AF64" i="21"/>
  <c r="AF63" i="21"/>
  <c r="AF62" i="21"/>
  <c r="AF61" i="21"/>
  <c r="AF60" i="21"/>
  <c r="AF59" i="21"/>
  <c r="AF58" i="21"/>
  <c r="AF57" i="21"/>
  <c r="AF56" i="21"/>
  <c r="AF55" i="21"/>
  <c r="AF54" i="21"/>
  <c r="AF53" i="21"/>
  <c r="AF52" i="21"/>
  <c r="AF51" i="21"/>
  <c r="AF50" i="21"/>
  <c r="AE17" i="21" s="1"/>
  <c r="AF49" i="21"/>
  <c r="AF48" i="21"/>
  <c r="AF47" i="21"/>
  <c r="AF46" i="21"/>
  <c r="AF45" i="21"/>
  <c r="AF44" i="21"/>
  <c r="AF43" i="21"/>
  <c r="AF42" i="21"/>
  <c r="AF41" i="21"/>
  <c r="AF40" i="21"/>
  <c r="AF39" i="21"/>
  <c r="AF38" i="21"/>
  <c r="AF37" i="21"/>
  <c r="AF36" i="21"/>
  <c r="AF35" i="21"/>
  <c r="AF34" i="21"/>
  <c r="AF33" i="21"/>
  <c r="AF32" i="21"/>
  <c r="AF31" i="21"/>
  <c r="AF30" i="21"/>
  <c r="AF29" i="21"/>
  <c r="AF28" i="21"/>
  <c r="AF27" i="21"/>
  <c r="AF26" i="21"/>
  <c r="AF25" i="21"/>
  <c r="AF24" i="21"/>
  <c r="AF23" i="21"/>
  <c r="AD96" i="21"/>
  <c r="AD95" i="21"/>
  <c r="AD94" i="21"/>
  <c r="AD93" i="21"/>
  <c r="AD92" i="21"/>
  <c r="AD91" i="21"/>
  <c r="AD90" i="21"/>
  <c r="AD89" i="21"/>
  <c r="AD88" i="21"/>
  <c r="AD87" i="21"/>
  <c r="AD86" i="21"/>
  <c r="AD85" i="21"/>
  <c r="AD84" i="21"/>
  <c r="AD83" i="21"/>
  <c r="AD82" i="21"/>
  <c r="AD81" i="21"/>
  <c r="AD80" i="21"/>
  <c r="AD79" i="21"/>
  <c r="AD78" i="21"/>
  <c r="AD77" i="21"/>
  <c r="AD76" i="21"/>
  <c r="AD75" i="21"/>
  <c r="AD74" i="21"/>
  <c r="AD73" i="21"/>
  <c r="AD72" i="21"/>
  <c r="AD71" i="21"/>
  <c r="AD70" i="21"/>
  <c r="AD69" i="21"/>
  <c r="AD68" i="21"/>
  <c r="AD67" i="21"/>
  <c r="AD66" i="21"/>
  <c r="AD65" i="21"/>
  <c r="AD64" i="21"/>
  <c r="AD63" i="21"/>
  <c r="AD62" i="21"/>
  <c r="AD61" i="21"/>
  <c r="AD60" i="21"/>
  <c r="AD59" i="21"/>
  <c r="AD58" i="21"/>
  <c r="AD57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AD44" i="21"/>
  <c r="AD43" i="21"/>
  <c r="AD42" i="21"/>
  <c r="AD41" i="21"/>
  <c r="AD40" i="21"/>
  <c r="AD39" i="21"/>
  <c r="AD38" i="21"/>
  <c r="AD37" i="21"/>
  <c r="AD36" i="21"/>
  <c r="AD35" i="21"/>
  <c r="AD34" i="21"/>
  <c r="AD33" i="21"/>
  <c r="AD32" i="21"/>
  <c r="AD31" i="21"/>
  <c r="AD30" i="21"/>
  <c r="AD29" i="21"/>
  <c r="AD28" i="21"/>
  <c r="AD27" i="21"/>
  <c r="AD26" i="21"/>
  <c r="AD25" i="21"/>
  <c r="AD24" i="21"/>
  <c r="AD23" i="21"/>
  <c r="AB96" i="21"/>
  <c r="AB95" i="21"/>
  <c r="AB94" i="21"/>
  <c r="AB93" i="21"/>
  <c r="AB92" i="21"/>
  <c r="AB91" i="21"/>
  <c r="AB90" i="21"/>
  <c r="AB89" i="21"/>
  <c r="AB88" i="21"/>
  <c r="AB87" i="21"/>
  <c r="AB86" i="21"/>
  <c r="AB85" i="21"/>
  <c r="AB84" i="21"/>
  <c r="AB83" i="21"/>
  <c r="AB82" i="21"/>
  <c r="AB81" i="21"/>
  <c r="AB80" i="21"/>
  <c r="AB79" i="21"/>
  <c r="AB78" i="21"/>
  <c r="AB77" i="21"/>
  <c r="AB76" i="21"/>
  <c r="AB75" i="21"/>
  <c r="AB74" i="21"/>
  <c r="AB73" i="21"/>
  <c r="AB72" i="21"/>
  <c r="AB71" i="21"/>
  <c r="AB70" i="21"/>
  <c r="AB69" i="21"/>
  <c r="AB68" i="21"/>
  <c r="AB67" i="21"/>
  <c r="AB66" i="21"/>
  <c r="AB65" i="21"/>
  <c r="AB64" i="21"/>
  <c r="AB63" i="21"/>
  <c r="AB62" i="21"/>
  <c r="AB61" i="21"/>
  <c r="AB60" i="21"/>
  <c r="AB59" i="21"/>
  <c r="AB58" i="21"/>
  <c r="AB57" i="21"/>
  <c r="AB56" i="21"/>
  <c r="AB55" i="21"/>
  <c r="AB54" i="21"/>
  <c r="AB53" i="21"/>
  <c r="AB52" i="21"/>
  <c r="AB51" i="21"/>
  <c r="AB50" i="21"/>
  <c r="AB17" i="21" s="1"/>
  <c r="AB18" i="21" s="1"/>
  <c r="AB49" i="21"/>
  <c r="AB48" i="21"/>
  <c r="AB47" i="21"/>
  <c r="AB46" i="21"/>
  <c r="AB45" i="21"/>
  <c r="AB44" i="21"/>
  <c r="AB43" i="21"/>
  <c r="AB42" i="21"/>
  <c r="AB41" i="21"/>
  <c r="AB40" i="21"/>
  <c r="AB39" i="21"/>
  <c r="AB38" i="21"/>
  <c r="AB37" i="21"/>
  <c r="AB36" i="21"/>
  <c r="AB35" i="21"/>
  <c r="AB34" i="21"/>
  <c r="AB33" i="21"/>
  <c r="AB32" i="21"/>
  <c r="AB31" i="21"/>
  <c r="AB30" i="21"/>
  <c r="AB29" i="21"/>
  <c r="AB28" i="21"/>
  <c r="AB27" i="21"/>
  <c r="AB26" i="21"/>
  <c r="AB25" i="21"/>
  <c r="AB24" i="21"/>
  <c r="AB23" i="21"/>
  <c r="Z96" i="21"/>
  <c r="Z95" i="21"/>
  <c r="Z94" i="21"/>
  <c r="Z93" i="21"/>
  <c r="Z92" i="21"/>
  <c r="Z91" i="21"/>
  <c r="Z90" i="21"/>
  <c r="Z89" i="21"/>
  <c r="Z88" i="21"/>
  <c r="Z87" i="21"/>
  <c r="Z86" i="21"/>
  <c r="Z85" i="21"/>
  <c r="Z84" i="21"/>
  <c r="Z83" i="21"/>
  <c r="Z82" i="21"/>
  <c r="Z81" i="21"/>
  <c r="Z80" i="21"/>
  <c r="Z79" i="21"/>
  <c r="Z78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9" i="21"/>
  <c r="Z58" i="21"/>
  <c r="Z57" i="21"/>
  <c r="Z56" i="21"/>
  <c r="Z55" i="21"/>
  <c r="Z54" i="21"/>
  <c r="Z53" i="21"/>
  <c r="Z52" i="21"/>
  <c r="Z51" i="21"/>
  <c r="Z50" i="21"/>
  <c r="Y17" i="21" s="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Y16" i="21" s="1"/>
  <c r="X96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X80" i="21"/>
  <c r="X79" i="21"/>
  <c r="X78" i="21"/>
  <c r="X77" i="21"/>
  <c r="X76" i="21"/>
  <c r="X75" i="21"/>
  <c r="X74" i="21"/>
  <c r="X73" i="21"/>
  <c r="X72" i="21"/>
  <c r="X71" i="21"/>
  <c r="X70" i="21"/>
  <c r="X69" i="21"/>
  <c r="X68" i="21"/>
  <c r="X67" i="21"/>
  <c r="X66" i="21"/>
  <c r="X65" i="21"/>
  <c r="X64" i="21"/>
  <c r="X63" i="21"/>
  <c r="X62" i="21"/>
  <c r="X61" i="21"/>
  <c r="X60" i="21"/>
  <c r="X59" i="21"/>
  <c r="X58" i="21"/>
  <c r="X57" i="21"/>
  <c r="X56" i="21"/>
  <c r="X55" i="21"/>
  <c r="X54" i="21"/>
  <c r="X53" i="21"/>
  <c r="X52" i="21"/>
  <c r="X51" i="21"/>
  <c r="X50" i="21"/>
  <c r="W17" i="21" s="1"/>
  <c r="X49" i="21"/>
  <c r="X48" i="21"/>
  <c r="X47" i="21"/>
  <c r="X46" i="21"/>
  <c r="X45" i="21"/>
  <c r="X44" i="21"/>
  <c r="X43" i="21"/>
  <c r="X42" i="21"/>
  <c r="X41" i="21"/>
  <c r="X40" i="21"/>
  <c r="X39" i="21"/>
  <c r="X38" i="21"/>
  <c r="X37" i="21"/>
  <c r="X36" i="21"/>
  <c r="X35" i="21"/>
  <c r="X34" i="21"/>
  <c r="X33" i="21"/>
  <c r="X32" i="21"/>
  <c r="X31" i="21"/>
  <c r="X30" i="21"/>
  <c r="X29" i="21"/>
  <c r="X28" i="21"/>
  <c r="X27" i="21"/>
  <c r="X26" i="21"/>
  <c r="X25" i="21"/>
  <c r="X24" i="21"/>
  <c r="X23" i="21"/>
  <c r="V96" i="21"/>
  <c r="V95" i="21"/>
  <c r="V94" i="21"/>
  <c r="V93" i="21"/>
  <c r="V92" i="21"/>
  <c r="V91" i="21"/>
  <c r="V90" i="21"/>
  <c r="V89" i="21"/>
  <c r="V88" i="21"/>
  <c r="V87" i="21"/>
  <c r="V86" i="21"/>
  <c r="V85" i="21"/>
  <c r="V84" i="21"/>
  <c r="V83" i="21"/>
  <c r="V82" i="21"/>
  <c r="V81" i="21"/>
  <c r="V80" i="21"/>
  <c r="V79" i="21"/>
  <c r="V78" i="21"/>
  <c r="V77" i="21"/>
  <c r="V76" i="21"/>
  <c r="V75" i="21"/>
  <c r="V74" i="21"/>
  <c r="V73" i="21"/>
  <c r="V72" i="21"/>
  <c r="V71" i="21"/>
  <c r="V70" i="21"/>
  <c r="V69" i="21"/>
  <c r="V68" i="21"/>
  <c r="V67" i="21"/>
  <c r="V66" i="21"/>
  <c r="V65" i="21"/>
  <c r="V64" i="21"/>
  <c r="V63" i="21"/>
  <c r="V62" i="21"/>
  <c r="V61" i="21"/>
  <c r="V60" i="21"/>
  <c r="V59" i="21"/>
  <c r="V58" i="21"/>
  <c r="V57" i="21"/>
  <c r="V56" i="21"/>
  <c r="V55" i="21"/>
  <c r="V54" i="21"/>
  <c r="V53" i="21"/>
  <c r="V52" i="21"/>
  <c r="V51" i="21"/>
  <c r="V50" i="21"/>
  <c r="U17" i="21" s="1"/>
  <c r="V49" i="21"/>
  <c r="V48" i="21"/>
  <c r="V47" i="21"/>
  <c r="V46" i="21"/>
  <c r="V45" i="21"/>
  <c r="V44" i="21"/>
  <c r="V43" i="21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T96" i="21"/>
  <c r="T95" i="21"/>
  <c r="T94" i="21"/>
  <c r="T93" i="21"/>
  <c r="T92" i="21"/>
  <c r="T91" i="21"/>
  <c r="T90" i="21"/>
  <c r="T89" i="21"/>
  <c r="T88" i="21"/>
  <c r="T87" i="21"/>
  <c r="T86" i="21"/>
  <c r="T85" i="21"/>
  <c r="T84" i="21"/>
  <c r="T83" i="21"/>
  <c r="T82" i="21"/>
  <c r="T81" i="21"/>
  <c r="T80" i="21"/>
  <c r="T79" i="21"/>
  <c r="T78" i="21"/>
  <c r="T77" i="21"/>
  <c r="T76" i="21"/>
  <c r="T75" i="21"/>
  <c r="T74" i="21"/>
  <c r="T73" i="21"/>
  <c r="T72" i="21"/>
  <c r="T71" i="21"/>
  <c r="T70" i="21"/>
  <c r="T69" i="21"/>
  <c r="T68" i="21"/>
  <c r="T67" i="21"/>
  <c r="T66" i="21"/>
  <c r="T65" i="21"/>
  <c r="T64" i="21"/>
  <c r="T63" i="21"/>
  <c r="T62" i="21"/>
  <c r="T61" i="21"/>
  <c r="T60" i="21"/>
  <c r="T59" i="21"/>
  <c r="T58" i="21"/>
  <c r="T57" i="21"/>
  <c r="T56" i="21"/>
  <c r="T55" i="21"/>
  <c r="T54" i="21"/>
  <c r="T53" i="21"/>
  <c r="T52" i="21"/>
  <c r="T51" i="21"/>
  <c r="T50" i="21"/>
  <c r="T17" i="21" s="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R96" i="21"/>
  <c r="R95" i="21"/>
  <c r="R94" i="21"/>
  <c r="R93" i="21"/>
  <c r="R92" i="21"/>
  <c r="R91" i="21"/>
  <c r="R90" i="21"/>
  <c r="R89" i="21"/>
  <c r="R88" i="21"/>
  <c r="R87" i="21"/>
  <c r="R86" i="21"/>
  <c r="R85" i="21"/>
  <c r="R84" i="21"/>
  <c r="R83" i="21"/>
  <c r="R82" i="21"/>
  <c r="R81" i="21"/>
  <c r="R80" i="21"/>
  <c r="R79" i="21"/>
  <c r="R78" i="21"/>
  <c r="R77" i="21"/>
  <c r="R76" i="21"/>
  <c r="R75" i="21"/>
  <c r="R74" i="21"/>
  <c r="R73" i="21"/>
  <c r="R72" i="21"/>
  <c r="R71" i="21"/>
  <c r="R70" i="21"/>
  <c r="R69" i="21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Q17" i="21" s="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Q16" i="21" s="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O17" i="21" s="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M17" i="21" s="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K17" i="21" s="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I17" i="21" s="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H96" i="21"/>
  <c r="AJ96" i="21" s="1"/>
  <c r="H95" i="21"/>
  <c r="AN95" i="21" s="1"/>
  <c r="H94" i="21"/>
  <c r="AJ94" i="21" s="1"/>
  <c r="H93" i="21"/>
  <c r="AJ93" i="21" s="1"/>
  <c r="H92" i="21"/>
  <c r="AJ92" i="21" s="1"/>
  <c r="H91" i="21"/>
  <c r="AN91" i="21" s="1"/>
  <c r="H90" i="21"/>
  <c r="AN90" i="21" s="1"/>
  <c r="H89" i="21"/>
  <c r="AN89" i="21" s="1"/>
  <c r="H88" i="21"/>
  <c r="AJ88" i="21" s="1"/>
  <c r="H87" i="21"/>
  <c r="AN87" i="21" s="1"/>
  <c r="H86" i="21"/>
  <c r="AJ86" i="21" s="1"/>
  <c r="H85" i="21"/>
  <c r="AJ85" i="21" s="1"/>
  <c r="H84" i="21"/>
  <c r="AJ84" i="21" s="1"/>
  <c r="H83" i="21"/>
  <c r="AN83" i="21" s="1"/>
  <c r="H82" i="21"/>
  <c r="AN82" i="21" s="1"/>
  <c r="H81" i="21"/>
  <c r="AN81" i="21" s="1"/>
  <c r="H80" i="21"/>
  <c r="AJ80" i="21" s="1"/>
  <c r="H79" i="21"/>
  <c r="AN79" i="21" s="1"/>
  <c r="H78" i="21"/>
  <c r="AJ78" i="21" s="1"/>
  <c r="H77" i="21"/>
  <c r="AJ77" i="21" s="1"/>
  <c r="H76" i="21"/>
  <c r="AJ76" i="21" s="1"/>
  <c r="H75" i="21"/>
  <c r="AN75" i="21" s="1"/>
  <c r="H74" i="21"/>
  <c r="AN74" i="21" s="1"/>
  <c r="H73" i="21"/>
  <c r="AN73" i="21" s="1"/>
  <c r="H72" i="21"/>
  <c r="AJ72" i="21" s="1"/>
  <c r="H71" i="21"/>
  <c r="AN71" i="21" s="1"/>
  <c r="H70" i="21"/>
  <c r="AJ70" i="21" s="1"/>
  <c r="H69" i="21"/>
  <c r="AJ69" i="21" s="1"/>
  <c r="H68" i="21"/>
  <c r="AJ68" i="21" s="1"/>
  <c r="H67" i="21"/>
  <c r="AN67" i="21" s="1"/>
  <c r="H66" i="21"/>
  <c r="AN66" i="21" s="1"/>
  <c r="H65" i="21"/>
  <c r="AN65" i="21" s="1"/>
  <c r="H64" i="21"/>
  <c r="AJ64" i="21" s="1"/>
  <c r="H63" i="21"/>
  <c r="AN63" i="21" s="1"/>
  <c r="H62" i="21"/>
  <c r="AJ62" i="21" s="1"/>
  <c r="H61" i="21"/>
  <c r="AJ61" i="21" s="1"/>
  <c r="H60" i="21"/>
  <c r="AJ60" i="21" s="1"/>
  <c r="H59" i="21"/>
  <c r="AN59" i="21" s="1"/>
  <c r="H58" i="21"/>
  <c r="AN58" i="21" s="1"/>
  <c r="H57" i="21"/>
  <c r="AN57" i="21" s="1"/>
  <c r="H56" i="21"/>
  <c r="AJ56" i="21" s="1"/>
  <c r="H55" i="21"/>
  <c r="AN55" i="21" s="1"/>
  <c r="H54" i="21"/>
  <c r="AJ54" i="21" s="1"/>
  <c r="H53" i="21"/>
  <c r="AJ53" i="21" s="1"/>
  <c r="H52" i="21"/>
  <c r="AJ52" i="21" s="1"/>
  <c r="H51" i="21"/>
  <c r="AN51" i="21" s="1"/>
  <c r="H50" i="21"/>
  <c r="G17" i="21" s="1"/>
  <c r="H49" i="21"/>
  <c r="AN49" i="21" s="1"/>
  <c r="H48" i="21"/>
  <c r="AJ48" i="21" s="1"/>
  <c r="H47" i="21"/>
  <c r="AN47" i="21" s="1"/>
  <c r="H46" i="21"/>
  <c r="AJ46" i="21" s="1"/>
  <c r="H45" i="21"/>
  <c r="AJ45" i="21" s="1"/>
  <c r="H44" i="21"/>
  <c r="AJ44" i="21" s="1"/>
  <c r="H43" i="21"/>
  <c r="AN43" i="21" s="1"/>
  <c r="H42" i="21"/>
  <c r="AN42" i="21" s="1"/>
  <c r="H41" i="21"/>
  <c r="AN41" i="21" s="1"/>
  <c r="H40" i="21"/>
  <c r="AJ40" i="21" s="1"/>
  <c r="H39" i="21"/>
  <c r="AN39" i="21" s="1"/>
  <c r="H38" i="21"/>
  <c r="AJ38" i="21" s="1"/>
  <c r="H37" i="21"/>
  <c r="AJ37" i="21" s="1"/>
  <c r="H36" i="21"/>
  <c r="AJ36" i="21" s="1"/>
  <c r="H35" i="21"/>
  <c r="AN35" i="21" s="1"/>
  <c r="H34" i="21"/>
  <c r="AN34" i="21" s="1"/>
  <c r="H33" i="21"/>
  <c r="AN33" i="21" s="1"/>
  <c r="H32" i="21"/>
  <c r="AJ32" i="21" s="1"/>
  <c r="H31" i="21"/>
  <c r="AN31" i="21" s="1"/>
  <c r="H30" i="21"/>
  <c r="AJ30" i="21" s="1"/>
  <c r="H29" i="21"/>
  <c r="AJ29" i="21" s="1"/>
  <c r="H28" i="21"/>
  <c r="AJ28" i="21" s="1"/>
  <c r="H27" i="21"/>
  <c r="AN27" i="21" s="1"/>
  <c r="H26" i="21"/>
  <c r="AN26" i="21" s="1"/>
  <c r="H25" i="21"/>
  <c r="AN25" i="21" s="1"/>
  <c r="H24" i="21"/>
  <c r="AN24" i="21" s="1"/>
  <c r="H23" i="21"/>
  <c r="AN23" i="21" s="1"/>
  <c r="H22" i="21"/>
  <c r="H16" i="21" s="1"/>
  <c r="F23" i="21"/>
  <c r="AI23" i="21" s="1"/>
  <c r="F24" i="21"/>
  <c r="F25" i="21"/>
  <c r="AI25" i="21" s="1"/>
  <c r="F26" i="21"/>
  <c r="AI26" i="21" s="1"/>
  <c r="F27" i="21"/>
  <c r="F28" i="21"/>
  <c r="AM28" i="21" s="1"/>
  <c r="F29" i="21"/>
  <c r="AI29" i="21" s="1"/>
  <c r="F30" i="21"/>
  <c r="AI30" i="21" s="1"/>
  <c r="F31" i="21"/>
  <c r="AI31" i="21" s="1"/>
  <c r="F32" i="21"/>
  <c r="AM32" i="21" s="1"/>
  <c r="F33" i="21"/>
  <c r="AM33" i="21" s="1"/>
  <c r="F34" i="21"/>
  <c r="AM34" i="21" s="1"/>
  <c r="F35" i="21"/>
  <c r="AM35" i="21" s="1"/>
  <c r="F36" i="21"/>
  <c r="AM36" i="21" s="1"/>
  <c r="F37" i="21"/>
  <c r="AI37" i="21" s="1"/>
  <c r="F38" i="21"/>
  <c r="AM38" i="21" s="1"/>
  <c r="F39" i="21"/>
  <c r="AM39" i="21" s="1"/>
  <c r="F40" i="21"/>
  <c r="AM40" i="21" s="1"/>
  <c r="F41" i="21"/>
  <c r="AI41" i="21" s="1"/>
  <c r="F42" i="21"/>
  <c r="AI42" i="21" s="1"/>
  <c r="F43" i="21"/>
  <c r="AM43" i="21" s="1"/>
  <c r="F44" i="21"/>
  <c r="AM44" i="21" s="1"/>
  <c r="F45" i="21"/>
  <c r="AI45" i="21" s="1"/>
  <c r="F46" i="21"/>
  <c r="AM46" i="21" s="1"/>
  <c r="F47" i="21"/>
  <c r="AM47" i="21" s="1"/>
  <c r="F48" i="21"/>
  <c r="AM48" i="21" s="1"/>
  <c r="F49" i="21"/>
  <c r="AI49" i="21" s="1"/>
  <c r="F50" i="21"/>
  <c r="E17" i="21" s="1"/>
  <c r="F51" i="21"/>
  <c r="AM51" i="21" s="1"/>
  <c r="F52" i="21"/>
  <c r="AM52" i="21" s="1"/>
  <c r="F53" i="21"/>
  <c r="AI53" i="21" s="1"/>
  <c r="F54" i="21"/>
  <c r="AM54" i="21" s="1"/>
  <c r="F55" i="21"/>
  <c r="AM55" i="21" s="1"/>
  <c r="F56" i="21"/>
  <c r="AM56" i="21" s="1"/>
  <c r="F57" i="21"/>
  <c r="AI57" i="21" s="1"/>
  <c r="F58" i="21"/>
  <c r="AI58" i="21" s="1"/>
  <c r="F59" i="21"/>
  <c r="AM59" i="21" s="1"/>
  <c r="F60" i="21"/>
  <c r="AM60" i="21" s="1"/>
  <c r="F61" i="21"/>
  <c r="AI61" i="21" s="1"/>
  <c r="F62" i="21"/>
  <c r="AM62" i="21" s="1"/>
  <c r="F63" i="21"/>
  <c r="AM63" i="21" s="1"/>
  <c r="F64" i="21"/>
  <c r="AM64" i="21" s="1"/>
  <c r="F65" i="21"/>
  <c r="AI65" i="21" s="1"/>
  <c r="F66" i="21"/>
  <c r="AI66" i="21" s="1"/>
  <c r="F67" i="21"/>
  <c r="AM67" i="21" s="1"/>
  <c r="F68" i="21"/>
  <c r="AM68" i="21" s="1"/>
  <c r="F69" i="21"/>
  <c r="AI69" i="21" s="1"/>
  <c r="F70" i="21"/>
  <c r="AM70" i="21" s="1"/>
  <c r="F71" i="21"/>
  <c r="AM71" i="21" s="1"/>
  <c r="F72" i="21"/>
  <c r="AM72" i="21" s="1"/>
  <c r="F73" i="21"/>
  <c r="AI73" i="21" s="1"/>
  <c r="F74" i="21"/>
  <c r="AI74" i="21" s="1"/>
  <c r="F75" i="21"/>
  <c r="AM75" i="21" s="1"/>
  <c r="F76" i="21"/>
  <c r="AM76" i="21" s="1"/>
  <c r="F77" i="21"/>
  <c r="AI77" i="21" s="1"/>
  <c r="F78" i="21"/>
  <c r="AM78" i="21" s="1"/>
  <c r="F79" i="21"/>
  <c r="AM79" i="21" s="1"/>
  <c r="F80" i="21"/>
  <c r="AM80" i="21" s="1"/>
  <c r="F81" i="21"/>
  <c r="AI81" i="21" s="1"/>
  <c r="F82" i="21"/>
  <c r="AI82" i="21" s="1"/>
  <c r="F83" i="21"/>
  <c r="AM83" i="21" s="1"/>
  <c r="F84" i="21"/>
  <c r="AM84" i="21" s="1"/>
  <c r="F85" i="21"/>
  <c r="AI85" i="21" s="1"/>
  <c r="F86" i="21"/>
  <c r="AM86" i="21" s="1"/>
  <c r="F87" i="21"/>
  <c r="AM87" i="21" s="1"/>
  <c r="F88" i="21"/>
  <c r="AM88" i="21" s="1"/>
  <c r="F89" i="21"/>
  <c r="AI89" i="21" s="1"/>
  <c r="F90" i="21"/>
  <c r="AI90" i="21" s="1"/>
  <c r="F91" i="21"/>
  <c r="AM91" i="21" s="1"/>
  <c r="F92" i="21"/>
  <c r="AM92" i="21" s="1"/>
  <c r="F93" i="21"/>
  <c r="AI93" i="21" s="1"/>
  <c r="F94" i="21"/>
  <c r="AM94" i="21" s="1"/>
  <c r="F95" i="21"/>
  <c r="AM95" i="21" s="1"/>
  <c r="F96" i="21"/>
  <c r="AM96" i="21" s="1"/>
  <c r="F22" i="21"/>
  <c r="AM22" i="21" s="1"/>
  <c r="AF12" i="21"/>
  <c r="AD12" i="21"/>
  <c r="AG12" i="21" s="1"/>
  <c r="AB12" i="21"/>
  <c r="Z12" i="21"/>
  <c r="AC12" i="21" s="1"/>
  <c r="X12" i="21"/>
  <c r="V12" i="21"/>
  <c r="V13" i="21" s="1"/>
  <c r="T12" i="21"/>
  <c r="R12" i="21"/>
  <c r="R13" i="21" s="1"/>
  <c r="P12" i="21"/>
  <c r="N12" i="21"/>
  <c r="L12" i="21"/>
  <c r="J12" i="21"/>
  <c r="H12" i="21"/>
  <c r="F12" i="21"/>
  <c r="F13" i="21" s="1"/>
  <c r="J22" i="21"/>
  <c r="J16" i="21" s="1"/>
  <c r="L22" i="21"/>
  <c r="K16" i="21" s="1"/>
  <c r="N22" i="21"/>
  <c r="M16" i="21" s="1"/>
  <c r="P22" i="21"/>
  <c r="O16" i="21" s="1"/>
  <c r="T22" i="21"/>
  <c r="T16" i="21" s="1"/>
  <c r="V22" i="21"/>
  <c r="U16" i="21" s="1"/>
  <c r="X22" i="21"/>
  <c r="W16" i="21" s="1"/>
  <c r="AB22" i="21"/>
  <c r="AB16" i="21" s="1"/>
  <c r="AD22" i="21"/>
  <c r="AC16" i="21" s="1"/>
  <c r="AF22" i="21"/>
  <c r="AA62" i="19"/>
  <c r="AE47" i="19"/>
  <c r="AC47" i="19"/>
  <c r="AE46" i="19"/>
  <c r="AC46" i="19"/>
  <c r="AE45" i="19"/>
  <c r="AC45" i="19"/>
  <c r="AE44" i="19"/>
  <c r="AC44" i="19"/>
  <c r="AE43" i="19"/>
  <c r="AC43" i="19"/>
  <c r="AE42" i="19"/>
  <c r="AC42" i="19"/>
  <c r="AE41" i="19"/>
  <c r="AC41" i="19"/>
  <c r="AE40" i="19"/>
  <c r="AC40" i="19"/>
  <c r="AE39" i="19"/>
  <c r="AC39" i="19"/>
  <c r="AE38" i="19"/>
  <c r="AD38" i="19"/>
  <c r="AD39" i="19" s="1"/>
  <c r="AD40" i="19" s="1"/>
  <c r="AD41" i="19" s="1"/>
  <c r="AD42" i="19" s="1"/>
  <c r="AD43" i="19" s="1"/>
  <c r="AD44" i="19" s="1"/>
  <c r="AD45" i="19" s="1"/>
  <c r="AD46" i="19" s="1"/>
  <c r="AD47" i="19" s="1"/>
  <c r="AC38" i="19"/>
  <c r="X93" i="19"/>
  <c r="W93" i="19"/>
  <c r="X89" i="19"/>
  <c r="W89" i="19"/>
  <c r="X82" i="19"/>
  <c r="W82" i="19"/>
  <c r="X75" i="19"/>
  <c r="W75" i="19"/>
  <c r="X68" i="19"/>
  <c r="W68" i="19"/>
  <c r="X61" i="19"/>
  <c r="W61" i="19"/>
  <c r="X54" i="19"/>
  <c r="W54" i="19"/>
  <c r="X47" i="19"/>
  <c r="W47" i="19"/>
  <c r="X40" i="19"/>
  <c r="W40" i="19"/>
  <c r="X33" i="19"/>
  <c r="W33" i="19"/>
  <c r="W26" i="19"/>
  <c r="U26" i="19"/>
  <c r="X26" i="19"/>
  <c r="V26" i="19"/>
  <c r="AD20" i="19"/>
  <c r="AD21" i="19" s="1"/>
  <c r="AD22" i="19" s="1"/>
  <c r="AD23" i="19" s="1"/>
  <c r="AD24" i="19" s="1"/>
  <c r="AD25" i="19" s="1"/>
  <c r="AD26" i="19" s="1"/>
  <c r="AD27" i="19" s="1"/>
  <c r="AD28" i="19" s="1"/>
  <c r="AD29" i="19" s="1"/>
  <c r="AE21" i="19"/>
  <c r="AE22" i="19"/>
  <c r="AE23" i="19"/>
  <c r="AE24" i="19"/>
  <c r="AE25" i="19"/>
  <c r="AE26" i="19"/>
  <c r="AE27" i="19"/>
  <c r="AE28" i="19"/>
  <c r="AE29" i="19"/>
  <c r="AE20" i="19"/>
  <c r="AC21" i="19"/>
  <c r="AC22" i="19"/>
  <c r="AC23" i="19"/>
  <c r="AC24" i="19"/>
  <c r="AC25" i="19"/>
  <c r="AC26" i="19"/>
  <c r="AC27" i="19"/>
  <c r="AC28" i="19"/>
  <c r="AC29" i="19"/>
  <c r="AC20" i="19"/>
  <c r="V93" i="19"/>
  <c r="U93" i="19"/>
  <c r="V89" i="19"/>
  <c r="U89" i="19"/>
  <c r="V82" i="19"/>
  <c r="U82" i="19"/>
  <c r="V75" i="19"/>
  <c r="U75" i="19"/>
  <c r="V68" i="19"/>
  <c r="U68" i="19"/>
  <c r="V61" i="19"/>
  <c r="U61" i="19"/>
  <c r="V54" i="19"/>
  <c r="U54" i="19"/>
  <c r="V47" i="19"/>
  <c r="U47" i="19"/>
  <c r="V40" i="19"/>
  <c r="U40" i="19"/>
  <c r="V33" i="19"/>
  <c r="U33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19" i="19"/>
  <c r="R20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19" i="19"/>
  <c r="AG30" i="2"/>
  <c r="AF30" i="2"/>
  <c r="AF31" i="2" s="1"/>
  <c r="AE30" i="2"/>
  <c r="AD31" i="2" s="1"/>
  <c r="AD30" i="2"/>
  <c r="AC30" i="2"/>
  <c r="AB30" i="2"/>
  <c r="AA30" i="2"/>
  <c r="Z30" i="2"/>
  <c r="Y30" i="2"/>
  <c r="X30" i="2"/>
  <c r="X31" i="2" s="1"/>
  <c r="W30" i="2"/>
  <c r="V31" i="2" s="1"/>
  <c r="V30" i="2"/>
  <c r="U30" i="2"/>
  <c r="T30" i="2"/>
  <c r="AB37" i="27" l="1"/>
  <c r="R18" i="27"/>
  <c r="AQ18" i="27"/>
  <c r="BM18" i="27"/>
  <c r="AE18" i="27"/>
  <c r="AD18" i="27"/>
  <c r="BA18" i="27"/>
  <c r="BA24" i="27" s="1"/>
  <c r="AC18" i="27"/>
  <c r="H27" i="27"/>
  <c r="H39" i="27" s="1"/>
  <c r="AZ18" i="27"/>
  <c r="T18" i="27"/>
  <c r="T18" i="21"/>
  <c r="AI96" i="21"/>
  <c r="AI92" i="21"/>
  <c r="AI88" i="21"/>
  <c r="AI84" i="21"/>
  <c r="AI80" i="21"/>
  <c r="AI76" i="21"/>
  <c r="AI72" i="21"/>
  <c r="AI68" i="21"/>
  <c r="AI64" i="21"/>
  <c r="AI60" i="21"/>
  <c r="AI56" i="21"/>
  <c r="AI52" i="21"/>
  <c r="AI48" i="21"/>
  <c r="AI44" i="21"/>
  <c r="AI40" i="21"/>
  <c r="AI36" i="21"/>
  <c r="AI32" i="21"/>
  <c r="AI28" i="21"/>
  <c r="AM31" i="21"/>
  <c r="AM93" i="21"/>
  <c r="AM85" i="21"/>
  <c r="AM77" i="21"/>
  <c r="AM69" i="21"/>
  <c r="AM61" i="21"/>
  <c r="AM53" i="21"/>
  <c r="AM45" i="21"/>
  <c r="AN94" i="21"/>
  <c r="AN86" i="21"/>
  <c r="AN78" i="21"/>
  <c r="AN70" i="21"/>
  <c r="AN62" i="21"/>
  <c r="AN54" i="21"/>
  <c r="AN46" i="21"/>
  <c r="AN38" i="21"/>
  <c r="AN30" i="21"/>
  <c r="H17" i="21"/>
  <c r="H18" i="21" s="1"/>
  <c r="I16" i="21"/>
  <c r="AA17" i="21"/>
  <c r="S17" i="21"/>
  <c r="AA16" i="21"/>
  <c r="S16" i="21"/>
  <c r="AB38" i="27"/>
  <c r="AC38" i="27" s="1"/>
  <c r="AJ27" i="21"/>
  <c r="AJ95" i="21"/>
  <c r="AJ91" i="21"/>
  <c r="AJ87" i="21"/>
  <c r="AJ83" i="21"/>
  <c r="AJ79" i="21"/>
  <c r="AJ75" i="21"/>
  <c r="AJ71" i="21"/>
  <c r="AJ67" i="21"/>
  <c r="AJ63" i="21"/>
  <c r="AJ59" i="21"/>
  <c r="AJ55" i="21"/>
  <c r="AJ51" i="21"/>
  <c r="AJ47" i="21"/>
  <c r="AJ43" i="21"/>
  <c r="AJ39" i="21"/>
  <c r="AJ35" i="21"/>
  <c r="AJ31" i="21"/>
  <c r="AM30" i="21"/>
  <c r="I12" i="21"/>
  <c r="AN93" i="21"/>
  <c r="AN85" i="21"/>
  <c r="AN77" i="21"/>
  <c r="AN69" i="21"/>
  <c r="AN61" i="21"/>
  <c r="AN53" i="21"/>
  <c r="AN45" i="21"/>
  <c r="AN37" i="21"/>
  <c r="AN29" i="21"/>
  <c r="L17" i="21"/>
  <c r="N17" i="21"/>
  <c r="N18" i="21" s="1"/>
  <c r="Z17" i="21"/>
  <c r="Z18" i="21" s="1"/>
  <c r="R17" i="21"/>
  <c r="R18" i="21" s="1"/>
  <c r="Z16" i="21"/>
  <c r="R16" i="21"/>
  <c r="Q13" i="22"/>
  <c r="T12" i="24"/>
  <c r="AJ21" i="27"/>
  <c r="AI24" i="21"/>
  <c r="AJ26" i="21"/>
  <c r="AI95" i="21"/>
  <c r="AI91" i="21"/>
  <c r="AI87" i="21"/>
  <c r="AI83" i="21"/>
  <c r="AI79" i="21"/>
  <c r="AI75" i="21"/>
  <c r="AI71" i="21"/>
  <c r="AI67" i="21"/>
  <c r="AI63" i="21"/>
  <c r="AI59" i="21"/>
  <c r="AI55" i="21"/>
  <c r="AI51" i="21"/>
  <c r="AI47" i="21"/>
  <c r="AI43" i="21"/>
  <c r="AI39" i="21"/>
  <c r="AI35" i="21"/>
  <c r="AM37" i="21"/>
  <c r="AM29" i="21"/>
  <c r="U12" i="21"/>
  <c r="AN92" i="21"/>
  <c r="AN84" i="21"/>
  <c r="AN76" i="21"/>
  <c r="AN68" i="21"/>
  <c r="AN60" i="21"/>
  <c r="AN52" i="21"/>
  <c r="AN44" i="21"/>
  <c r="AN36" i="21"/>
  <c r="AN28" i="21"/>
  <c r="U13" i="24"/>
  <c r="AK19" i="27"/>
  <c r="AM15" i="27"/>
  <c r="BN16" i="27"/>
  <c r="W33" i="27"/>
  <c r="AJ25" i="21"/>
  <c r="AJ90" i="21"/>
  <c r="AJ82" i="21"/>
  <c r="AJ74" i="21"/>
  <c r="AJ66" i="21"/>
  <c r="AJ58" i="21"/>
  <c r="AJ50" i="21"/>
  <c r="AJ42" i="21"/>
  <c r="AJ34" i="21"/>
  <c r="AM90" i="21"/>
  <c r="AM82" i="21"/>
  <c r="AM74" i="21"/>
  <c r="AM66" i="21"/>
  <c r="AM58" i="21"/>
  <c r="AM50" i="21"/>
  <c r="AM42" i="21"/>
  <c r="F17" i="21"/>
  <c r="J17" i="21"/>
  <c r="J18" i="21" s="1"/>
  <c r="N16" i="21"/>
  <c r="X17" i="21"/>
  <c r="P17" i="21"/>
  <c r="P18" i="21" s="1"/>
  <c r="X16" i="21"/>
  <c r="P16" i="21"/>
  <c r="BO16" i="27"/>
  <c r="R19" i="27"/>
  <c r="X33" i="27"/>
  <c r="Z31" i="2"/>
  <c r="AJ24" i="21"/>
  <c r="AI94" i="21"/>
  <c r="AI86" i="21"/>
  <c r="AI78" i="21"/>
  <c r="AI70" i="21"/>
  <c r="AI62" i="21"/>
  <c r="AI54" i="21"/>
  <c r="AI50" i="21"/>
  <c r="AI46" i="21"/>
  <c r="AI38" i="21"/>
  <c r="AI34" i="21"/>
  <c r="AM23" i="21"/>
  <c r="AM89" i="21"/>
  <c r="AM81" i="21"/>
  <c r="AM73" i="21"/>
  <c r="AM65" i="21"/>
  <c r="AM57" i="21"/>
  <c r="AM49" i="21"/>
  <c r="AM41" i="21"/>
  <c r="AN50" i="21"/>
  <c r="BE17" i="27"/>
  <c r="AM18" i="27"/>
  <c r="AC19" i="27"/>
  <c r="AD33" i="27"/>
  <c r="AA70" i="38"/>
  <c r="T31" i="2"/>
  <c r="AB31" i="2"/>
  <c r="J13" i="21"/>
  <c r="Z13" i="21"/>
  <c r="AJ23" i="21"/>
  <c r="AJ89" i="21"/>
  <c r="AJ81" i="21"/>
  <c r="AJ73" i="21"/>
  <c r="AJ65" i="21"/>
  <c r="AJ57" i="21"/>
  <c r="AJ49" i="21"/>
  <c r="AJ41" i="21"/>
  <c r="AJ33" i="21"/>
  <c r="M12" i="21"/>
  <c r="Y12" i="21"/>
  <c r="AN22" i="21"/>
  <c r="G16" i="21"/>
  <c r="L16" i="21"/>
  <c r="AF17" i="21"/>
  <c r="V17" i="21"/>
  <c r="V18" i="21" s="1"/>
  <c r="AD16" i="21"/>
  <c r="V16" i="21"/>
  <c r="BN17" i="10"/>
  <c r="BK17" i="10"/>
  <c r="J12" i="24"/>
  <c r="AY15" i="27"/>
  <c r="AX18" i="27"/>
  <c r="AM19" i="27"/>
  <c r="AE33" i="27"/>
  <c r="AI33" i="21"/>
  <c r="AN96" i="21"/>
  <c r="AN88" i="21"/>
  <c r="AN80" i="21"/>
  <c r="AN72" i="21"/>
  <c r="AN64" i="21"/>
  <c r="AN56" i="21"/>
  <c r="AN48" i="21"/>
  <c r="AN40" i="21"/>
  <c r="AN32" i="21"/>
  <c r="AI12" i="24"/>
  <c r="BM17" i="27"/>
  <c r="L39" i="27"/>
  <c r="BL19" i="27"/>
  <c r="AF33" i="27"/>
  <c r="N13" i="21"/>
  <c r="AD13" i="21"/>
  <c r="AM27" i="21"/>
  <c r="Q12" i="21"/>
  <c r="BN17" i="27"/>
  <c r="BO20" i="10"/>
  <c r="BN20" i="10"/>
  <c r="BT20" i="10"/>
  <c r="BP20" i="10"/>
  <c r="BQ20" i="10"/>
  <c r="BT22" i="10"/>
  <c r="BO22" i="10"/>
  <c r="BN22" i="10"/>
  <c r="BP22" i="10"/>
  <c r="BQ22" i="10"/>
  <c r="BP19" i="10"/>
  <c r="BO19" i="10"/>
  <c r="BQ19" i="10"/>
  <c r="BT19" i="10"/>
  <c r="BN19" i="10"/>
  <c r="BQ17" i="10"/>
  <c r="BP17" i="10"/>
  <c r="BO17" i="10"/>
  <c r="BT17" i="10"/>
  <c r="BW17" i="10" s="1"/>
  <c r="BT21" i="10"/>
  <c r="BQ21" i="10"/>
  <c r="BP21" i="10"/>
  <c r="BO21" i="10"/>
  <c r="BN21" i="10"/>
  <c r="BQ23" i="10"/>
  <c r="BP23" i="10"/>
  <c r="BO23" i="10"/>
  <c r="BT23" i="10"/>
  <c r="BN23" i="10"/>
  <c r="BO18" i="10"/>
  <c r="BN18" i="10"/>
  <c r="BT18" i="10"/>
  <c r="BQ18" i="10"/>
  <c r="BP18" i="10"/>
  <c r="AA69" i="38"/>
  <c r="I39" i="27"/>
  <c r="I40" i="27"/>
  <c r="I42" i="27"/>
  <c r="K39" i="27"/>
  <c r="I41" i="27"/>
  <c r="I37" i="27"/>
  <c r="I38" i="27"/>
  <c r="J36" i="27"/>
  <c r="J38" i="27"/>
  <c r="J41" i="27"/>
  <c r="U40" i="27"/>
  <c r="BF21" i="27"/>
  <c r="AT21" i="27"/>
  <c r="X21" i="27"/>
  <c r="O21" i="27"/>
  <c r="R21" i="27"/>
  <c r="T21" i="27"/>
  <c r="AB40" i="27"/>
  <c r="BM21" i="27"/>
  <c r="AE21" i="27"/>
  <c r="AF21" i="27"/>
  <c r="BO21" i="27"/>
  <c r="AS21" i="27"/>
  <c r="W21" i="27"/>
  <c r="N21" i="27"/>
  <c r="U21" i="27" s="1"/>
  <c r="AB21" i="27" s="1"/>
  <c r="BG21" i="27"/>
  <c r="Y21" i="27"/>
  <c r="P21" i="27"/>
  <c r="AC21" i="27"/>
  <c r="AI21" i="27" s="1"/>
  <c r="H30" i="27"/>
  <c r="H42" i="27" s="1"/>
  <c r="AD21" i="27"/>
  <c r="AQ21" i="27"/>
  <c r="BN21" i="27"/>
  <c r="AR21" i="27"/>
  <c r="V21" i="27"/>
  <c r="BH21" i="27"/>
  <c r="Q21" i="27"/>
  <c r="AM21" i="27"/>
  <c r="BA21" i="27"/>
  <c r="BE21" i="27"/>
  <c r="BH20" i="27"/>
  <c r="AX20" i="27"/>
  <c r="Q20" i="27"/>
  <c r="BA20" i="27"/>
  <c r="V20" i="27"/>
  <c r="H29" i="27"/>
  <c r="H41" i="27" s="1"/>
  <c r="BO20" i="27"/>
  <c r="BE20" i="27"/>
  <c r="N20" i="27"/>
  <c r="U20" i="27" s="1"/>
  <c r="AB20" i="27" s="1"/>
  <c r="AI20" i="27" s="1"/>
  <c r="AT20" i="27"/>
  <c r="X20" i="27"/>
  <c r="BG20" i="27"/>
  <c r="Y20" i="27"/>
  <c r="U39" i="27"/>
  <c r="AY20" i="27"/>
  <c r="AC20" i="27"/>
  <c r="AC24" i="27" s="1"/>
  <c r="R20" i="27"/>
  <c r="BM20" i="27"/>
  <c r="AE20" i="27"/>
  <c r="BN20" i="27"/>
  <c r="AR20" i="27"/>
  <c r="AS20" i="27"/>
  <c r="W20" i="27"/>
  <c r="AB39" i="27"/>
  <c r="BF20" i="27"/>
  <c r="O20" i="27"/>
  <c r="AD20" i="27"/>
  <c r="T20" i="27"/>
  <c r="AQ20" i="27"/>
  <c r="AF20" i="27"/>
  <c r="P20" i="27"/>
  <c r="K38" i="27"/>
  <c r="J39" i="27"/>
  <c r="K37" i="27"/>
  <c r="AE37" i="27"/>
  <c r="AF37" i="27"/>
  <c r="AC37" i="27"/>
  <c r="AD37" i="27"/>
  <c r="J37" i="27"/>
  <c r="K42" i="27"/>
  <c r="BL20" i="27"/>
  <c r="J42" i="27"/>
  <c r="Q16" i="27"/>
  <c r="AQ16" i="27"/>
  <c r="AR16" i="27"/>
  <c r="V16" i="27"/>
  <c r="U35" i="27"/>
  <c r="W16" i="27"/>
  <c r="Y16" i="27"/>
  <c r="AY16" i="27"/>
  <c r="AC16" i="27"/>
  <c r="R16" i="27"/>
  <c r="AE16" i="27"/>
  <c r="AT16" i="27"/>
  <c r="X16" i="27"/>
  <c r="P16" i="27"/>
  <c r="AB35" i="27"/>
  <c r="H25" i="27"/>
  <c r="H37" i="27" s="1"/>
  <c r="AD16" i="27"/>
  <c r="T16" i="27"/>
  <c r="BA16" i="27"/>
  <c r="AF16" i="27"/>
  <c r="AS16" i="27"/>
  <c r="N16" i="27"/>
  <c r="U16" i="27" s="1"/>
  <c r="AB16" i="27" s="1"/>
  <c r="AI16" i="27" s="1"/>
  <c r="O16" i="27"/>
  <c r="K40" i="27"/>
  <c r="K36" i="27"/>
  <c r="H26" i="27"/>
  <c r="H38" i="27" s="1"/>
  <c r="AT17" i="27"/>
  <c r="X17" i="27"/>
  <c r="O17" i="27"/>
  <c r="R17" i="27"/>
  <c r="R23" i="27" s="1"/>
  <c r="T17" i="27"/>
  <c r="AQ17" i="27"/>
  <c r="AF17" i="27"/>
  <c r="AS17" i="27"/>
  <c r="N17" i="27"/>
  <c r="U17" i="27" s="1"/>
  <c r="AB17" i="27" s="1"/>
  <c r="AI17" i="27" s="1"/>
  <c r="AB36" i="27"/>
  <c r="Y17" i="27"/>
  <c r="P17" i="27"/>
  <c r="AC17" i="27"/>
  <c r="AD17" i="27"/>
  <c r="BA17" i="27"/>
  <c r="AE17" i="27"/>
  <c r="V17" i="27"/>
  <c r="W17" i="27"/>
  <c r="Q17" i="27"/>
  <c r="AM17" i="27"/>
  <c r="U36" i="27"/>
  <c r="AR17" i="27"/>
  <c r="J40" i="27"/>
  <c r="K41" i="27"/>
  <c r="Q15" i="27"/>
  <c r="AX15" i="27"/>
  <c r="AJ16" i="27"/>
  <c r="BL18" i="27"/>
  <c r="AJ20" i="27"/>
  <c r="AK15" i="27"/>
  <c r="H24" i="27"/>
  <c r="H36" i="27" s="1"/>
  <c r="BL17" i="27"/>
  <c r="AJ19" i="27"/>
  <c r="AZ21" i="27"/>
  <c r="W15" i="27"/>
  <c r="W23" i="27" s="1"/>
  <c r="AS15" i="27"/>
  <c r="Y18" i="27"/>
  <c r="N19" i="27"/>
  <c r="U19" i="27" s="1"/>
  <c r="AB19" i="27" s="1"/>
  <c r="AI19" i="27" s="1"/>
  <c r="K35" i="27"/>
  <c r="T14" i="27"/>
  <c r="V15" i="27"/>
  <c r="AF15" i="27"/>
  <c r="AR15" i="27"/>
  <c r="AR24" i="27" s="1"/>
  <c r="BN15" i="27"/>
  <c r="AZ16" i="27"/>
  <c r="BL16" i="27"/>
  <c r="AL17" i="27"/>
  <c r="AX17" i="27"/>
  <c r="BH17" i="27"/>
  <c r="O18" i="27"/>
  <c r="X18" i="27"/>
  <c r="AJ18" i="27"/>
  <c r="AT18" i="27"/>
  <c r="BF18" i="27"/>
  <c r="V19" i="27"/>
  <c r="AF19" i="27"/>
  <c r="AR19" i="27"/>
  <c r="BN19" i="27"/>
  <c r="AZ20" i="27"/>
  <c r="AL21" i="27"/>
  <c r="AX21" i="27"/>
  <c r="K23" i="27"/>
  <c r="AC33" i="27"/>
  <c r="J35" i="27"/>
  <c r="U38" i="27"/>
  <c r="AE38" i="27"/>
  <c r="AK16" i="27"/>
  <c r="AX19" i="27"/>
  <c r="H28" i="27"/>
  <c r="H40" i="27" s="1"/>
  <c r="U34" i="27"/>
  <c r="P15" i="27"/>
  <c r="Y19" i="27"/>
  <c r="BG19" i="27"/>
  <c r="O15" i="27"/>
  <c r="AJ15" i="27"/>
  <c r="AL18" i="27"/>
  <c r="O19" i="27"/>
  <c r="O24" i="27" s="1"/>
  <c r="AT19" i="27"/>
  <c r="BL21" i="27"/>
  <c r="N15" i="27"/>
  <c r="AY17" i="27"/>
  <c r="AY24" i="27" s="1"/>
  <c r="P18" i="27"/>
  <c r="AK18" i="27"/>
  <c r="BG18" i="27"/>
  <c r="W19" i="27"/>
  <c r="AS19" i="27"/>
  <c r="BO19" i="27"/>
  <c r="L23" i="27"/>
  <c r="U37" i="27"/>
  <c r="R14" i="27"/>
  <c r="Y14" i="27" s="1"/>
  <c r="AF14" i="27" s="1"/>
  <c r="AM14" i="27" s="1"/>
  <c r="AE15" i="27"/>
  <c r="AQ15" i="27"/>
  <c r="BA15" i="27"/>
  <c r="BM15" i="27"/>
  <c r="AM16" i="27"/>
  <c r="AK17" i="27"/>
  <c r="BG17" i="27"/>
  <c r="BG23" i="27" s="1"/>
  <c r="N18" i="27"/>
  <c r="U18" i="27" s="1"/>
  <c r="AB18" i="27" s="1"/>
  <c r="AI18" i="27" s="1"/>
  <c r="W18" i="27"/>
  <c r="AS18" i="27"/>
  <c r="BE18" i="27"/>
  <c r="BO18" i="27"/>
  <c r="AE19" i="27"/>
  <c r="AQ19" i="27"/>
  <c r="BA19" i="27"/>
  <c r="BA23" i="27" s="1"/>
  <c r="BM19" i="27"/>
  <c r="AK21" i="27"/>
  <c r="AB33" i="27"/>
  <c r="I35" i="27"/>
  <c r="AD38" i="27"/>
  <c r="AK20" i="27"/>
  <c r="AL15" i="27"/>
  <c r="Q19" i="27"/>
  <c r="AL19" i="27"/>
  <c r="BH19" i="27"/>
  <c r="Y15" i="27"/>
  <c r="Y23" i="27" s="1"/>
  <c r="AY18" i="27"/>
  <c r="P19" i="27"/>
  <c r="X15" i="27"/>
  <c r="X24" i="27" s="1"/>
  <c r="AT15" i="27"/>
  <c r="AZ17" i="27"/>
  <c r="Q18" i="27"/>
  <c r="BH18" i="27"/>
  <c r="BH24" i="27" s="1"/>
  <c r="X19" i="27"/>
  <c r="BF19" i="27"/>
  <c r="O23" i="27"/>
  <c r="R24" i="27"/>
  <c r="L35" i="27"/>
  <c r="BE19" i="27"/>
  <c r="AB34" i="27"/>
  <c r="AF38" i="27"/>
  <c r="T15" i="27"/>
  <c r="AZ15" i="27"/>
  <c r="AL16" i="27"/>
  <c r="AX16" i="27"/>
  <c r="AJ17" i="27"/>
  <c r="V18" i="27"/>
  <c r="V23" i="27" s="1"/>
  <c r="AF18" i="27"/>
  <c r="AF23" i="27" s="1"/>
  <c r="AR18" i="27"/>
  <c r="BN18" i="27"/>
  <c r="T19" i="27"/>
  <c r="AZ19" i="27"/>
  <c r="Y12" i="24"/>
  <c r="AJ13" i="24"/>
  <c r="K13" i="24"/>
  <c r="O12" i="24"/>
  <c r="AM12" i="24"/>
  <c r="P13" i="24"/>
  <c r="AE13" i="24"/>
  <c r="Z13" i="24"/>
  <c r="AK24" i="21"/>
  <c r="AI27" i="21"/>
  <c r="E16" i="21"/>
  <c r="AM24" i="21"/>
  <c r="F16" i="21"/>
  <c r="F18" i="21" s="1"/>
  <c r="AM25" i="21"/>
  <c r="AM26" i="21"/>
  <c r="E13" i="22"/>
  <c r="AB12" i="22"/>
  <c r="P12" i="22"/>
  <c r="AF12" i="22"/>
  <c r="H12" i="22"/>
  <c r="M13" i="22"/>
  <c r="T12" i="22"/>
  <c r="U13" i="22"/>
  <c r="Y13" i="22"/>
  <c r="I13" i="22"/>
  <c r="L12" i="22"/>
  <c r="X12" i="22"/>
  <c r="AK93" i="21"/>
  <c r="AI22" i="21"/>
  <c r="AJ22" i="21"/>
  <c r="AL96" i="21" s="1"/>
  <c r="M45" i="10"/>
  <c r="M43" i="10"/>
  <c r="M40" i="10"/>
  <c r="K35" i="10"/>
  <c r="N7" i="10"/>
  <c r="L29" i="10" s="1"/>
  <c r="M13" i="10"/>
  <c r="N13" i="10" s="1"/>
  <c r="L35" i="10" s="1"/>
  <c r="M12" i="10"/>
  <c r="N12" i="10" s="1"/>
  <c r="L34" i="10" s="1"/>
  <c r="M11" i="10"/>
  <c r="N11" i="10" s="1"/>
  <c r="L33" i="10" s="1"/>
  <c r="M10" i="10"/>
  <c r="N10" i="10" s="1"/>
  <c r="L32" i="10" s="1"/>
  <c r="M9" i="10"/>
  <c r="N9" i="10" s="1"/>
  <c r="L31" i="10" s="1"/>
  <c r="M8" i="10"/>
  <c r="N8" i="10" s="1"/>
  <c r="L30" i="10" s="1"/>
  <c r="M7" i="10"/>
  <c r="L13" i="10"/>
  <c r="K13" i="10"/>
  <c r="K12" i="10"/>
  <c r="L12" i="10" s="1"/>
  <c r="K34" i="10" s="1"/>
  <c r="K11" i="10"/>
  <c r="L11" i="10" s="1"/>
  <c r="K33" i="10" s="1"/>
  <c r="K10" i="10"/>
  <c r="L10" i="10" s="1"/>
  <c r="K32" i="10" s="1"/>
  <c r="K9" i="10"/>
  <c r="L9" i="10" s="1"/>
  <c r="K31" i="10" s="1"/>
  <c r="K8" i="10"/>
  <c r="L8" i="10" s="1"/>
  <c r="K30" i="10" s="1"/>
  <c r="K7" i="10"/>
  <c r="L7" i="10" s="1"/>
  <c r="K29" i="10" s="1"/>
  <c r="J12" i="10"/>
  <c r="J7" i="10"/>
  <c r="J29" i="10" s="1"/>
  <c r="I13" i="10"/>
  <c r="J13" i="10" s="1"/>
  <c r="I12" i="10"/>
  <c r="I11" i="10"/>
  <c r="J11" i="10" s="1"/>
  <c r="I10" i="10"/>
  <c r="J10" i="10" s="1"/>
  <c r="I9" i="10"/>
  <c r="J9" i="10" s="1"/>
  <c r="I8" i="10"/>
  <c r="J8" i="10" s="1"/>
  <c r="B33" i="10"/>
  <c r="B34" i="10"/>
  <c r="B35" i="10"/>
  <c r="B32" i="10"/>
  <c r="G33" i="10"/>
  <c r="G34" i="10"/>
  <c r="G35" i="10"/>
  <c r="G36" i="10"/>
  <c r="G37" i="10"/>
  <c r="G38" i="10"/>
  <c r="A38" i="10"/>
  <c r="B38" i="10" s="1"/>
  <c r="A37" i="10"/>
  <c r="B37" i="10" s="1"/>
  <c r="A36" i="10"/>
  <c r="B36" i="10" s="1"/>
  <c r="D33" i="10"/>
  <c r="D34" i="10"/>
  <c r="D35" i="10"/>
  <c r="D36" i="10"/>
  <c r="D37" i="10"/>
  <c r="D38" i="10"/>
  <c r="D32" i="10"/>
  <c r="I17" i="10"/>
  <c r="AC39" i="10" s="1"/>
  <c r="AD39" i="10" s="1"/>
  <c r="M28" i="10"/>
  <c r="D76" i="2"/>
  <c r="E76" i="2"/>
  <c r="F76" i="2"/>
  <c r="G76" i="2"/>
  <c r="H76" i="2"/>
  <c r="I76" i="2"/>
  <c r="C76" i="2"/>
  <c r="AX23" i="10"/>
  <c r="AX22" i="10"/>
  <c r="AX21" i="10"/>
  <c r="AX20" i="10"/>
  <c r="AX19" i="10"/>
  <c r="AX18" i="10"/>
  <c r="AX17" i="10"/>
  <c r="AQ23" i="10"/>
  <c r="AQ22" i="10"/>
  <c r="AQ21" i="10"/>
  <c r="AQ20" i="10"/>
  <c r="AQ19" i="10"/>
  <c r="AQ18" i="10"/>
  <c r="AQ17" i="10"/>
  <c r="AG38" i="10"/>
  <c r="P8" i="11"/>
  <c r="Q8" i="11"/>
  <c r="R8" i="11"/>
  <c r="O8" i="11"/>
  <c r="E58" i="11"/>
  <c r="A58" i="11"/>
  <c r="E57" i="11"/>
  <c r="A57" i="11"/>
  <c r="E56" i="11"/>
  <c r="A56" i="11"/>
  <c r="E55" i="11"/>
  <c r="A55" i="11"/>
  <c r="E54" i="11"/>
  <c r="A54" i="11"/>
  <c r="E53" i="11"/>
  <c r="A53" i="11"/>
  <c r="E52" i="11"/>
  <c r="A52" i="11"/>
  <c r="E51" i="11"/>
  <c r="D51" i="11"/>
  <c r="C51" i="11"/>
  <c r="B51" i="11"/>
  <c r="E40" i="11"/>
  <c r="A40" i="11"/>
  <c r="E39" i="11"/>
  <c r="A39" i="11"/>
  <c r="E38" i="11"/>
  <c r="A38" i="11"/>
  <c r="E37" i="11"/>
  <c r="A37" i="11"/>
  <c r="E36" i="11"/>
  <c r="A36" i="11"/>
  <c r="E35" i="11"/>
  <c r="A35" i="11"/>
  <c r="E34" i="11"/>
  <c r="A34" i="11"/>
  <c r="E33" i="11"/>
  <c r="D33" i="11"/>
  <c r="C33" i="11"/>
  <c r="B33" i="11"/>
  <c r="H21" i="11"/>
  <c r="AQ21" i="11" s="1"/>
  <c r="E21" i="11"/>
  <c r="D21" i="11"/>
  <c r="C21" i="11"/>
  <c r="B21" i="11"/>
  <c r="E20" i="11"/>
  <c r="D20" i="11"/>
  <c r="C20" i="11"/>
  <c r="B20" i="11"/>
  <c r="H20" i="11" s="1"/>
  <c r="E19" i="11"/>
  <c r="D19" i="11"/>
  <c r="C19" i="11"/>
  <c r="B19" i="11"/>
  <c r="H19" i="11" s="1"/>
  <c r="E18" i="11"/>
  <c r="D18" i="11"/>
  <c r="C18" i="11"/>
  <c r="B18" i="11"/>
  <c r="H18" i="11" s="1"/>
  <c r="E17" i="11"/>
  <c r="D17" i="11"/>
  <c r="C17" i="11"/>
  <c r="B17" i="11"/>
  <c r="H17" i="11" s="1"/>
  <c r="E16" i="11"/>
  <c r="D16" i="11"/>
  <c r="C16" i="11"/>
  <c r="B16" i="11"/>
  <c r="H16" i="11" s="1"/>
  <c r="E15" i="11"/>
  <c r="D52" i="11" s="1"/>
  <c r="D15" i="11"/>
  <c r="C15" i="11"/>
  <c r="B34" i="11" s="1"/>
  <c r="B15" i="11"/>
  <c r="H15" i="11" s="1"/>
  <c r="AF15" i="11" s="1"/>
  <c r="L14" i="11"/>
  <c r="R33" i="11" s="1"/>
  <c r="K14" i="11"/>
  <c r="Q33" i="11" s="1"/>
  <c r="J14" i="11"/>
  <c r="P14" i="11" s="1"/>
  <c r="W14" i="11" s="1"/>
  <c r="AD14" i="11" s="1"/>
  <c r="AK14" i="11" s="1"/>
  <c r="AR14" i="11" s="1"/>
  <c r="I14" i="11"/>
  <c r="O14" i="11" s="1"/>
  <c r="V14" i="11" s="1"/>
  <c r="AC14" i="11" s="1"/>
  <c r="AJ14" i="11" s="1"/>
  <c r="AQ14" i="11" s="1"/>
  <c r="H14" i="11"/>
  <c r="N14" i="11" s="1"/>
  <c r="U14" i="11" s="1"/>
  <c r="AB14" i="11" s="1"/>
  <c r="AI14" i="11" s="1"/>
  <c r="AP14" i="11" s="1"/>
  <c r="AM10" i="11"/>
  <c r="AL10" i="11"/>
  <c r="AK10" i="11"/>
  <c r="AJ10" i="11"/>
  <c r="AM8" i="11"/>
  <c r="AL8" i="11"/>
  <c r="AK8" i="11"/>
  <c r="AJ8" i="11"/>
  <c r="Z38" i="10"/>
  <c r="Z17" i="10"/>
  <c r="AK16" i="10"/>
  <c r="AL16" i="10"/>
  <c r="AM16" i="10"/>
  <c r="AN16" i="10"/>
  <c r="O16" i="10"/>
  <c r="AC16" i="10" s="1"/>
  <c r="AJ16" i="10" s="1"/>
  <c r="J16" i="10"/>
  <c r="J40" i="10" s="1"/>
  <c r="K16" i="10"/>
  <c r="X38" i="10" s="1"/>
  <c r="L16" i="10"/>
  <c r="Y38" i="10" s="1"/>
  <c r="M17" i="10"/>
  <c r="M18" i="10"/>
  <c r="M42" i="10" s="1"/>
  <c r="M19" i="10"/>
  <c r="M20" i="10"/>
  <c r="M21" i="10"/>
  <c r="M22" i="10"/>
  <c r="M46" i="10" s="1"/>
  <c r="M23" i="10"/>
  <c r="M47" i="10" s="1"/>
  <c r="I22" i="10"/>
  <c r="I16" i="10"/>
  <c r="AC38" i="10" s="1"/>
  <c r="B23" i="10"/>
  <c r="G23" i="10" s="1"/>
  <c r="B22" i="10"/>
  <c r="G22" i="10" s="1"/>
  <c r="B21" i="10"/>
  <c r="G21" i="10" s="1"/>
  <c r="B20" i="10"/>
  <c r="G20" i="10" s="1"/>
  <c r="B19" i="10"/>
  <c r="I19" i="10" s="1"/>
  <c r="B18" i="10"/>
  <c r="I18" i="10" s="1"/>
  <c r="E23" i="10"/>
  <c r="L23" i="10" s="1"/>
  <c r="D23" i="10"/>
  <c r="K23" i="10" s="1"/>
  <c r="J23" i="10"/>
  <c r="K10" i="9" s="1"/>
  <c r="E22" i="10"/>
  <c r="L22" i="10" s="1"/>
  <c r="D22" i="10"/>
  <c r="K22" i="10" s="1"/>
  <c r="J22" i="10"/>
  <c r="K9" i="9" s="1"/>
  <c r="E21" i="10"/>
  <c r="L21" i="10" s="1"/>
  <c r="D21" i="10"/>
  <c r="K21" i="10" s="1"/>
  <c r="J21" i="10"/>
  <c r="K8" i="9" s="1"/>
  <c r="E20" i="10"/>
  <c r="L20" i="10" s="1"/>
  <c r="D20" i="10"/>
  <c r="K20" i="10" s="1"/>
  <c r="J20" i="10"/>
  <c r="E19" i="10"/>
  <c r="L19" i="10" s="1"/>
  <c r="D19" i="10"/>
  <c r="K19" i="10" s="1"/>
  <c r="J19" i="10"/>
  <c r="E18" i="10"/>
  <c r="L18" i="10" s="1"/>
  <c r="D18" i="10"/>
  <c r="K18" i="10" s="1"/>
  <c r="J18" i="10"/>
  <c r="K5" i="9" s="1"/>
  <c r="E17" i="10"/>
  <c r="L17" i="10" s="1"/>
  <c r="D17" i="10"/>
  <c r="K17" i="10" s="1"/>
  <c r="J17" i="10"/>
  <c r="M10" i="9"/>
  <c r="L10" i="9"/>
  <c r="M9" i="9"/>
  <c r="D57" i="9" s="1"/>
  <c r="L9" i="9"/>
  <c r="M8" i="9"/>
  <c r="L8" i="9"/>
  <c r="C38" i="9" s="1"/>
  <c r="M7" i="9"/>
  <c r="L7" i="9"/>
  <c r="M6" i="9"/>
  <c r="D36" i="9" s="1"/>
  <c r="L6" i="9"/>
  <c r="M5" i="9"/>
  <c r="D53" i="9" s="1"/>
  <c r="L5" i="9"/>
  <c r="M4" i="9"/>
  <c r="D52" i="9" s="1"/>
  <c r="L4" i="9"/>
  <c r="C52" i="9" s="1"/>
  <c r="D51" i="9"/>
  <c r="C51" i="9"/>
  <c r="B51" i="9"/>
  <c r="E40" i="9"/>
  <c r="A40" i="9"/>
  <c r="E39" i="9"/>
  <c r="A39" i="9"/>
  <c r="E38" i="9"/>
  <c r="A38" i="9"/>
  <c r="E37" i="9"/>
  <c r="A37" i="9"/>
  <c r="E36" i="9"/>
  <c r="A36" i="9"/>
  <c r="E35" i="9"/>
  <c r="A35" i="9"/>
  <c r="E34" i="9"/>
  <c r="A34" i="9"/>
  <c r="E33" i="9"/>
  <c r="D33" i="9"/>
  <c r="C33" i="9"/>
  <c r="B33" i="9"/>
  <c r="D20" i="3"/>
  <c r="D21" i="3" s="1"/>
  <c r="E20" i="3"/>
  <c r="E21" i="3" s="1"/>
  <c r="F20" i="3"/>
  <c r="F21" i="3"/>
  <c r="G20" i="3"/>
  <c r="G21" i="3" s="1"/>
  <c r="H20" i="3"/>
  <c r="H21" i="3" s="1"/>
  <c r="I20" i="3"/>
  <c r="I21" i="3" s="1"/>
  <c r="J20" i="3"/>
  <c r="J21" i="3"/>
  <c r="K20" i="3"/>
  <c r="K21" i="3" s="1"/>
  <c r="L20" i="3"/>
  <c r="L21" i="3" s="1"/>
  <c r="M20" i="3"/>
  <c r="M21" i="3" s="1"/>
  <c r="N20" i="3"/>
  <c r="N21" i="3"/>
  <c r="O20" i="3"/>
  <c r="O21" i="3" s="1"/>
  <c r="P20" i="3"/>
  <c r="P21" i="3" s="1"/>
  <c r="C20" i="3"/>
  <c r="C21" i="3" s="1"/>
  <c r="X16" i="2"/>
  <c r="U16" i="2"/>
  <c r="T17" i="2" s="1"/>
  <c r="V16" i="2"/>
  <c r="V17" i="2"/>
  <c r="W16" i="2"/>
  <c r="Y16" i="2"/>
  <c r="X17" i="2" s="1"/>
  <c r="Z16" i="2"/>
  <c r="AA16" i="2"/>
  <c r="AB16" i="2"/>
  <c r="AC16" i="2"/>
  <c r="AD16" i="2"/>
  <c r="AE16" i="2"/>
  <c r="AF16" i="2"/>
  <c r="AG16" i="2"/>
  <c r="AF17" i="2" s="1"/>
  <c r="T16" i="2"/>
  <c r="T162" i="2"/>
  <c r="O9" i="2"/>
  <c r="U133" i="2"/>
  <c r="J13" i="2"/>
  <c r="T133" i="2"/>
  <c r="I13" i="2"/>
  <c r="F36" i="2" s="1"/>
  <c r="U144" i="2"/>
  <c r="L13" i="2"/>
  <c r="T144" i="2"/>
  <c r="K13" i="2" s="1"/>
  <c r="G36" i="2" s="1"/>
  <c r="T132" i="2"/>
  <c r="I12" i="2"/>
  <c r="F35" i="2" s="1"/>
  <c r="U132" i="2"/>
  <c r="J12" i="2"/>
  <c r="U143" i="2"/>
  <c r="L12" i="2"/>
  <c r="U155" i="2"/>
  <c r="N13" i="2"/>
  <c r="U121" i="2"/>
  <c r="H12" i="2"/>
  <c r="U131" i="2"/>
  <c r="J11" i="2" s="1"/>
  <c r="F34" i="2" s="1"/>
  <c r="T131" i="2"/>
  <c r="I11" i="2"/>
  <c r="T120" i="2"/>
  <c r="G11" i="2"/>
  <c r="U120" i="2"/>
  <c r="H11" i="2" s="1"/>
  <c r="T165" i="2"/>
  <c r="O12" i="2"/>
  <c r="U93" i="2"/>
  <c r="D6" i="2"/>
  <c r="U94" i="2"/>
  <c r="D7" i="2" s="1"/>
  <c r="D16" i="2" s="1"/>
  <c r="U148" i="2"/>
  <c r="N6" i="2" s="1"/>
  <c r="T148" i="2"/>
  <c r="M6" i="2"/>
  <c r="T93" i="2"/>
  <c r="C6" i="2" s="1"/>
  <c r="T94" i="2"/>
  <c r="C7" i="2" s="1"/>
  <c r="U95" i="2"/>
  <c r="D8" i="2" s="1"/>
  <c r="C31" i="2" s="1"/>
  <c r="U96" i="2"/>
  <c r="D9" i="2"/>
  <c r="U97" i="2"/>
  <c r="D10" i="2"/>
  <c r="U98" i="2"/>
  <c r="D11" i="2"/>
  <c r="U99" i="2"/>
  <c r="D12" i="2" s="1"/>
  <c r="U100" i="2"/>
  <c r="D13" i="2"/>
  <c r="U101" i="2"/>
  <c r="D14" i="2"/>
  <c r="U102" i="2"/>
  <c r="D15" i="2"/>
  <c r="U104" i="2"/>
  <c r="F6" i="2" s="1"/>
  <c r="U105" i="2"/>
  <c r="F7" i="2"/>
  <c r="U106" i="2"/>
  <c r="F8" i="2"/>
  <c r="U107" i="2"/>
  <c r="F9" i="2"/>
  <c r="D32" i="2" s="1"/>
  <c r="U108" i="2"/>
  <c r="F10" i="2" s="1"/>
  <c r="D33" i="2" s="1"/>
  <c r="U109" i="2"/>
  <c r="F11" i="2" s="1"/>
  <c r="U110" i="2"/>
  <c r="F12" i="2"/>
  <c r="U111" i="2"/>
  <c r="F13" i="2"/>
  <c r="U112" i="2"/>
  <c r="F14" i="2" s="1"/>
  <c r="U113" i="2"/>
  <c r="F15" i="2" s="1"/>
  <c r="U115" i="2"/>
  <c r="H6" i="2"/>
  <c r="U116" i="2"/>
  <c r="H7" i="2"/>
  <c r="U117" i="2"/>
  <c r="H8" i="2" s="1"/>
  <c r="E31" i="2" s="1"/>
  <c r="U118" i="2"/>
  <c r="H9" i="2" s="1"/>
  <c r="E32" i="2" s="1"/>
  <c r="U119" i="2"/>
  <c r="H10" i="2"/>
  <c r="U122" i="2"/>
  <c r="H13" i="2"/>
  <c r="U123" i="2"/>
  <c r="H14" i="2" s="1"/>
  <c r="U124" i="2"/>
  <c r="H15" i="2" s="1"/>
  <c r="U126" i="2"/>
  <c r="J6" i="2"/>
  <c r="J16" i="2" s="1"/>
  <c r="U127" i="2"/>
  <c r="J7" i="2"/>
  <c r="U128" i="2"/>
  <c r="J8" i="2" s="1"/>
  <c r="U129" i="2"/>
  <c r="J9" i="2" s="1"/>
  <c r="U130" i="2"/>
  <c r="J10" i="2"/>
  <c r="U134" i="2"/>
  <c r="J14" i="2"/>
  <c r="U135" i="2"/>
  <c r="J15" i="2" s="1"/>
  <c r="F38" i="2" s="1"/>
  <c r="U137" i="2"/>
  <c r="L6" i="2" s="1"/>
  <c r="U138" i="2"/>
  <c r="L7" i="2"/>
  <c r="U139" i="2"/>
  <c r="L8" i="2"/>
  <c r="G31" i="2" s="1"/>
  <c r="U140" i="2"/>
  <c r="L9" i="2" s="1"/>
  <c r="G32" i="2" s="1"/>
  <c r="U141" i="2"/>
  <c r="L10" i="2" s="1"/>
  <c r="U142" i="2"/>
  <c r="L11" i="2"/>
  <c r="U145" i="2"/>
  <c r="L14" i="2"/>
  <c r="U146" i="2"/>
  <c r="L15" i="2" s="1"/>
  <c r="U149" i="2"/>
  <c r="N7" i="2" s="1"/>
  <c r="U150" i="2"/>
  <c r="N8" i="2"/>
  <c r="U151" i="2"/>
  <c r="N9" i="2"/>
  <c r="H32" i="2" s="1"/>
  <c r="U152" i="2"/>
  <c r="N10" i="2" s="1"/>
  <c r="H33" i="2" s="1"/>
  <c r="U153" i="2"/>
  <c r="N11" i="2" s="1"/>
  <c r="U154" i="2"/>
  <c r="N12" i="2"/>
  <c r="U156" i="2"/>
  <c r="N14" i="2"/>
  <c r="U157" i="2"/>
  <c r="N15" i="2" s="1"/>
  <c r="U159" i="2"/>
  <c r="P6" i="2" s="1"/>
  <c r="U160" i="2"/>
  <c r="P7" i="2"/>
  <c r="U161" i="2"/>
  <c r="P8" i="2"/>
  <c r="U162" i="2"/>
  <c r="P9" i="2" s="1"/>
  <c r="I32" i="2" s="1"/>
  <c r="U163" i="2"/>
  <c r="P10" i="2" s="1"/>
  <c r="U164" i="2"/>
  <c r="P11" i="2"/>
  <c r="U165" i="2"/>
  <c r="P12" i="2"/>
  <c r="I35" i="2" s="1"/>
  <c r="U166" i="2"/>
  <c r="P13" i="2" s="1"/>
  <c r="U167" i="2"/>
  <c r="P14" i="2" s="1"/>
  <c r="U168" i="2"/>
  <c r="P15" i="2"/>
  <c r="T95" i="2"/>
  <c r="C8" i="2"/>
  <c r="T96" i="2"/>
  <c r="C9" i="2"/>
  <c r="T97" i="2"/>
  <c r="C10" i="2"/>
  <c r="C33" i="2"/>
  <c r="T98" i="2"/>
  <c r="C11" i="2"/>
  <c r="C34" i="2" s="1"/>
  <c r="T99" i="2"/>
  <c r="C12" i="2" s="1"/>
  <c r="C35" i="2" s="1"/>
  <c r="T100" i="2"/>
  <c r="C13" i="2"/>
  <c r="T101" i="2"/>
  <c r="C14" i="2" s="1"/>
  <c r="C37" i="2" s="1"/>
  <c r="T102" i="2"/>
  <c r="C15" i="2" s="1"/>
  <c r="C38" i="2" s="1"/>
  <c r="T104" i="2"/>
  <c r="E6" i="2" s="1"/>
  <c r="T105" i="2"/>
  <c r="E7" i="2"/>
  <c r="D30" i="2" s="1"/>
  <c r="T106" i="2"/>
  <c r="E8" i="2"/>
  <c r="D31" i="2"/>
  <c r="T107" i="2"/>
  <c r="E9" i="2"/>
  <c r="T108" i="2"/>
  <c r="E10" i="2"/>
  <c r="T109" i="2"/>
  <c r="E11" i="2"/>
  <c r="D34" i="2" s="1"/>
  <c r="T110" i="2"/>
  <c r="E12" i="2" s="1"/>
  <c r="D35" i="2" s="1"/>
  <c r="T111" i="2"/>
  <c r="E13" i="2"/>
  <c r="D36" i="2" s="1"/>
  <c r="T112" i="2"/>
  <c r="E14" i="2" s="1"/>
  <c r="D37" i="2" s="1"/>
  <c r="T113" i="2"/>
  <c r="E15" i="2" s="1"/>
  <c r="D38" i="2" s="1"/>
  <c r="T115" i="2"/>
  <c r="G6" i="2" s="1"/>
  <c r="T116" i="2"/>
  <c r="G7" i="2"/>
  <c r="E30" i="2" s="1"/>
  <c r="T117" i="2"/>
  <c r="G8" i="2"/>
  <c r="T118" i="2"/>
  <c r="G9" i="2"/>
  <c r="T119" i="2"/>
  <c r="G10" i="2"/>
  <c r="E33" i="2"/>
  <c r="T121" i="2"/>
  <c r="G12" i="2"/>
  <c r="E35" i="2"/>
  <c r="T122" i="2"/>
  <c r="G13" i="2"/>
  <c r="E36" i="2" s="1"/>
  <c r="T123" i="2"/>
  <c r="G14" i="2"/>
  <c r="E37" i="2" s="1"/>
  <c r="T124" i="2"/>
  <c r="G15" i="2"/>
  <c r="E38" i="2" s="1"/>
  <c r="T126" i="2"/>
  <c r="I6" i="2" s="1"/>
  <c r="T127" i="2"/>
  <c r="I7" i="2"/>
  <c r="F30" i="2" s="1"/>
  <c r="T128" i="2"/>
  <c r="I8" i="2"/>
  <c r="F31" i="2" s="1"/>
  <c r="T129" i="2"/>
  <c r="I9" i="2" s="1"/>
  <c r="F32" i="2" s="1"/>
  <c r="T130" i="2"/>
  <c r="I10" i="2" s="1"/>
  <c r="F33" i="2" s="1"/>
  <c r="T134" i="2"/>
  <c r="I14" i="2" s="1"/>
  <c r="F37" i="2" s="1"/>
  <c r="T135" i="2"/>
  <c r="I15" i="2"/>
  <c r="T137" i="2"/>
  <c r="K6" i="2"/>
  <c r="T138" i="2"/>
  <c r="K7" i="2" s="1"/>
  <c r="G30" i="2" s="1"/>
  <c r="T139" i="2"/>
  <c r="K8" i="2"/>
  <c r="T140" i="2"/>
  <c r="K9" i="2"/>
  <c r="T141" i="2"/>
  <c r="K10" i="2"/>
  <c r="T142" i="2"/>
  <c r="K11" i="2"/>
  <c r="G34" i="2" s="1"/>
  <c r="T143" i="2"/>
  <c r="K12" i="2"/>
  <c r="G35" i="2" s="1"/>
  <c r="T145" i="2"/>
  <c r="K14" i="2" s="1"/>
  <c r="G37" i="2" s="1"/>
  <c r="T146" i="2"/>
  <c r="K15" i="2"/>
  <c r="G38" i="2" s="1"/>
  <c r="T149" i="2"/>
  <c r="M7" i="2"/>
  <c r="M16" i="2" s="1"/>
  <c r="T150" i="2"/>
  <c r="M8" i="2"/>
  <c r="H31" i="2" s="1"/>
  <c r="T151" i="2"/>
  <c r="M9" i="2"/>
  <c r="T152" i="2"/>
  <c r="M10" i="2"/>
  <c r="T153" i="2"/>
  <c r="M11" i="2"/>
  <c r="H34" i="2" s="1"/>
  <c r="T154" i="2"/>
  <c r="M12" i="2"/>
  <c r="H35" i="2"/>
  <c r="T155" i="2"/>
  <c r="M13" i="2"/>
  <c r="H36" i="2"/>
  <c r="T156" i="2"/>
  <c r="M14" i="2"/>
  <c r="H37" i="2" s="1"/>
  <c r="T157" i="2"/>
  <c r="M15" i="2"/>
  <c r="H38" i="2" s="1"/>
  <c r="T159" i="2"/>
  <c r="O6" i="2"/>
  <c r="I29" i="2" s="1"/>
  <c r="T160" i="2"/>
  <c r="O7" i="2"/>
  <c r="I30" i="2" s="1"/>
  <c r="T161" i="2"/>
  <c r="O8" i="2"/>
  <c r="I31" i="2" s="1"/>
  <c r="T163" i="2"/>
  <c r="O10" i="2"/>
  <c r="I33" i="2" s="1"/>
  <c r="T164" i="2"/>
  <c r="O11" i="2"/>
  <c r="I34" i="2" s="1"/>
  <c r="T166" i="2"/>
  <c r="O13" i="2"/>
  <c r="I36" i="2" s="1"/>
  <c r="T167" i="2"/>
  <c r="O14" i="2"/>
  <c r="I37" i="2" s="1"/>
  <c r="T168" i="2"/>
  <c r="O15" i="2" s="1"/>
  <c r="I38" i="2" s="1"/>
  <c r="AD17" i="2"/>
  <c r="AB17" i="2"/>
  <c r="Z17" i="2"/>
  <c r="C36" i="2"/>
  <c r="C32" i="2"/>
  <c r="K16" i="2" l="1"/>
  <c r="H16" i="2"/>
  <c r="G33" i="2"/>
  <c r="C30" i="2"/>
  <c r="E29" i="2"/>
  <c r="G16" i="2"/>
  <c r="G17" i="2" s="1"/>
  <c r="D29" i="2"/>
  <c r="E16" i="2"/>
  <c r="E17" i="2" s="1"/>
  <c r="F16" i="2"/>
  <c r="C29" i="2"/>
  <c r="C16" i="2"/>
  <c r="C17" i="2" s="1"/>
  <c r="Y17" i="11"/>
  <c r="AQ17" i="11"/>
  <c r="AE17" i="11"/>
  <c r="I16" i="2"/>
  <c r="I17" i="2" s="1"/>
  <c r="F29" i="2"/>
  <c r="P16" i="2"/>
  <c r="L16" i="2"/>
  <c r="E34" i="2"/>
  <c r="I41" i="2"/>
  <c r="I40" i="2"/>
  <c r="H29" i="2"/>
  <c r="N16" i="2"/>
  <c r="M17" i="2" s="1"/>
  <c r="H30" i="2"/>
  <c r="Y17" i="10"/>
  <c r="Q14" i="11"/>
  <c r="X14" i="11" s="1"/>
  <c r="AE14" i="11" s="1"/>
  <c r="AL14" i="11" s="1"/>
  <c r="AS14" i="11" s="1"/>
  <c r="AD38" i="10"/>
  <c r="AQ23" i="27"/>
  <c r="C53" i="9"/>
  <c r="C57" i="9"/>
  <c r="AY22" i="10"/>
  <c r="W22" i="10"/>
  <c r="X17" i="10"/>
  <c r="O17" i="11"/>
  <c r="AZ23" i="27"/>
  <c r="AM23" i="27"/>
  <c r="BH23" i="27"/>
  <c r="O16" i="2"/>
  <c r="O17" i="2" s="1"/>
  <c r="Y21" i="11"/>
  <c r="AL26" i="21"/>
  <c r="AL34" i="21"/>
  <c r="AL42" i="21"/>
  <c r="AL50" i="21"/>
  <c r="AL58" i="21"/>
  <c r="AL66" i="21"/>
  <c r="AL74" i="21"/>
  <c r="AL82" i="21"/>
  <c r="AL90" i="21"/>
  <c r="AL27" i="21"/>
  <c r="AL35" i="21"/>
  <c r="AL43" i="21"/>
  <c r="AL51" i="21"/>
  <c r="AL59" i="21"/>
  <c r="AL67" i="21"/>
  <c r="AL75" i="21"/>
  <c r="AL83" i="21"/>
  <c r="AL91" i="21"/>
  <c r="AL28" i="21"/>
  <c r="AL36" i="21"/>
  <c r="AL44" i="21"/>
  <c r="AL52" i="21"/>
  <c r="AL60" i="21"/>
  <c r="AL68" i="21"/>
  <c r="AL76" i="21"/>
  <c r="AL84" i="21"/>
  <c r="AL92" i="21"/>
  <c r="AL29" i="21"/>
  <c r="AL37" i="21"/>
  <c r="AL45" i="21"/>
  <c r="AL53" i="21"/>
  <c r="AL61" i="21"/>
  <c r="AL69" i="21"/>
  <c r="AL77" i="21"/>
  <c r="AL85" i="21"/>
  <c r="AL22" i="21"/>
  <c r="AL30" i="21"/>
  <c r="AL38" i="21"/>
  <c r="AL46" i="21"/>
  <c r="AL54" i="21"/>
  <c r="AL62" i="21"/>
  <c r="AL70" i="21"/>
  <c r="AL78" i="21"/>
  <c r="AL86" i="21"/>
  <c r="AL23" i="21"/>
  <c r="AL31" i="21"/>
  <c r="AL39" i="21"/>
  <c r="AL47" i="21"/>
  <c r="AL55" i="21"/>
  <c r="AL63" i="21"/>
  <c r="AL71" i="21"/>
  <c r="AL79" i="21"/>
  <c r="AL87" i="21"/>
  <c r="AL24" i="21"/>
  <c r="AL32" i="21"/>
  <c r="AL40" i="21"/>
  <c r="AL48" i="21"/>
  <c r="AL56" i="21"/>
  <c r="AL64" i="21"/>
  <c r="AL72" i="21"/>
  <c r="AL80" i="21"/>
  <c r="AL88" i="21"/>
  <c r="AL25" i="21"/>
  <c r="AL33" i="21"/>
  <c r="AL41" i="21"/>
  <c r="AL49" i="21"/>
  <c r="AL57" i="21"/>
  <c r="AL65" i="21"/>
  <c r="AL73" i="21"/>
  <c r="AL81" i="21"/>
  <c r="AL89" i="21"/>
  <c r="AK52" i="21"/>
  <c r="BN23" i="27"/>
  <c r="BO24" i="27"/>
  <c r="AC23" i="27"/>
  <c r="L18" i="21"/>
  <c r="G29" i="2"/>
  <c r="AU17" i="10"/>
  <c r="AJ18" i="11"/>
  <c r="AE21" i="11"/>
  <c r="AK22" i="21"/>
  <c r="AK23" i="21"/>
  <c r="AK89" i="21"/>
  <c r="BE24" i="27"/>
  <c r="X18" i="21"/>
  <c r="AT17" i="10"/>
  <c r="AK21" i="11"/>
  <c r="I40" i="10"/>
  <c r="AK95" i="21"/>
  <c r="AK85" i="21"/>
  <c r="AM24" i="27"/>
  <c r="AQ24" i="27"/>
  <c r="BF23" i="27"/>
  <c r="AD24" i="27"/>
  <c r="S17" i="10"/>
  <c r="AS17" i="10"/>
  <c r="AL21" i="11"/>
  <c r="J28" i="10"/>
  <c r="AL94" i="21"/>
  <c r="AK25" i="21"/>
  <c r="BE23" i="27"/>
  <c r="AE24" i="27"/>
  <c r="R17" i="10"/>
  <c r="AG17" i="10"/>
  <c r="AM20" i="11"/>
  <c r="AZ22" i="10"/>
  <c r="K40" i="10"/>
  <c r="AL93" i="21"/>
  <c r="AK26" i="21"/>
  <c r="AJ23" i="27"/>
  <c r="AL24" i="27"/>
  <c r="BN24" i="27"/>
  <c r="AS23" i="27"/>
  <c r="AL95" i="21"/>
  <c r="V40" i="10"/>
  <c r="AU43" i="10"/>
  <c r="AV43" i="10"/>
  <c r="AS43" i="10"/>
  <c r="AT43" i="10"/>
  <c r="AR43" i="10"/>
  <c r="AV18" i="10"/>
  <c r="T18" i="10"/>
  <c r="U18" i="10"/>
  <c r="Y18" i="10"/>
  <c r="AU18" i="10"/>
  <c r="I30" i="10"/>
  <c r="I42" i="10" s="1"/>
  <c r="S18" i="10"/>
  <c r="X18" i="10"/>
  <c r="AT18" i="10"/>
  <c r="AS18" i="10"/>
  <c r="O18" i="10"/>
  <c r="R18" i="10"/>
  <c r="AC40" i="10"/>
  <c r="Q18" i="10"/>
  <c r="Z18" i="10"/>
  <c r="V41" i="10"/>
  <c r="AT44" i="10"/>
  <c r="AU44" i="10"/>
  <c r="AV44" i="10"/>
  <c r="AS44" i="10"/>
  <c r="AR44" i="10"/>
  <c r="U19" i="10"/>
  <c r="T19" i="10"/>
  <c r="AV19" i="10"/>
  <c r="O19" i="10"/>
  <c r="I31" i="10"/>
  <c r="I43" i="10" s="1"/>
  <c r="S19" i="10"/>
  <c r="Q19" i="10"/>
  <c r="R19" i="10"/>
  <c r="Z19" i="10"/>
  <c r="AC41" i="10"/>
  <c r="Y19" i="10"/>
  <c r="AU19" i="10"/>
  <c r="X19" i="10"/>
  <c r="AT19" i="10"/>
  <c r="BA19" i="10"/>
  <c r="AS19" i="10"/>
  <c r="BP24" i="10"/>
  <c r="BP25" i="10"/>
  <c r="BY18" i="10"/>
  <c r="BX18" i="10"/>
  <c r="BW18" i="10"/>
  <c r="BV18" i="10"/>
  <c r="BH19" i="10"/>
  <c r="BG19" i="10"/>
  <c r="BB19" i="10"/>
  <c r="BF19" i="10"/>
  <c r="AY19" i="10"/>
  <c r="BI19" i="10"/>
  <c r="BH18" i="10"/>
  <c r="BB18" i="10"/>
  <c r="BF18" i="10"/>
  <c r="BI18" i="10"/>
  <c r="BG18" i="10"/>
  <c r="Q17" i="10"/>
  <c r="AL17" i="10"/>
  <c r="V39" i="10"/>
  <c r="W39" i="10" s="1"/>
  <c r="O17" i="10"/>
  <c r="AU42" i="10"/>
  <c r="AT42" i="10"/>
  <c r="AV42" i="10"/>
  <c r="AR42" i="10"/>
  <c r="AS42" i="10"/>
  <c r="T17" i="10"/>
  <c r="AV17" i="10"/>
  <c r="U17" i="10"/>
  <c r="BV17" i="10"/>
  <c r="BX17" i="10"/>
  <c r="BY17" i="10"/>
  <c r="BW20" i="10"/>
  <c r="BX20" i="10"/>
  <c r="BY20" i="10"/>
  <c r="BV20" i="10"/>
  <c r="I23" i="10"/>
  <c r="W23" i="10" s="1"/>
  <c r="AS22" i="10"/>
  <c r="K28" i="10"/>
  <c r="L40" i="10"/>
  <c r="AT22" i="10"/>
  <c r="X22" i="10"/>
  <c r="V38" i="10"/>
  <c r="V58" i="10" s="1"/>
  <c r="L28" i="10"/>
  <c r="M44" i="10"/>
  <c r="V44" i="10"/>
  <c r="AU47" i="10"/>
  <c r="AV47" i="10"/>
  <c r="AR47" i="10"/>
  <c r="AS47" i="10"/>
  <c r="AT47" i="10"/>
  <c r="U22" i="10"/>
  <c r="BI22" i="10"/>
  <c r="T22" i="10"/>
  <c r="BG22" i="10"/>
  <c r="AV22" i="10"/>
  <c r="BH22" i="10"/>
  <c r="H23" i="10"/>
  <c r="BF17" i="10"/>
  <c r="BI17" i="10"/>
  <c r="BH17" i="10"/>
  <c r="BG17" i="10"/>
  <c r="J41" i="10"/>
  <c r="K4" i="9"/>
  <c r="B53" i="9" s="1"/>
  <c r="H21" i="10"/>
  <c r="BP29" i="10"/>
  <c r="BP28" i="10"/>
  <c r="BW19" i="10"/>
  <c r="BV19" i="10"/>
  <c r="BY19" i="10"/>
  <c r="BX19" i="10"/>
  <c r="BY22" i="10"/>
  <c r="BX22" i="10"/>
  <c r="BW22" i="10"/>
  <c r="BV22" i="10"/>
  <c r="AZ17" i="10"/>
  <c r="AY17" i="10"/>
  <c r="Q22" i="10"/>
  <c r="W38" i="10"/>
  <c r="AC44" i="10"/>
  <c r="AE38" i="10"/>
  <c r="AY18" i="10"/>
  <c r="AZ18" i="10"/>
  <c r="H20" i="10"/>
  <c r="BB22" i="10"/>
  <c r="BF22" i="10"/>
  <c r="Y22" i="10"/>
  <c r="O22" i="10"/>
  <c r="Z22" i="10"/>
  <c r="I20" i="10"/>
  <c r="AZ20" i="10" s="1"/>
  <c r="R22" i="10"/>
  <c r="AF38" i="10"/>
  <c r="BA22" i="10"/>
  <c r="BA18" i="10"/>
  <c r="M41" i="10"/>
  <c r="K7" i="9"/>
  <c r="H22" i="10"/>
  <c r="BW23" i="10"/>
  <c r="BV23" i="10"/>
  <c r="BX23" i="10"/>
  <c r="BY23" i="10"/>
  <c r="BW21" i="10"/>
  <c r="BV21" i="10"/>
  <c r="BX21" i="10"/>
  <c r="BY21" i="10"/>
  <c r="J25" i="10"/>
  <c r="J24" i="10"/>
  <c r="J26" i="10"/>
  <c r="J27" i="10"/>
  <c r="K6" i="9"/>
  <c r="M26" i="10"/>
  <c r="M25" i="10"/>
  <c r="M24" i="10"/>
  <c r="M27" i="10"/>
  <c r="AU22" i="10"/>
  <c r="BA17" i="10"/>
  <c r="I21" i="10"/>
  <c r="S22" i="10"/>
  <c r="AZ19" i="10"/>
  <c r="I34" i="10"/>
  <c r="I46" i="10" s="1"/>
  <c r="N21" i="10"/>
  <c r="C39" i="9"/>
  <c r="L27" i="10"/>
  <c r="L26" i="10"/>
  <c r="K26" i="10"/>
  <c r="K27" i="10"/>
  <c r="BN25" i="10"/>
  <c r="BO25" i="10"/>
  <c r="L24" i="10"/>
  <c r="L25" i="10"/>
  <c r="K24" i="10"/>
  <c r="K25" i="10"/>
  <c r="BO24" i="10"/>
  <c r="BN24" i="10"/>
  <c r="K46" i="10"/>
  <c r="N22" i="10"/>
  <c r="C55" i="9"/>
  <c r="D54" i="9"/>
  <c r="D58" i="9"/>
  <c r="N19" i="10"/>
  <c r="C54" i="9"/>
  <c r="C58" i="9"/>
  <c r="K42" i="10"/>
  <c r="N18" i="10"/>
  <c r="D56" i="9"/>
  <c r="N23" i="10"/>
  <c r="L41" i="10"/>
  <c r="BO29" i="10"/>
  <c r="BO28" i="10"/>
  <c r="K44" i="10"/>
  <c r="N20" i="10"/>
  <c r="C56" i="9"/>
  <c r="K41" i="10"/>
  <c r="BN29" i="10"/>
  <c r="BN28" i="10"/>
  <c r="N17" i="10"/>
  <c r="D55" i="9"/>
  <c r="AM21" i="10"/>
  <c r="AM19" i="10"/>
  <c r="AM17" i="10"/>
  <c r="AL22" i="10"/>
  <c r="AN19" i="10"/>
  <c r="AN17" i="10"/>
  <c r="AM22" i="10"/>
  <c r="AL20" i="10"/>
  <c r="AN22" i="10"/>
  <c r="AM20" i="10"/>
  <c r="AL18" i="10"/>
  <c r="AN20" i="10"/>
  <c r="AM18" i="10"/>
  <c r="AL23" i="10"/>
  <c r="AN18" i="10"/>
  <c r="AM23" i="10"/>
  <c r="AN23" i="10"/>
  <c r="AL19" i="10"/>
  <c r="J42" i="10"/>
  <c r="J44" i="10"/>
  <c r="J46" i="10"/>
  <c r="J43" i="10"/>
  <c r="BI23" i="27"/>
  <c r="V37" i="27"/>
  <c r="W37" i="27"/>
  <c r="Y37" i="27"/>
  <c r="X37" i="27"/>
  <c r="AK24" i="27"/>
  <c r="AK23" i="27"/>
  <c r="AJ24" i="27"/>
  <c r="AY23" i="27"/>
  <c r="BG24" i="27"/>
  <c r="AR23" i="27"/>
  <c r="AD23" i="27"/>
  <c r="AC34" i="27"/>
  <c r="AD34" i="27"/>
  <c r="AE34" i="27"/>
  <c r="AF34" i="27"/>
  <c r="W39" i="27"/>
  <c r="X39" i="27"/>
  <c r="Y39" i="27"/>
  <c r="V39" i="27"/>
  <c r="BF24" i="27"/>
  <c r="AD36" i="27"/>
  <c r="AE36" i="27"/>
  <c r="AF36" i="27"/>
  <c r="AC36" i="27"/>
  <c r="BO23" i="27"/>
  <c r="AE23" i="27"/>
  <c r="AZ24" i="27"/>
  <c r="W34" i="27"/>
  <c r="X34" i="27"/>
  <c r="Y34" i="27"/>
  <c r="V34" i="27"/>
  <c r="V38" i="27"/>
  <c r="X38" i="27"/>
  <c r="Y38" i="27"/>
  <c r="W38" i="27"/>
  <c r="Q23" i="27"/>
  <c r="BM23" i="27"/>
  <c r="BM24" i="27"/>
  <c r="AD39" i="27"/>
  <c r="AE39" i="27"/>
  <c r="AC39" i="27"/>
  <c r="AF39" i="27"/>
  <c r="AE40" i="27"/>
  <c r="AF40" i="27"/>
  <c r="AC40" i="27"/>
  <c r="AD40" i="27"/>
  <c r="O25" i="27"/>
  <c r="BL23" i="27"/>
  <c r="P23" i="27"/>
  <c r="BL24" i="27"/>
  <c r="AX24" i="27"/>
  <c r="AX23" i="27"/>
  <c r="X35" i="27"/>
  <c r="Y35" i="27"/>
  <c r="W35" i="27"/>
  <c r="V35" i="27"/>
  <c r="X40" i="27"/>
  <c r="Y40" i="27"/>
  <c r="V40" i="27"/>
  <c r="W40" i="27"/>
  <c r="X23" i="27"/>
  <c r="Z23" i="27" s="1"/>
  <c r="Y36" i="27"/>
  <c r="V36" i="27"/>
  <c r="X36" i="27"/>
  <c r="W36" i="27"/>
  <c r="V24" i="27"/>
  <c r="AT24" i="27"/>
  <c r="AT23" i="27"/>
  <c r="T24" i="27"/>
  <c r="T23" i="27"/>
  <c r="U15" i="27"/>
  <c r="AB15" i="27" s="1"/>
  <c r="AI15" i="27" s="1"/>
  <c r="AE35" i="27"/>
  <c r="AF35" i="27"/>
  <c r="AC35" i="27"/>
  <c r="AD35" i="27"/>
  <c r="AL23" i="27"/>
  <c r="Y24" i="27"/>
  <c r="AF24" i="27"/>
  <c r="W24" i="27"/>
  <c r="Q24" i="27"/>
  <c r="AS24" i="27"/>
  <c r="P24" i="27"/>
  <c r="AK81" i="21"/>
  <c r="AK41" i="21"/>
  <c r="AK54" i="21"/>
  <c r="AK71" i="21"/>
  <c r="AK45" i="21"/>
  <c r="AK62" i="21"/>
  <c r="AK83" i="21"/>
  <c r="AK64" i="21"/>
  <c r="AK49" i="21"/>
  <c r="AK66" i="21"/>
  <c r="AK91" i="21"/>
  <c r="AK72" i="21"/>
  <c r="AK94" i="21"/>
  <c r="AK53" i="21"/>
  <c r="AK78" i="21"/>
  <c r="AK27" i="21"/>
  <c r="AK57" i="21"/>
  <c r="AK82" i="21"/>
  <c r="AK30" i="21"/>
  <c r="AK35" i="21"/>
  <c r="AK61" i="21"/>
  <c r="AK86" i="21"/>
  <c r="AK34" i="21"/>
  <c r="AK51" i="21"/>
  <c r="AK73" i="21"/>
  <c r="AK46" i="21"/>
  <c r="AK59" i="21"/>
  <c r="AK77" i="21"/>
  <c r="AK29" i="21"/>
  <c r="AK50" i="21"/>
  <c r="AK67" i="21"/>
  <c r="AK88" i="21"/>
  <c r="AK56" i="21"/>
  <c r="AK87" i="21"/>
  <c r="AK55" i="21"/>
  <c r="AK92" i="21"/>
  <c r="AK60" i="21"/>
  <c r="AK28" i="21"/>
  <c r="AK32" i="21"/>
  <c r="AK90" i="21"/>
  <c r="AK58" i="21"/>
  <c r="AK63" i="21"/>
  <c r="AK31" i="21"/>
  <c r="AK68" i="21"/>
  <c r="AK36" i="21"/>
  <c r="AK40" i="21"/>
  <c r="AK39" i="21"/>
  <c r="AK76" i="21"/>
  <c r="AK44" i="21"/>
  <c r="AK65" i="21"/>
  <c r="AK33" i="21"/>
  <c r="AK70" i="21"/>
  <c r="AK38" i="21"/>
  <c r="AK75" i="21"/>
  <c r="AK43" i="21"/>
  <c r="AK80" i="21"/>
  <c r="AK48" i="21"/>
  <c r="AK96" i="21"/>
  <c r="AK69" i="21"/>
  <c r="AK37" i="21"/>
  <c r="AK74" i="21"/>
  <c r="AK42" i="21"/>
  <c r="AK79" i="21"/>
  <c r="AK47" i="21"/>
  <c r="AK84" i="21"/>
  <c r="I29" i="10"/>
  <c r="I41" i="10" s="1"/>
  <c r="BB17" i="10"/>
  <c r="K43" i="10"/>
  <c r="B56" i="11"/>
  <c r="L43" i="10"/>
  <c r="D38" i="9"/>
  <c r="D39" i="9"/>
  <c r="J45" i="10"/>
  <c r="L47" i="10"/>
  <c r="L44" i="10"/>
  <c r="K47" i="10"/>
  <c r="L42" i="10"/>
  <c r="D35" i="9"/>
  <c r="J47" i="10"/>
  <c r="L46" i="10"/>
  <c r="L45" i="10"/>
  <c r="D34" i="9"/>
  <c r="K45" i="10"/>
  <c r="D40" i="9"/>
  <c r="I9" i="11"/>
  <c r="I17" i="11" s="1"/>
  <c r="C36" i="9"/>
  <c r="I19" i="11"/>
  <c r="C34" i="9"/>
  <c r="C36" i="11"/>
  <c r="C37" i="11"/>
  <c r="B54" i="11"/>
  <c r="B37" i="11"/>
  <c r="AE39" i="10"/>
  <c r="AF39" i="10"/>
  <c r="X39" i="10"/>
  <c r="AG39" i="10"/>
  <c r="Y39" i="10"/>
  <c r="P17" i="11"/>
  <c r="P21" i="11"/>
  <c r="O21" i="11"/>
  <c r="D36" i="11"/>
  <c r="D57" i="11"/>
  <c r="C57" i="11"/>
  <c r="D37" i="11"/>
  <c r="D40" i="11"/>
  <c r="C40" i="11"/>
  <c r="AM16" i="11"/>
  <c r="AC16" i="11"/>
  <c r="Q16" i="11"/>
  <c r="N35" i="11"/>
  <c r="AD16" i="11"/>
  <c r="R16" i="11"/>
  <c r="AQ16" i="11"/>
  <c r="AE16" i="11"/>
  <c r="AR16" i="11"/>
  <c r="AF16" i="11"/>
  <c r="V16" i="11"/>
  <c r="AS16" i="11"/>
  <c r="W16" i="11"/>
  <c r="AT16" i="11"/>
  <c r="X16" i="11"/>
  <c r="N16" i="11"/>
  <c r="U16" i="11" s="1"/>
  <c r="AB16" i="11" s="1"/>
  <c r="AI16" i="11" s="1"/>
  <c r="AP16" i="11" s="1"/>
  <c r="Y16" i="11"/>
  <c r="O16" i="11"/>
  <c r="P16" i="11"/>
  <c r="AS18" i="11"/>
  <c r="W18" i="11"/>
  <c r="AT18" i="11"/>
  <c r="X18" i="11"/>
  <c r="N18" i="11"/>
  <c r="U18" i="11" s="1"/>
  <c r="AB18" i="11" s="1"/>
  <c r="AI18" i="11" s="1"/>
  <c r="AP18" i="11" s="1"/>
  <c r="Y18" i="11"/>
  <c r="O18" i="11"/>
  <c r="P18" i="11"/>
  <c r="AC18" i="11"/>
  <c r="Q18" i="11"/>
  <c r="N37" i="11"/>
  <c r="AD18" i="11"/>
  <c r="R18" i="11"/>
  <c r="AQ18" i="11"/>
  <c r="AE18" i="11"/>
  <c r="AR18" i="11"/>
  <c r="AF18" i="11"/>
  <c r="V18" i="11"/>
  <c r="AQ19" i="11"/>
  <c r="AE19" i="11"/>
  <c r="AR19" i="11"/>
  <c r="AF19" i="11"/>
  <c r="V19" i="11"/>
  <c r="AS19" i="11"/>
  <c r="W19" i="11"/>
  <c r="AT19" i="11"/>
  <c r="X19" i="11"/>
  <c r="N19" i="11"/>
  <c r="U19" i="11" s="1"/>
  <c r="AB19" i="11" s="1"/>
  <c r="AI19" i="11" s="1"/>
  <c r="AP19" i="11" s="1"/>
  <c r="Y19" i="11"/>
  <c r="O19" i="11"/>
  <c r="P19" i="11"/>
  <c r="AC19" i="11"/>
  <c r="Q19" i="11"/>
  <c r="N38" i="11"/>
  <c r="AD19" i="11"/>
  <c r="R19" i="11"/>
  <c r="AQ15" i="11"/>
  <c r="AE15" i="11"/>
  <c r="AR15" i="11"/>
  <c r="V15" i="11"/>
  <c r="AS15" i="11"/>
  <c r="W15" i="11"/>
  <c r="AT15" i="11"/>
  <c r="X15" i="11"/>
  <c r="N15" i="11"/>
  <c r="U15" i="11" s="1"/>
  <c r="AB15" i="11" s="1"/>
  <c r="AI15" i="11" s="1"/>
  <c r="AP15" i="11" s="1"/>
  <c r="AK15" i="11"/>
  <c r="Y15" i="11"/>
  <c r="O15" i="11"/>
  <c r="P15" i="11"/>
  <c r="AC15" i="11"/>
  <c r="Q15" i="11"/>
  <c r="N34" i="11"/>
  <c r="AD15" i="11"/>
  <c r="R15" i="11"/>
  <c r="AC20" i="11"/>
  <c r="Q20" i="11"/>
  <c r="N39" i="11"/>
  <c r="AD20" i="11"/>
  <c r="R20" i="11"/>
  <c r="AQ20" i="11"/>
  <c r="AE20" i="11"/>
  <c r="AR20" i="11"/>
  <c r="AF20" i="11"/>
  <c r="V20" i="11"/>
  <c r="AS20" i="11"/>
  <c r="W20" i="11"/>
  <c r="AT20" i="11"/>
  <c r="X20" i="11"/>
  <c r="N20" i="11"/>
  <c r="U20" i="11" s="1"/>
  <c r="AB20" i="11" s="1"/>
  <c r="AI20" i="11" s="1"/>
  <c r="AP20" i="11" s="1"/>
  <c r="Y20" i="11"/>
  <c r="O20" i="11"/>
  <c r="P20" i="11"/>
  <c r="AL16" i="11"/>
  <c r="N17" i="11"/>
  <c r="U17" i="11" s="1"/>
  <c r="AB17" i="11" s="1"/>
  <c r="AI17" i="11" s="1"/>
  <c r="AP17" i="11" s="1"/>
  <c r="X17" i="11"/>
  <c r="AJ17" i="11"/>
  <c r="AT17" i="11"/>
  <c r="AL20" i="11"/>
  <c r="N21" i="11"/>
  <c r="U21" i="11" s="1"/>
  <c r="AB21" i="11" s="1"/>
  <c r="X21" i="11"/>
  <c r="AJ21" i="11"/>
  <c r="AP21" i="11" s="1"/>
  <c r="AT21" i="11"/>
  <c r="P33" i="11"/>
  <c r="D35" i="11"/>
  <c r="B36" i="11"/>
  <c r="D39" i="11"/>
  <c r="B40" i="11"/>
  <c r="C52" i="11"/>
  <c r="D55" i="11"/>
  <c r="B57" i="11"/>
  <c r="AM15" i="11"/>
  <c r="AK16" i="11"/>
  <c r="W17" i="11"/>
  <c r="AS17" i="11"/>
  <c r="AM19" i="11"/>
  <c r="AK20" i="11"/>
  <c r="W21" i="11"/>
  <c r="AS21" i="11"/>
  <c r="O33" i="11"/>
  <c r="C35" i="11"/>
  <c r="C39" i="11"/>
  <c r="B52" i="11"/>
  <c r="C55" i="11"/>
  <c r="D58" i="11"/>
  <c r="R14" i="11"/>
  <c r="Y14" i="11" s="1"/>
  <c r="AF14" i="11" s="1"/>
  <c r="AM14" i="11" s="1"/>
  <c r="AT14" i="11" s="1"/>
  <c r="AL15" i="11"/>
  <c r="AJ16" i="11"/>
  <c r="V17" i="11"/>
  <c r="AF17" i="11"/>
  <c r="AR17" i="11"/>
  <c r="AL19" i="11"/>
  <c r="AJ20" i="11"/>
  <c r="V21" i="11"/>
  <c r="AF21" i="11"/>
  <c r="AR21" i="11"/>
  <c r="N33" i="11"/>
  <c r="D34" i="11"/>
  <c r="B35" i="11"/>
  <c r="D38" i="11"/>
  <c r="B39" i="11"/>
  <c r="D53" i="11"/>
  <c r="B55" i="11"/>
  <c r="C58" i="11"/>
  <c r="AM18" i="11"/>
  <c r="AK19" i="11"/>
  <c r="C34" i="11"/>
  <c r="C38" i="11"/>
  <c r="C53" i="11"/>
  <c r="D56" i="11"/>
  <c r="B58" i="11"/>
  <c r="AJ15" i="11"/>
  <c r="R17" i="11"/>
  <c r="AD17" i="11"/>
  <c r="AL18" i="11"/>
  <c r="AJ19" i="11"/>
  <c r="R21" i="11"/>
  <c r="AD21" i="11"/>
  <c r="N36" i="11"/>
  <c r="B38" i="11"/>
  <c r="N40" i="11"/>
  <c r="B53" i="11"/>
  <c r="C56" i="11"/>
  <c r="Q17" i="11"/>
  <c r="AC17" i="11"/>
  <c r="AM17" i="11"/>
  <c r="AK18" i="11"/>
  <c r="Q21" i="11"/>
  <c r="AC21" i="11"/>
  <c r="AI21" i="11" s="1"/>
  <c r="AM21" i="11"/>
  <c r="D54" i="11"/>
  <c r="AL17" i="11"/>
  <c r="C54" i="11"/>
  <c r="AK17" i="11"/>
  <c r="Y44" i="10"/>
  <c r="W44" i="10"/>
  <c r="AE20" i="10"/>
  <c r="AG20" i="10"/>
  <c r="AF18" i="10"/>
  <c r="AE17" i="10"/>
  <c r="AG22" i="10"/>
  <c r="AE19" i="10"/>
  <c r="AE22" i="10"/>
  <c r="AG19" i="10"/>
  <c r="AG21" i="10"/>
  <c r="AG18" i="10"/>
  <c r="AE18" i="10"/>
  <c r="AF19" i="10"/>
  <c r="AF17" i="10"/>
  <c r="AF22" i="10"/>
  <c r="AF20" i="10"/>
  <c r="C37" i="9"/>
  <c r="D37" i="9"/>
  <c r="C40" i="9"/>
  <c r="C35" i="9"/>
  <c r="AU23" i="27" l="1"/>
  <c r="AF21" i="10"/>
  <c r="W21" i="10"/>
  <c r="H40" i="2"/>
  <c r="H41" i="2"/>
  <c r="D41" i="2"/>
  <c r="D40" i="2"/>
  <c r="AC17" i="10"/>
  <c r="AJ17" i="10" s="1"/>
  <c r="V17" i="10"/>
  <c r="G40" i="2"/>
  <c r="G41" i="2"/>
  <c r="I46" i="2"/>
  <c r="I43" i="2"/>
  <c r="I44" i="2" s="1"/>
  <c r="E40" i="2"/>
  <c r="E41" i="2"/>
  <c r="BF21" i="10"/>
  <c r="V18" i="10"/>
  <c r="AC18" i="10" s="1"/>
  <c r="AJ18" i="10" s="1"/>
  <c r="AY20" i="10"/>
  <c r="W20" i="10"/>
  <c r="C41" i="2"/>
  <c r="C40" i="2"/>
  <c r="BF20" i="10"/>
  <c r="V19" i="10"/>
  <c r="AC19" i="10" s="1"/>
  <c r="AJ19" i="10" s="1"/>
  <c r="V22" i="10"/>
  <c r="AC22" i="10" s="1"/>
  <c r="AJ22" i="10" s="1"/>
  <c r="F53" i="9"/>
  <c r="BB20" i="10"/>
  <c r="F41" i="2"/>
  <c r="F40" i="2"/>
  <c r="K17" i="2"/>
  <c r="BW24" i="10"/>
  <c r="BV25" i="10"/>
  <c r="BV28" i="10"/>
  <c r="M14" i="37" s="1"/>
  <c r="BW29" i="10"/>
  <c r="N15" i="37" s="1"/>
  <c r="BX29" i="10"/>
  <c r="O15" i="37" s="1"/>
  <c r="BV24" i="10"/>
  <c r="BX25" i="10"/>
  <c r="W28" i="10"/>
  <c r="BG13" i="30" s="1"/>
  <c r="BH29" i="10"/>
  <c r="H32" i="10"/>
  <c r="AK20" i="10"/>
  <c r="AD20" i="10"/>
  <c r="AD29" i="10" s="1"/>
  <c r="BG21" i="30" s="1"/>
  <c r="P20" i="10"/>
  <c r="AR20" i="10"/>
  <c r="BU20" i="10"/>
  <c r="BM20" i="10"/>
  <c r="O9" i="37"/>
  <c r="BZ7" i="30"/>
  <c r="V45" i="10"/>
  <c r="AU48" i="10"/>
  <c r="AR48" i="10"/>
  <c r="AT48" i="10"/>
  <c r="AS48" i="10"/>
  <c r="AV48" i="10"/>
  <c r="BI23" i="10"/>
  <c r="BH23" i="10"/>
  <c r="BG23" i="10"/>
  <c r="T23" i="10"/>
  <c r="AV23" i="10"/>
  <c r="U23" i="10"/>
  <c r="Z23" i="10"/>
  <c r="AS23" i="10"/>
  <c r="I35" i="10"/>
  <c r="I47" i="10" s="1"/>
  <c r="Q23" i="10"/>
  <c r="AC45" i="10"/>
  <c r="Y23" i="10"/>
  <c r="AU23" i="10"/>
  <c r="AY23" i="10"/>
  <c r="O23" i="10"/>
  <c r="X23" i="10"/>
  <c r="AT23" i="10"/>
  <c r="S23" i="10"/>
  <c r="AG23" i="10"/>
  <c r="AG28" i="10" s="1"/>
  <c r="BJ20" i="30" s="1"/>
  <c r="R23" i="10"/>
  <c r="BA23" i="10"/>
  <c r="B36" i="9"/>
  <c r="B54" i="9"/>
  <c r="F54" i="9" s="1"/>
  <c r="AD21" i="10"/>
  <c r="P21" i="10"/>
  <c r="AR21" i="10"/>
  <c r="AK21" i="10"/>
  <c r="H33" i="10"/>
  <c r="BU21" i="10"/>
  <c r="BM21" i="10"/>
  <c r="AK23" i="10"/>
  <c r="BU23" i="10"/>
  <c r="AD23" i="10"/>
  <c r="AJ23" i="10" s="1"/>
  <c r="AR23" i="10"/>
  <c r="H35" i="10"/>
  <c r="P23" i="10"/>
  <c r="BM23" i="10"/>
  <c r="W40" i="10"/>
  <c r="V60" i="10"/>
  <c r="Z40" i="10"/>
  <c r="X40" i="10"/>
  <c r="Y40" i="10"/>
  <c r="B56" i="9"/>
  <c r="F56" i="9" s="1"/>
  <c r="AF25" i="10"/>
  <c r="AL21" i="10"/>
  <c r="AL29" i="10" s="1"/>
  <c r="BF24" i="10"/>
  <c r="W29" i="10"/>
  <c r="BG14" i="30" s="1"/>
  <c r="AE23" i="10"/>
  <c r="BW25" i="10"/>
  <c r="W25" i="10"/>
  <c r="BA20" i="10"/>
  <c r="BA29" i="10" s="1"/>
  <c r="O10" i="37"/>
  <c r="BZ8" i="30"/>
  <c r="B39" i="9"/>
  <c r="B34" i="9"/>
  <c r="B52" i="9"/>
  <c r="F52" i="9" s="1"/>
  <c r="V61" i="10"/>
  <c r="Y41" i="10"/>
  <c r="Z41" i="10"/>
  <c r="X41" i="10"/>
  <c r="W41" i="10"/>
  <c r="AG40" i="10"/>
  <c r="AE40" i="10"/>
  <c r="AF40" i="10"/>
  <c r="AD40" i="10"/>
  <c r="V64" i="10"/>
  <c r="Z44" i="10"/>
  <c r="X44" i="10"/>
  <c r="W24" i="10"/>
  <c r="AE21" i="10"/>
  <c r="AE28" i="10" s="1"/>
  <c r="BH20" i="30" s="1"/>
  <c r="AN21" i="10"/>
  <c r="AN28" i="10" s="1"/>
  <c r="AZ23" i="10"/>
  <c r="B55" i="9"/>
  <c r="BF23" i="10"/>
  <c r="BF28" i="10" s="1"/>
  <c r="AD44" i="10"/>
  <c r="AG44" i="10"/>
  <c r="AF44" i="10"/>
  <c r="AE44" i="10"/>
  <c r="BV29" i="10"/>
  <c r="M15" i="37" s="1"/>
  <c r="B35" i="9"/>
  <c r="AF23" i="10"/>
  <c r="AF28" i="10" s="1"/>
  <c r="BI20" i="30" s="1"/>
  <c r="BW28" i="10"/>
  <c r="N14" i="37" s="1"/>
  <c r="BB23" i="10"/>
  <c r="BX28" i="10"/>
  <c r="B38" i="9"/>
  <c r="BX24" i="10"/>
  <c r="B58" i="9"/>
  <c r="F58" i="9" s="1"/>
  <c r="V43" i="10"/>
  <c r="AT46" i="10"/>
  <c r="AV46" i="10"/>
  <c r="AU46" i="10"/>
  <c r="AS46" i="10"/>
  <c r="AR46" i="10"/>
  <c r="AV21" i="10"/>
  <c r="U21" i="10"/>
  <c r="BI21" i="10"/>
  <c r="BI28" i="10" s="1"/>
  <c r="BG21" i="10"/>
  <c r="BH21" i="10"/>
  <c r="T21" i="10"/>
  <c r="X21" i="10"/>
  <c r="AT21" i="10"/>
  <c r="BA21" i="10"/>
  <c r="S21" i="10"/>
  <c r="AZ21" i="10"/>
  <c r="AZ29" i="10" s="1"/>
  <c r="I33" i="10"/>
  <c r="I45" i="10" s="1"/>
  <c r="AS21" i="10"/>
  <c r="AC43" i="10"/>
  <c r="R21" i="10"/>
  <c r="Y21" i="10"/>
  <c r="O21" i="10"/>
  <c r="AU21" i="10"/>
  <c r="Q21" i="10"/>
  <c r="AY21" i="10"/>
  <c r="AY24" i="10" s="1"/>
  <c r="Z21" i="10"/>
  <c r="AD22" i="10"/>
  <c r="P22" i="10"/>
  <c r="AK22" i="10"/>
  <c r="AR22" i="10"/>
  <c r="BU22" i="10"/>
  <c r="H34" i="10"/>
  <c r="BM22" i="10"/>
  <c r="V42" i="10"/>
  <c r="W42" i="10" s="1"/>
  <c r="AV45" i="10"/>
  <c r="AV50" i="10" s="1"/>
  <c r="AU45" i="10"/>
  <c r="AT45" i="10"/>
  <c r="AR45" i="10"/>
  <c r="AR51" i="10" s="1"/>
  <c r="AS45" i="10"/>
  <c r="AS51" i="10" s="1"/>
  <c r="T20" i="10"/>
  <c r="T28" i="10" s="1"/>
  <c r="BI20" i="10"/>
  <c r="AV20" i="10"/>
  <c r="U20" i="10"/>
  <c r="BG20" i="10"/>
  <c r="BH20" i="10"/>
  <c r="Q20" i="10"/>
  <c r="Z20" i="10"/>
  <c r="O20" i="10"/>
  <c r="X20" i="10"/>
  <c r="AT20" i="10"/>
  <c r="AS20" i="10"/>
  <c r="AS28" i="10" s="1"/>
  <c r="I32" i="10"/>
  <c r="I44" i="10" s="1"/>
  <c r="Y20" i="10"/>
  <c r="AU20" i="10"/>
  <c r="AC42" i="10"/>
  <c r="S20" i="10"/>
  <c r="S29" i="10" s="1"/>
  <c r="BJ8" i="30" s="1"/>
  <c r="R20" i="10"/>
  <c r="V59" i="10"/>
  <c r="Z39" i="10"/>
  <c r="AE41" i="10"/>
  <c r="AD41" i="10"/>
  <c r="AG41" i="10"/>
  <c r="AF41" i="10"/>
  <c r="B40" i="9"/>
  <c r="B37" i="9"/>
  <c r="BB21" i="10"/>
  <c r="B57" i="9"/>
  <c r="F57" i="9" s="1"/>
  <c r="BY8" i="30"/>
  <c r="N10" i="37"/>
  <c r="BY7" i="30"/>
  <c r="N9" i="37"/>
  <c r="BX8" i="30"/>
  <c r="M10" i="37"/>
  <c r="BX7" i="30"/>
  <c r="M9" i="37"/>
  <c r="K21" i="11"/>
  <c r="S23" i="27"/>
  <c r="AF24" i="10"/>
  <c r="AG25" i="10"/>
  <c r="AG24" i="10"/>
  <c r="AG23" i="27"/>
  <c r="F55" i="9"/>
  <c r="BY29" i="10"/>
  <c r="BY28" i="10"/>
  <c r="AA24" i="10"/>
  <c r="BQ24" i="10"/>
  <c r="AV24" i="10"/>
  <c r="AH24" i="10"/>
  <c r="BC24" i="10"/>
  <c r="BJ24" i="10"/>
  <c r="BY24" i="10"/>
  <c r="BQ29" i="10"/>
  <c r="BQ28" i="10"/>
  <c r="BB23" i="27"/>
  <c r="AM29" i="10"/>
  <c r="AL28" i="10"/>
  <c r="AM28" i="10"/>
  <c r="AN29" i="10"/>
  <c r="AK29" i="10"/>
  <c r="AN23" i="27"/>
  <c r="W43" i="27"/>
  <c r="W42" i="27"/>
  <c r="AD43" i="27"/>
  <c r="AD42" i="27"/>
  <c r="X42" i="27"/>
  <c r="X43" i="27"/>
  <c r="AE43" i="27"/>
  <c r="AE42" i="27"/>
  <c r="Y42" i="27"/>
  <c r="Y43" i="27"/>
  <c r="AF42" i="27"/>
  <c r="AF43" i="27"/>
  <c r="V43" i="27"/>
  <c r="V42" i="27"/>
  <c r="T25" i="27"/>
  <c r="BP23" i="27"/>
  <c r="AC43" i="27"/>
  <c r="AC42" i="27"/>
  <c r="K19" i="11"/>
  <c r="K20" i="11"/>
  <c r="K18" i="11"/>
  <c r="J17" i="11"/>
  <c r="J15" i="11"/>
  <c r="K15" i="11"/>
  <c r="I16" i="11"/>
  <c r="I21" i="11"/>
  <c r="K16" i="11"/>
  <c r="L18" i="11"/>
  <c r="L15" i="11"/>
  <c r="J20" i="11"/>
  <c r="L20" i="11"/>
  <c r="K17" i="11"/>
  <c r="L17" i="11"/>
  <c r="L19" i="11"/>
  <c r="L16" i="11"/>
  <c r="L21" i="11"/>
  <c r="I18" i="11"/>
  <c r="J16" i="11"/>
  <c r="I20" i="11"/>
  <c r="I15" i="11"/>
  <c r="J19" i="11"/>
  <c r="J18" i="11"/>
  <c r="J21" i="11"/>
  <c r="O39" i="11"/>
  <c r="P39" i="11"/>
  <c r="Q39" i="11"/>
  <c r="R39" i="11"/>
  <c r="O38" i="11"/>
  <c r="P38" i="11"/>
  <c r="Q38" i="11"/>
  <c r="R38" i="11"/>
  <c r="O36" i="11"/>
  <c r="P36" i="11"/>
  <c r="Q36" i="11"/>
  <c r="R36" i="11"/>
  <c r="O35" i="11"/>
  <c r="P35" i="11"/>
  <c r="Q35" i="11"/>
  <c r="R35" i="11"/>
  <c r="O40" i="11"/>
  <c r="P40" i="11"/>
  <c r="Q40" i="11"/>
  <c r="R40" i="11"/>
  <c r="O34" i="11"/>
  <c r="P34" i="11"/>
  <c r="Q34" i="11"/>
  <c r="R34" i="11"/>
  <c r="Q37" i="11"/>
  <c r="R37" i="11"/>
  <c r="O37" i="11"/>
  <c r="P37" i="11"/>
  <c r="D46" i="2" l="1"/>
  <c r="D43" i="2"/>
  <c r="D44" i="2" s="1"/>
  <c r="AG29" i="10"/>
  <c r="BJ21" i="30" s="1"/>
  <c r="T29" i="10"/>
  <c r="BB29" i="10"/>
  <c r="AR29" i="10"/>
  <c r="BG28" i="30" s="1"/>
  <c r="BF25" i="10"/>
  <c r="AF29" i="10"/>
  <c r="BI21" i="30" s="1"/>
  <c r="U29" i="10"/>
  <c r="AV29" i="10"/>
  <c r="E46" i="2"/>
  <c r="E43" i="2"/>
  <c r="E44" i="2" s="1"/>
  <c r="V20" i="10"/>
  <c r="AC20" i="10" s="1"/>
  <c r="AJ20" i="10" s="1"/>
  <c r="C46" i="2"/>
  <c r="C43" i="2"/>
  <c r="C44" i="2" s="1"/>
  <c r="H46" i="2"/>
  <c r="H43" i="2"/>
  <c r="H44" i="2" s="1"/>
  <c r="V21" i="10"/>
  <c r="AC21" i="10" s="1"/>
  <c r="AJ21" i="10" s="1"/>
  <c r="AK28" i="10"/>
  <c r="BF29" i="10"/>
  <c r="AZ28" i="10"/>
  <c r="U28" i="10"/>
  <c r="G43" i="2"/>
  <c r="G44" i="2" s="1"/>
  <c r="G46" i="2"/>
  <c r="AV51" i="10"/>
  <c r="T24" i="10"/>
  <c r="BG29" i="10"/>
  <c r="AU51" i="10"/>
  <c r="AY28" i="10"/>
  <c r="F43" i="2"/>
  <c r="F44" i="2" s="1"/>
  <c r="F46" i="2"/>
  <c r="V23" i="10"/>
  <c r="AC23" i="10" s="1"/>
  <c r="BY12" i="30"/>
  <c r="BX12" i="30"/>
  <c r="BY13" i="30"/>
  <c r="BZ13" i="30"/>
  <c r="AT29" i="10"/>
  <c r="BI28" i="30" s="1"/>
  <c r="AS29" i="10"/>
  <c r="BH28" i="30" s="1"/>
  <c r="R28" i="10"/>
  <c r="BI7" i="30" s="1"/>
  <c r="Q29" i="10"/>
  <c r="BH8" i="30" s="1"/>
  <c r="Y25" i="10"/>
  <c r="Y24" i="10"/>
  <c r="BH25" i="10"/>
  <c r="BH28" i="10"/>
  <c r="BH24" i="10"/>
  <c r="AT50" i="10"/>
  <c r="AT51" i="10"/>
  <c r="AU53" i="10" s="1"/>
  <c r="AU24" i="10"/>
  <c r="AU29" i="10"/>
  <c r="BJ28" i="30" s="1"/>
  <c r="AU25" i="10"/>
  <c r="AU28" i="10"/>
  <c r="BJ27" i="30" s="1"/>
  <c r="Q25" i="10"/>
  <c r="Q28" i="10"/>
  <c r="BH7" i="30" s="1"/>
  <c r="Q24" i="10"/>
  <c r="W61" i="10"/>
  <c r="Z61" i="10"/>
  <c r="Y61" i="10"/>
  <c r="X61" i="10"/>
  <c r="AF45" i="10"/>
  <c r="AG45" i="10"/>
  <c r="AE45" i="10"/>
  <c r="AD45" i="10"/>
  <c r="V65" i="10"/>
  <c r="W45" i="10"/>
  <c r="Z45" i="10"/>
  <c r="X45" i="10"/>
  <c r="Y45" i="10"/>
  <c r="BX13" i="30"/>
  <c r="BB28" i="10"/>
  <c r="AY29" i="10"/>
  <c r="BC29" i="10" s="1"/>
  <c r="AR50" i="10"/>
  <c r="AG42" i="10"/>
  <c r="AG48" i="10" s="1"/>
  <c r="AF42" i="10"/>
  <c r="AE42" i="10"/>
  <c r="AD42" i="10"/>
  <c r="R25" i="10"/>
  <c r="R24" i="10"/>
  <c r="X25" i="10"/>
  <c r="X24" i="10"/>
  <c r="X29" i="10"/>
  <c r="X28" i="10"/>
  <c r="BI29" i="10"/>
  <c r="BI25" i="10"/>
  <c r="BI24" i="10"/>
  <c r="AR25" i="10"/>
  <c r="AR28" i="10"/>
  <c r="BG27" i="30" s="1"/>
  <c r="AR24" i="10"/>
  <c r="AE29" i="10"/>
  <c r="AE25" i="10"/>
  <c r="AZ24" i="10"/>
  <c r="AE24" i="10"/>
  <c r="AZ25" i="10"/>
  <c r="Y28" i="10"/>
  <c r="BI13" i="30" s="1"/>
  <c r="BG24" i="10"/>
  <c r="BG25" i="10"/>
  <c r="BG28" i="10"/>
  <c r="BJ28" i="10" s="1"/>
  <c r="AD24" i="10"/>
  <c r="AD25" i="10"/>
  <c r="V63" i="10"/>
  <c r="Z43" i="10"/>
  <c r="Y43" i="10"/>
  <c r="X43" i="10"/>
  <c r="W43" i="10"/>
  <c r="Z59" i="10"/>
  <c r="Y59" i="10"/>
  <c r="W59" i="10"/>
  <c r="X59" i="10"/>
  <c r="AT24" i="10"/>
  <c r="AT25" i="10"/>
  <c r="V62" i="10"/>
  <c r="Z42" i="10"/>
  <c r="Z47" i="10" s="1"/>
  <c r="X42" i="10"/>
  <c r="X47" i="10" s="1"/>
  <c r="Y42" i="10"/>
  <c r="Y47" i="10" s="1"/>
  <c r="Y60" i="10"/>
  <c r="W60" i="10"/>
  <c r="Z60" i="10"/>
  <c r="X60" i="10"/>
  <c r="BU25" i="10"/>
  <c r="BU28" i="10"/>
  <c r="BU24" i="10"/>
  <c r="BU29" i="10"/>
  <c r="AS50" i="10"/>
  <c r="AU50" i="10"/>
  <c r="Y29" i="10"/>
  <c r="BI14" i="30" s="1"/>
  <c r="AV28" i="10"/>
  <c r="AT28" i="10"/>
  <c r="BI27" i="30" s="1"/>
  <c r="AY25" i="10"/>
  <c r="BZ12" i="30"/>
  <c r="O14" i="37"/>
  <c r="Z29" i="10"/>
  <c r="BJ14" i="30" s="1"/>
  <c r="Z24" i="10"/>
  <c r="Z25" i="10"/>
  <c r="Z28" i="10"/>
  <c r="BJ13" i="30" s="1"/>
  <c r="W64" i="10"/>
  <c r="Z64" i="10"/>
  <c r="X64" i="10"/>
  <c r="Y64" i="10"/>
  <c r="S25" i="10"/>
  <c r="S28" i="10"/>
  <c r="BJ7" i="30" s="1"/>
  <c r="S24" i="10"/>
  <c r="BA25" i="10"/>
  <c r="BA24" i="10"/>
  <c r="BA28" i="10"/>
  <c r="BC28" i="10" s="1"/>
  <c r="P25" i="10"/>
  <c r="P24" i="10"/>
  <c r="P28" i="10"/>
  <c r="P29" i="10"/>
  <c r="AS24" i="10"/>
  <c r="AS25" i="10"/>
  <c r="AG43" i="10"/>
  <c r="AF43" i="10"/>
  <c r="AF48" i="10" s="1"/>
  <c r="AD43" i="10"/>
  <c r="AD48" i="10" s="1"/>
  <c r="AE43" i="10"/>
  <c r="BM29" i="10"/>
  <c r="BM28" i="10"/>
  <c r="BM24" i="10"/>
  <c r="BM25" i="10"/>
  <c r="BB25" i="10"/>
  <c r="U30" i="10"/>
  <c r="AD28" i="10"/>
  <c r="BG20" i="30" s="1"/>
  <c r="BB24" i="10"/>
  <c r="R29" i="10"/>
  <c r="BI8" i="30" s="1"/>
  <c r="Q23" i="11"/>
  <c r="AD23" i="11"/>
  <c r="AL24" i="11"/>
  <c r="AO29" i="10"/>
  <c r="AC24" i="11"/>
  <c r="W24" i="11"/>
  <c r="AR23" i="11"/>
  <c r="AS23" i="11"/>
  <c r="AT24" i="11"/>
  <c r="P23" i="11"/>
  <c r="BH21" i="30"/>
  <c r="AH29" i="10"/>
  <c r="BK21" i="30" s="1"/>
  <c r="AQ23" i="11"/>
  <c r="AD24" i="11"/>
  <c r="X23" i="11"/>
  <c r="AG42" i="27"/>
  <c r="BH27" i="30"/>
  <c r="W23" i="11"/>
  <c r="AO28" i="10"/>
  <c r="Z42" i="27"/>
  <c r="X24" i="11"/>
  <c r="AL23" i="11"/>
  <c r="AF23" i="11"/>
  <c r="AS24" i="11"/>
  <c r="AE24" i="11"/>
  <c r="Y23" i="11"/>
  <c r="Q24" i="11"/>
  <c r="AE23" i="11"/>
  <c r="AK23" i="11"/>
  <c r="P24" i="11"/>
  <c r="AJ24" i="11"/>
  <c r="R24" i="11"/>
  <c r="AK24" i="11"/>
  <c r="V24" i="11"/>
  <c r="R23" i="11"/>
  <c r="Y24" i="11"/>
  <c r="AM24" i="11"/>
  <c r="V23" i="11"/>
  <c r="O23" i="11"/>
  <c r="AR24" i="11"/>
  <c r="AJ23" i="11"/>
  <c r="AQ24" i="11"/>
  <c r="O24" i="11"/>
  <c r="AT23" i="11"/>
  <c r="AM23" i="11"/>
  <c r="AC23" i="11"/>
  <c r="AF24" i="11"/>
  <c r="O42" i="11"/>
  <c r="Q42" i="11"/>
  <c r="Q43" i="11"/>
  <c r="R43" i="11"/>
  <c r="R42" i="11"/>
  <c r="O43" i="11"/>
  <c r="P42" i="11"/>
  <c r="P43" i="11"/>
  <c r="AH28" i="10"/>
  <c r="BK20" i="30" s="1"/>
  <c r="BJ29" i="10" l="1"/>
  <c r="AE48" i="10"/>
  <c r="AF47" i="10"/>
  <c r="AU23" i="11"/>
  <c r="AU52" i="10"/>
  <c r="AE47" i="10"/>
  <c r="AD47" i="10"/>
  <c r="AH47" i="10" s="1"/>
  <c r="AU30" i="10"/>
  <c r="BK27" i="30" s="1"/>
  <c r="Y65" i="10"/>
  <c r="W65" i="10"/>
  <c r="Z65" i="10"/>
  <c r="X65" i="10"/>
  <c r="BW13" i="30"/>
  <c r="L15" i="37"/>
  <c r="BU31" i="10"/>
  <c r="Y48" i="10"/>
  <c r="BG8" i="30"/>
  <c r="P31" i="10"/>
  <c r="BK8" i="30" s="1"/>
  <c r="BH13" i="30"/>
  <c r="AA28" i="10"/>
  <c r="BK13" i="30" s="1"/>
  <c r="X48" i="10"/>
  <c r="X70" i="10"/>
  <c r="X63" i="10"/>
  <c r="Y63" i="10"/>
  <c r="Z63" i="10"/>
  <c r="W63" i="10"/>
  <c r="BG7" i="30"/>
  <c r="P30" i="10"/>
  <c r="BK7" i="30" s="1"/>
  <c r="W48" i="10"/>
  <c r="W47" i="10"/>
  <c r="AA47" i="10" s="1"/>
  <c r="Z48" i="10"/>
  <c r="AG47" i="10"/>
  <c r="BW12" i="30"/>
  <c r="L14" i="37"/>
  <c r="BU30" i="10"/>
  <c r="BW8" i="30"/>
  <c r="L10" i="37"/>
  <c r="BM31" i="10"/>
  <c r="BH14" i="30"/>
  <c r="AA29" i="10"/>
  <c r="BK14" i="30" s="1"/>
  <c r="BW7" i="30"/>
  <c r="L9" i="37"/>
  <c r="BM30" i="10"/>
  <c r="Z62" i="10"/>
  <c r="Z70" i="10" s="1"/>
  <c r="Y62" i="10"/>
  <c r="X62" i="10"/>
  <c r="X69" i="10" s="1"/>
  <c r="W62" i="10"/>
  <c r="W70" i="10" s="1"/>
  <c r="AU31" i="10"/>
  <c r="BK28" i="30" s="1"/>
  <c r="S23" i="11"/>
  <c r="AG23" i="11"/>
  <c r="Z23" i="11"/>
  <c r="AN23" i="11"/>
  <c r="S42" i="11"/>
  <c r="Z69" i="10" l="1"/>
  <c r="W69" i="10"/>
  <c r="Y70" i="10"/>
  <c r="AA70" i="10" s="1"/>
  <c r="CA12" i="30"/>
  <c r="P14" i="37"/>
  <c r="CA7" i="30"/>
  <c r="P9" i="37"/>
  <c r="Y67" i="10"/>
  <c r="Y66" i="10"/>
  <c r="Z66" i="10"/>
  <c r="Z67" i="10"/>
  <c r="X67" i="10"/>
  <c r="X66" i="10"/>
  <c r="W66" i="10"/>
  <c r="W67" i="10"/>
  <c r="Y69" i="10"/>
  <c r="P10" i="37"/>
  <c r="CA8" i="30"/>
  <c r="P15" i="37"/>
  <c r="CA13" i="30"/>
  <c r="AA6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Jaap Murre</author>
  </authors>
  <commentList>
    <comment ref="AC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AQ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AK3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See Mathematic workbook MCM as Summed Exponential</t>
        </r>
      </text>
    </comment>
    <comment ref="BL3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BT3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I6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From Heller, p. 9
</t>
        </r>
      </text>
    </comment>
    <comment ref="J28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From Ebb. 1880, p.56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Jaap Murre</author>
  </authors>
  <commentList>
    <comment ref="AC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AQ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AK3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See Mathematic workbook MCM as Summed Exponential</t>
        </r>
      </text>
    </comment>
    <comment ref="BL3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BT3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These fits are based on differences in shortest interval and later points</t>
        </r>
      </text>
    </comment>
    <comment ref="I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From Heller, p. 9
</t>
        </r>
      </text>
    </comment>
    <comment ref="J28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From Ebb. 1880, p.56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Jaap Murre</author>
  </authors>
  <commentList>
    <comment ref="H4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Jaap Murre:</t>
        </r>
        <r>
          <rPr>
            <sz val="9"/>
            <color indexed="81"/>
            <rFont val="Tahoma"/>
            <family val="2"/>
          </rPr>
          <t xml:space="preserve">
From Heller, p. 9
</t>
        </r>
      </text>
    </comment>
  </commentList>
</comments>
</file>

<file path=xl/sharedStrings.xml><?xml version="1.0" encoding="utf-8"?>
<sst xmlns="http://schemas.openxmlformats.org/spreadsheetml/2006/main" count="5407" uniqueCount="273">
  <si>
    <t>1A</t>
  </si>
  <si>
    <t>20min</t>
  </si>
  <si>
    <t>1B</t>
  </si>
  <si>
    <t>X</t>
  </si>
  <si>
    <t>2B</t>
  </si>
  <si>
    <t>2A</t>
  </si>
  <si>
    <t>3B</t>
  </si>
  <si>
    <t>4B</t>
  </si>
  <si>
    <t>5A</t>
  </si>
  <si>
    <t>4A</t>
  </si>
  <si>
    <t>6A</t>
  </si>
  <si>
    <t>9B</t>
  </si>
  <si>
    <t>7B</t>
  </si>
  <si>
    <t>8A</t>
  </si>
  <si>
    <t>10B</t>
  </si>
  <si>
    <t>3A</t>
  </si>
  <si>
    <t>5B</t>
  </si>
  <si>
    <t>7A</t>
  </si>
  <si>
    <t>6B</t>
  </si>
  <si>
    <t>8B</t>
  </si>
  <si>
    <t>9A</t>
  </si>
  <si>
    <t>10A</t>
  </si>
  <si>
    <t>Savings (%)</t>
  </si>
  <si>
    <t>Interval</t>
  </si>
  <si>
    <t>Mack</t>
  </si>
  <si>
    <t>Seitz</t>
  </si>
  <si>
    <t>Leren</t>
  </si>
  <si>
    <t>Herleren</t>
  </si>
  <si>
    <t>Joeri</t>
  </si>
  <si>
    <t>Time</t>
  </si>
  <si>
    <t>Row not learned due to circumstances</t>
  </si>
  <si>
    <t>Legenda:</t>
  </si>
  <si>
    <t>very high (&gt;39)</t>
  </si>
  <si>
    <t>very low (&lt;10)</t>
  </si>
  <si>
    <t>First Learning</t>
  </si>
  <si>
    <t>Second Learning</t>
  </si>
  <si>
    <t>Between 12:00 - 15:00</t>
  </si>
  <si>
    <t>Between 15:00-18:00</t>
  </si>
  <si>
    <t>After 18:00</t>
  </si>
  <si>
    <t xml:space="preserve">Before 12:00 </t>
  </si>
  <si>
    <t>2nd Learning</t>
  </si>
  <si>
    <t>1st learning</t>
  </si>
  <si>
    <t>20 minutes</t>
  </si>
  <si>
    <t>1 hour</t>
  </si>
  <si>
    <t>9 hours</t>
  </si>
  <si>
    <t>1 day</t>
  </si>
  <si>
    <t>2 days</t>
  </si>
  <si>
    <t xml:space="preserve">6 days </t>
  </si>
  <si>
    <t>6 days</t>
  </si>
  <si>
    <t>31 days</t>
  </si>
  <si>
    <t>Date</t>
  </si>
  <si>
    <t>Day</t>
  </si>
  <si>
    <t>Thu</t>
  </si>
  <si>
    <t>Fri</t>
  </si>
  <si>
    <t>Sat</t>
  </si>
  <si>
    <t>Sun</t>
  </si>
  <si>
    <t>Mon</t>
  </si>
  <si>
    <t>Tue</t>
  </si>
  <si>
    <t>Wed</t>
  </si>
  <si>
    <t>Mean</t>
  </si>
  <si>
    <t xml:space="preserve">Mean </t>
  </si>
  <si>
    <t>List number</t>
  </si>
  <si>
    <t>Ebbinghaus</t>
  </si>
  <si>
    <t>List 1</t>
  </si>
  <si>
    <t>List 2</t>
  </si>
  <si>
    <t>List 3</t>
  </si>
  <si>
    <t>List 4</t>
  </si>
  <si>
    <t>List 5</t>
  </si>
  <si>
    <t>List 6</t>
  </si>
  <si>
    <t>List 7</t>
  </si>
  <si>
    <t>List 8</t>
  </si>
  <si>
    <t>List 9</t>
  </si>
  <si>
    <t>List 10</t>
  </si>
  <si>
    <t>-</t>
  </si>
  <si>
    <t>20min1</t>
  </si>
  <si>
    <t>20min2</t>
  </si>
  <si>
    <t>1hour1</t>
  </si>
  <si>
    <t>1hour2</t>
  </si>
  <si>
    <t>9hour1</t>
  </si>
  <si>
    <t>9hour2</t>
  </si>
  <si>
    <t>1day1</t>
  </si>
  <si>
    <t>1day2</t>
  </si>
  <si>
    <t>2days1</t>
  </si>
  <si>
    <t>2days2</t>
  </si>
  <si>
    <t>6days1</t>
  </si>
  <si>
    <t>6days2</t>
  </si>
  <si>
    <t>31days1</t>
  </si>
  <si>
    <t>31days2</t>
  </si>
  <si>
    <t>Time of learning</t>
  </si>
  <si>
    <t>Time-interval</t>
  </si>
  <si>
    <t>Mean of lists</t>
  </si>
  <si>
    <t>First learning</t>
  </si>
  <si>
    <t>Second learning</t>
  </si>
  <si>
    <t>number of</t>
  </si>
  <si>
    <t xml:space="preserve">number </t>
  </si>
  <si>
    <t>Row 1</t>
  </si>
  <si>
    <t>Row1</t>
  </si>
  <si>
    <t>Row2</t>
  </si>
  <si>
    <t>Row3</t>
  </si>
  <si>
    <t>Row4</t>
  </si>
  <si>
    <t>Row5</t>
  </si>
  <si>
    <t>Row6</t>
  </si>
  <si>
    <t>Row7</t>
  </si>
  <si>
    <t>Row8</t>
  </si>
  <si>
    <t>Negative savings measured</t>
  </si>
  <si>
    <t xml:space="preserve">Time of </t>
  </si>
  <si>
    <t>Beginning</t>
  </si>
  <si>
    <t>Number of rows</t>
  </si>
  <si>
    <t>in learned list</t>
  </si>
  <si>
    <t>1hour</t>
  </si>
  <si>
    <t>9hours</t>
  </si>
  <si>
    <t>1day</t>
  </si>
  <si>
    <t>2days</t>
  </si>
  <si>
    <t>6days</t>
  </si>
  <si>
    <t>31days</t>
  </si>
  <si>
    <t>Standard deviation</t>
  </si>
  <si>
    <t>N</t>
  </si>
  <si>
    <t>Standard error</t>
  </si>
  <si>
    <t>Error bars (95%)</t>
  </si>
  <si>
    <t>Savings (number of repetitions)</t>
  </si>
  <si>
    <t>Stdev</t>
  </si>
  <si>
    <t>Learning</t>
  </si>
  <si>
    <t>Relearning</t>
  </si>
  <si>
    <t>SD</t>
  </si>
  <si>
    <t>Time (s)</t>
  </si>
  <si>
    <t>Mean number of repetitions per list</t>
  </si>
  <si>
    <t>Time (in seconds) needed to learn a list</t>
  </si>
  <si>
    <t>Savings for time (in seconds)</t>
  </si>
  <si>
    <t>Number of repetitions for Ebbinghaus, Mack and Seitz</t>
  </si>
  <si>
    <t>Forgetting curves for savings, all four together.</t>
  </si>
  <si>
    <t>Savings as percentage of 100</t>
  </si>
  <si>
    <t>Log</t>
  </si>
  <si>
    <t>Savings in % for all four per time-interval</t>
  </si>
  <si>
    <t>20 min</t>
  </si>
  <si>
    <t xml:space="preserve"> </t>
  </si>
  <si>
    <t>The numbers in the coloured cells are the listnumbers</t>
  </si>
  <si>
    <t>The letters A and B can be ignored.</t>
  </si>
  <si>
    <t>repetitions</t>
  </si>
  <si>
    <t>of repetitions</t>
  </si>
  <si>
    <t xml:space="preserve">Hieronder staan twee grafieken en tabellen die u heeft gemaakt. </t>
  </si>
  <si>
    <t>Savings curve for time in seconds</t>
  </si>
  <si>
    <t>Savings curve for number of repetitions</t>
  </si>
  <si>
    <t>Interval s</t>
  </si>
  <si>
    <t>Drost</t>
  </si>
  <si>
    <t>Observed</t>
  </si>
  <si>
    <t>Power function fits</t>
  </si>
  <si>
    <t>mu1</t>
  </si>
  <si>
    <t>a1</t>
  </si>
  <si>
    <t>SSD</t>
  </si>
  <si>
    <t>RSQ</t>
  </si>
  <si>
    <t>mu2</t>
  </si>
  <si>
    <t>a2</t>
  </si>
  <si>
    <t>Exponential function fits</t>
  </si>
  <si>
    <t>boost</t>
  </si>
  <si>
    <t>Power function with 1-day boost</t>
  </si>
  <si>
    <t>Normalized to Ebbinghaus</t>
  </si>
  <si>
    <t>Normalization does not give better fits or allow removal of parameters</t>
  </si>
  <si>
    <t>MCM function fits</t>
  </si>
  <si>
    <t>Exponential fit with separapte exp's</t>
  </si>
  <si>
    <t>MCM function fits with 1-day jump</t>
  </si>
  <si>
    <t>SE</t>
  </si>
  <si>
    <t>M (from his Q)</t>
  </si>
  <si>
    <t>Savings</t>
  </si>
  <si>
    <t>Time (hours)</t>
  </si>
  <si>
    <t xml:space="preserve">Ebbinghaus </t>
  </si>
  <si>
    <t>Ebbinghaus 1880, p. 56 (based on minutes, not repetitions)</t>
  </si>
  <si>
    <t>Observed Normalized to 1</t>
  </si>
  <si>
    <t>Average</t>
  </si>
  <si>
    <t>Week</t>
  </si>
  <si>
    <t>Count</t>
  </si>
  <si>
    <t>Row Labels</t>
  </si>
  <si>
    <t>(blank)</t>
  </si>
  <si>
    <t>Grand Total</t>
  </si>
  <si>
    <t>Values</t>
  </si>
  <si>
    <t>Sum of Average</t>
  </si>
  <si>
    <t>Sum of Count</t>
  </si>
  <si>
    <t>With 31 Days</t>
  </si>
  <si>
    <t>Without 31 Days</t>
  </si>
  <si>
    <t>Count9</t>
  </si>
  <si>
    <t>Average9</t>
  </si>
  <si>
    <t>Sum of Count9</t>
  </si>
  <si>
    <t>Sum of Average9</t>
  </si>
  <si>
    <t>31 Day Lists</t>
  </si>
  <si>
    <t/>
  </si>
  <si>
    <t>Learn</t>
  </si>
  <si>
    <t>Relearn</t>
  </si>
  <si>
    <t>List</t>
  </si>
  <si>
    <t>List Count</t>
  </si>
  <si>
    <t>Learned</t>
  </si>
  <si>
    <t>Relearned</t>
  </si>
  <si>
    <t>Cum List Count</t>
  </si>
  <si>
    <t>Learn Time</t>
  </si>
  <si>
    <t>Relearn Time</t>
  </si>
  <si>
    <t>Bin</t>
  </si>
  <si>
    <t>LearnedCum</t>
  </si>
  <si>
    <t>RelearnedCum</t>
  </si>
  <si>
    <t>Average of Learn Time</t>
  </si>
  <si>
    <t>10 Day Bins</t>
  </si>
  <si>
    <t>Learning Time</t>
  </si>
  <si>
    <t>1st half</t>
  </si>
  <si>
    <t>2nd half</t>
  </si>
  <si>
    <t>change</t>
  </si>
  <si>
    <t>Week Day</t>
  </si>
  <si>
    <t>Period 2011-2012</t>
  </si>
  <si>
    <t>MCM function fits - consolidation starts after 9 hours</t>
  </si>
  <si>
    <t>Wickelgren Power Law</t>
  </si>
  <si>
    <t>lambda</t>
  </si>
  <si>
    <t>beta</t>
  </si>
  <si>
    <t>psi</t>
  </si>
  <si>
    <t>Anderson &amp; Schooler</t>
  </si>
  <si>
    <t>A&amp;S Fits</t>
  </si>
  <si>
    <t>Power Function</t>
  </si>
  <si>
    <t>With Boost</t>
  </si>
  <si>
    <t>MCM Fit</t>
  </si>
  <si>
    <t>Column1</t>
  </si>
  <si>
    <t>SD4</t>
  </si>
  <si>
    <t>n</t>
  </si>
  <si>
    <t>n2</t>
  </si>
  <si>
    <t>Table 1</t>
  </si>
  <si>
    <t>Table 2</t>
  </si>
  <si>
    <t>S1</t>
  </si>
  <si>
    <t>S2</t>
  </si>
  <si>
    <t>Q</t>
  </si>
  <si>
    <t>μ1</t>
  </si>
  <si>
    <t>R2</t>
  </si>
  <si>
    <r>
      <rPr>
        <i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</si>
  <si>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i/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</si>
  <si>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</si>
  <si>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Summed Exponential Function</t>
  </si>
  <si>
    <t>Power Function with Boost</t>
  </si>
  <si>
    <t>μ2</t>
  </si>
  <si>
    <t>31-day correction 2.67 s per day</t>
  </si>
  <si>
    <t>True data point for Q at 31 days</t>
  </si>
  <si>
    <t>Ebbinghaus 1880 function fits</t>
  </si>
  <si>
    <t>Using minutes here!</t>
  </si>
  <si>
    <t>Ebbinghaus 1885 function fits</t>
  </si>
  <si>
    <t>Classic equations</t>
  </si>
  <si>
    <t>Ebbinghaus 1880 Function</t>
  </si>
  <si>
    <t>Ebbinghaus 1885 Function</t>
  </si>
  <si>
    <t>OBS &gt; FITTED</t>
  </si>
  <si>
    <t>OBS -FIT &gt; SE</t>
  </si>
  <si>
    <t>Version</t>
  </si>
  <si>
    <t xml:space="preserve">All graphs, tables and fits for Ebbinghaus Replication Paper </t>
  </si>
  <si>
    <t>Heller</t>
  </si>
  <si>
    <t>in min</t>
  </si>
  <si>
    <t>Learn (7/8)</t>
  </si>
  <si>
    <t>Joeri took 26.8 min as retention interval</t>
  </si>
  <si>
    <r>
      <rPr>
        <i/>
        <sz val="12"/>
        <color theme="1"/>
        <rFont val="Times New Roman"/>
        <family val="1"/>
      </rPr>
      <t>μ</t>
    </r>
    <r>
      <rPr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</si>
  <si>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</si>
  <si>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>R</t>
    </r>
    <r>
      <rPr>
        <vertAlign val="super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</si>
  <si>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>μ</t>
    </r>
    <r>
      <rPr>
        <vertAlign val="sub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</si>
  <si>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>a</t>
    </r>
    <r>
      <rPr>
        <vertAlign val="subscript"/>
        <sz val="12"/>
        <color theme="1"/>
        <rFont val="Times New Roman"/>
        <family val="1"/>
      </rPr>
      <t>2</t>
    </r>
  </si>
  <si>
    <t>Does not exist</t>
  </si>
  <si>
    <t>Recalculated and replotted time for 15, 19 or 20 min paper, 60 or 63 min point and for 8.5 or 9 hours point; also Changed Drost to Dros</t>
  </si>
  <si>
    <t>Dros</t>
  </si>
  <si>
    <t>Values recalculated from MCM (transformed)</t>
  </si>
  <si>
    <t>AIC</t>
  </si>
  <si>
    <t>Original Tables based on minimizing SSD</t>
  </si>
  <si>
    <t>Tables with AIC, generated with and copied from Mathematica (see Savings/Model Fitting/Ebbinghaus Replication Fits.nb)</t>
  </si>
  <si>
    <t>Summed Exponential</t>
  </si>
  <si>
    <t>MCM Exponential Function</t>
  </si>
  <si>
    <r>
      <t>μ</t>
    </r>
    <r>
      <rPr>
        <i/>
        <vertAlign val="subscript"/>
        <sz val="11"/>
        <color theme="1"/>
        <rFont val="Calibri"/>
        <family val="2"/>
      </rPr>
      <t>1</t>
    </r>
  </si>
  <si>
    <r>
      <t>a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</si>
  <si>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</si>
  <si>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Parameters copied from Mathematica</t>
  </si>
  <si>
    <t>Min</t>
  </si>
  <si>
    <t>Scale min</t>
  </si>
  <si>
    <t>Learn: Yes = 1, No = 0</t>
  </si>
  <si>
    <t>Total</t>
  </si>
  <si>
    <t>31 days intervening</t>
  </si>
  <si>
    <t>24 hours</t>
  </si>
  <si>
    <t>Added sheet For Mathematica results, containing observed data suitable for import into Mathematica</t>
  </si>
  <si>
    <t>Skipped version 1.6 to stay in sync with paper. Added new sheet 'Data fits from Mathematica'. Also updated the existing graphs that rely on 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</si>
</sst>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"/>
    <numFmt numFmtId="166" formatCode="0.000"/>
    <numFmt numFmtId="167" formatCode="[$-409]d/mmm;@"/>
    <numFmt numFmtId="168" formatCode="0.0000000"/>
    <numFmt numFmtId="169" formatCode="0.00000"/>
    <numFmt numFmtId="170" formatCode="0.00000000"/>
    <numFmt numFmtId="171" formatCode="0.0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1"/>
      <color theme="1"/>
      <name val="Calibri"/>
      <family val="2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5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5" borderId="0" xfId="0" applyFill="1"/>
    <xf numFmtId="0" fontId="5" fillId="5" borderId="0" xfId="0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3" xfId="0" applyFont="1" applyBorder="1"/>
    <xf numFmtId="0" fontId="5" fillId="0" borderId="4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20" fontId="0" fillId="0" borderId="0" xfId="0" applyNumberFormat="1" applyAlignment="1">
      <alignment horizontal="center"/>
    </xf>
    <xf numFmtId="20" fontId="6" fillId="0" borderId="0" xfId="0" applyNumberFormat="1" applyFont="1" applyAlignment="1">
      <alignment horizontal="center"/>
    </xf>
    <xf numFmtId="0" fontId="0" fillId="13" borderId="0" xfId="0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20" fontId="0" fillId="14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16" borderId="8" xfId="0" applyFont="1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2" fontId="0" fillId="16" borderId="8" xfId="0" applyNumberFormat="1" applyFill="1" applyBorder="1" applyAlignment="1">
      <alignment horizontal="center"/>
    </xf>
    <xf numFmtId="2" fontId="0" fillId="16" borderId="9" xfId="0" applyNumberFormat="1" applyFill="1" applyBorder="1" applyAlignment="1">
      <alignment horizontal="center"/>
    </xf>
    <xf numFmtId="2" fontId="0" fillId="16" borderId="10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17" xfId="0" applyFont="1" applyBorder="1"/>
    <xf numFmtId="0" fontId="5" fillId="0" borderId="13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7" borderId="0" xfId="0" applyFill="1" applyAlignment="1">
      <alignment horizontal="left"/>
    </xf>
    <xf numFmtId="0" fontId="5" fillId="0" borderId="0" xfId="0" applyFont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18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5" fillId="5" borderId="7" xfId="0" applyFont="1" applyFill="1" applyBorder="1"/>
    <xf numFmtId="0" fontId="0" fillId="0" borderId="23" xfId="0" applyBorder="1"/>
    <xf numFmtId="0" fontId="0" fillId="0" borderId="18" xfId="0" applyBorder="1" applyAlignment="1">
      <alignment horizontal="center"/>
    </xf>
    <xf numFmtId="16" fontId="0" fillId="0" borderId="23" xfId="0" applyNumberForma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0" fillId="13" borderId="16" xfId="0" applyFill="1" applyBorder="1"/>
    <xf numFmtId="0" fontId="0" fillId="13" borderId="0" xfId="0" applyFill="1"/>
    <xf numFmtId="0" fontId="0" fillId="7" borderId="16" xfId="0" applyFill="1" applyBorder="1"/>
    <xf numFmtId="0" fontId="0" fillId="7" borderId="0" xfId="0" applyFill="1"/>
    <xf numFmtId="0" fontId="0" fillId="6" borderId="16" xfId="0" applyFill="1" applyBorder="1"/>
    <xf numFmtId="0" fontId="0" fillId="6" borderId="0" xfId="0" applyFill="1"/>
    <xf numFmtId="0" fontId="0" fillId="6" borderId="10" xfId="0" applyFill="1" applyBorder="1"/>
    <xf numFmtId="0" fontId="0" fillId="18" borderId="1" xfId="0" applyFill="1" applyBorder="1"/>
    <xf numFmtId="164" fontId="0" fillId="0" borderId="15" xfId="0" applyNumberForma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5" xfId="0" applyFont="1" applyBorder="1"/>
    <xf numFmtId="0" fontId="5" fillId="0" borderId="5" xfId="0" applyFon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0" borderId="8" xfId="0" applyBorder="1"/>
    <xf numFmtId="0" fontId="5" fillId="0" borderId="5" xfId="0" applyFont="1" applyBorder="1"/>
    <xf numFmtId="0" fontId="0" fillId="16" borderId="15" xfId="0" applyFill="1" applyBorder="1" applyAlignment="1">
      <alignment horizontal="center"/>
    </xf>
    <xf numFmtId="0" fontId="6" fillId="16" borderId="14" xfId="0" applyFont="1" applyFill="1" applyBorder="1" applyAlignment="1">
      <alignment horizontal="center"/>
    </xf>
    <xf numFmtId="0" fontId="6" fillId="16" borderId="15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17" xfId="0" applyFill="1" applyBorder="1"/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3" xfId="0" applyFill="1" applyBorder="1"/>
    <xf numFmtId="0" fontId="5" fillId="16" borderId="0" xfId="0" applyFont="1" applyFill="1"/>
    <xf numFmtId="0" fontId="0" fillId="16" borderId="8" xfId="0" applyFill="1" applyBorder="1"/>
    <xf numFmtId="2" fontId="5" fillId="0" borderId="8" xfId="0" applyNumberFormat="1" applyFont="1" applyBorder="1"/>
    <xf numFmtId="0" fontId="0" fillId="12" borderId="19" xfId="0" applyFill="1" applyBorder="1"/>
    <xf numFmtId="0" fontId="0" fillId="12" borderId="23" xfId="0" applyFill="1" applyBorder="1" applyAlignment="1">
      <alignment horizontal="left"/>
    </xf>
    <xf numFmtId="0" fontId="0" fillId="12" borderId="23" xfId="0" applyFill="1" applyBorder="1"/>
    <xf numFmtId="0" fontId="0" fillId="12" borderId="20" xfId="0" applyFill="1" applyBorder="1"/>
    <xf numFmtId="0" fontId="0" fillId="12" borderId="22" xfId="0" applyFill="1" applyBorder="1"/>
    <xf numFmtId="0" fontId="0" fillId="12" borderId="18" xfId="0" applyFill="1" applyBorder="1"/>
    <xf numFmtId="0" fontId="0" fillId="12" borderId="6" xfId="0" applyFill="1" applyBorder="1"/>
    <xf numFmtId="0" fontId="0" fillId="12" borderId="21" xfId="0" applyFill="1" applyBorder="1" applyAlignment="1">
      <alignment horizontal="left"/>
    </xf>
    <xf numFmtId="0" fontId="0" fillId="12" borderId="21" xfId="0" applyFill="1" applyBorder="1"/>
    <xf numFmtId="0" fontId="5" fillId="0" borderId="0" xfId="0" applyFont="1" applyAlignment="1">
      <alignment horizontal="left"/>
    </xf>
    <xf numFmtId="0" fontId="0" fillId="15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2" fillId="14" borderId="0" xfId="0" applyFont="1" applyFill="1"/>
    <xf numFmtId="0" fontId="0" fillId="19" borderId="16" xfId="0" applyFill="1" applyBorder="1"/>
    <xf numFmtId="0" fontId="0" fillId="20" borderId="16" xfId="0" applyFill="1" applyBorder="1"/>
    <xf numFmtId="0" fontId="0" fillId="19" borderId="0" xfId="0" applyFill="1"/>
    <xf numFmtId="0" fontId="0" fillId="20" borderId="0" xfId="0" applyFill="1"/>
    <xf numFmtId="0" fontId="2" fillId="21" borderId="4" xfId="0" applyFont="1" applyFill="1" applyBorder="1" applyAlignment="1">
      <alignment horizontal="center"/>
    </xf>
    <xf numFmtId="0" fontId="5" fillId="21" borderId="5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5" fillId="21" borderId="8" xfId="0" applyFont="1" applyFill="1" applyBorder="1"/>
    <xf numFmtId="0" fontId="0" fillId="18" borderId="2" xfId="0" applyFill="1" applyBorder="1"/>
    <xf numFmtId="0" fontId="8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0" xfId="0" applyFont="1" applyAlignment="1">
      <alignment horizontal="center"/>
    </xf>
    <xf numFmtId="0" fontId="5" fillId="13" borderId="8" xfId="0" applyFont="1" applyFill="1" applyBorder="1"/>
    <xf numFmtId="0" fontId="5" fillId="22" borderId="17" xfId="0" applyFont="1" applyFill="1" applyBorder="1"/>
    <xf numFmtId="0" fontId="0" fillId="22" borderId="13" xfId="0" applyFill="1" applyBorder="1"/>
    <xf numFmtId="0" fontId="5" fillId="0" borderId="12" xfId="0" applyFont="1" applyBorder="1"/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3" borderId="25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9" fillId="23" borderId="18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23" borderId="0" xfId="0" applyFont="1" applyFill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23" borderId="7" xfId="0" applyFont="1" applyFill="1" applyBorder="1" applyAlignment="1">
      <alignment horizontal="center"/>
    </xf>
    <xf numFmtId="0" fontId="9" fillId="0" borderId="27" xfId="0" applyFont="1" applyBorder="1"/>
    <xf numFmtId="0" fontId="9" fillId="23" borderId="20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23" borderId="23" xfId="0" applyFont="1" applyFill="1" applyBorder="1" applyAlignment="1">
      <alignment horizontal="center"/>
    </xf>
    <xf numFmtId="0" fontId="9" fillId="23" borderId="27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23" borderId="19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18" xfId="0" applyFont="1" applyBorder="1"/>
    <xf numFmtId="0" fontId="12" fillId="0" borderId="18" xfId="0" applyFont="1" applyBorder="1"/>
    <xf numFmtId="0" fontId="12" fillId="0" borderId="20" xfId="0" applyFont="1" applyBorder="1" applyAlignment="1">
      <alignment horizontal="center"/>
    </xf>
    <xf numFmtId="0" fontId="12" fillId="0" borderId="0" xfId="0" applyFont="1"/>
    <xf numFmtId="0" fontId="12" fillId="0" borderId="3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7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8" xfId="0" applyFont="1" applyBorder="1"/>
    <xf numFmtId="10" fontId="9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3" xfId="0" applyFont="1" applyBorder="1"/>
    <xf numFmtId="0" fontId="10" fillId="0" borderId="5" xfId="0" applyFont="1" applyBorder="1"/>
    <xf numFmtId="0" fontId="10" fillId="0" borderId="4" xfId="0" applyFont="1" applyBorder="1"/>
    <xf numFmtId="0" fontId="5" fillId="0" borderId="8" xfId="0" applyFont="1" applyBorder="1"/>
    <xf numFmtId="10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/>
    <xf numFmtId="0" fontId="0" fillId="13" borderId="8" xfId="0" applyFill="1" applyBorder="1"/>
    <xf numFmtId="0" fontId="0" fillId="22" borderId="8" xfId="0" applyFill="1" applyBorder="1"/>
    <xf numFmtId="0" fontId="5" fillId="0" borderId="14" xfId="0" applyFont="1" applyBorder="1"/>
    <xf numFmtId="10" fontId="0" fillId="0" borderId="0" xfId="0" applyNumberFormat="1"/>
    <xf numFmtId="10" fontId="0" fillId="0" borderId="10" xfId="0" applyNumberFormat="1" applyBorder="1"/>
    <xf numFmtId="0" fontId="13" fillId="0" borderId="16" xfId="0" applyFont="1" applyBorder="1"/>
    <xf numFmtId="10" fontId="9" fillId="0" borderId="0" xfId="0" applyNumberFormat="1" applyFont="1" applyAlignment="1">
      <alignment horizontal="right"/>
    </xf>
    <xf numFmtId="10" fontId="9" fillId="0" borderId="10" xfId="0" applyNumberFormat="1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0" xfId="0" applyFont="1"/>
    <xf numFmtId="0" fontId="9" fillId="0" borderId="14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26" xfId="0" applyFont="1" applyBorder="1"/>
    <xf numFmtId="0" fontId="12" fillId="0" borderId="27" xfId="0" applyFont="1" applyBorder="1"/>
    <xf numFmtId="0" fontId="9" fillId="23" borderId="8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quotePrefix="1"/>
    <xf numFmtId="2" fontId="0" fillId="4" borderId="21" xfId="0" applyNumberFormat="1" applyFill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18" borderId="21" xfId="0" applyNumberForma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15" borderId="1" xfId="0" applyFill="1" applyBorder="1"/>
    <xf numFmtId="0" fontId="0" fillId="15" borderId="11" xfId="0" applyFill="1" applyBorder="1"/>
    <xf numFmtId="0" fontId="12" fillId="23" borderId="20" xfId="0" applyFont="1" applyFill="1" applyBorder="1" applyAlignment="1">
      <alignment horizontal="center"/>
    </xf>
    <xf numFmtId="0" fontId="21" fillId="0" borderId="0" xfId="0" applyFont="1"/>
    <xf numFmtId="0" fontId="22" fillId="0" borderId="17" xfId="0" applyFont="1" applyBorder="1"/>
    <xf numFmtId="0" fontId="24" fillId="0" borderId="0" xfId="0" applyFont="1"/>
    <xf numFmtId="0" fontId="0" fillId="26" borderId="0" xfId="0" applyFill="1"/>
    <xf numFmtId="0" fontId="0" fillId="0" borderId="29" xfId="0" applyBorder="1"/>
    <xf numFmtId="11" fontId="0" fillId="0" borderId="0" xfId="0" applyNumberFormat="1"/>
    <xf numFmtId="0" fontId="22" fillId="0" borderId="0" xfId="0" applyFont="1"/>
    <xf numFmtId="0" fontId="0" fillId="25" borderId="24" xfId="0" applyFill="1" applyBorder="1" applyAlignment="1">
      <alignment horizontal="center"/>
    </xf>
    <xf numFmtId="0" fontId="0" fillId="25" borderId="28" xfId="0" applyFill="1" applyBorder="1" applyAlignment="1">
      <alignment horizontal="center"/>
    </xf>
    <xf numFmtId="0" fontId="0" fillId="25" borderId="25" xfId="0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5" fillId="22" borderId="12" xfId="0" applyFont="1" applyFill="1" applyBorder="1"/>
    <xf numFmtId="0" fontId="5" fillId="0" borderId="2" xfId="0" applyFont="1" applyBorder="1"/>
    <xf numFmtId="0" fontId="0" fillId="0" borderId="0" xfId="0" pivotButton="1"/>
    <xf numFmtId="0" fontId="6" fillId="0" borderId="2" xfId="0" applyFont="1" applyBorder="1" applyAlignment="1">
      <alignment horizontal="center"/>
    </xf>
    <xf numFmtId="167" fontId="0" fillId="0" borderId="0" xfId="0" applyNumberFormat="1"/>
    <xf numFmtId="0" fontId="5" fillId="0" borderId="1" xfId="0" applyFont="1" applyBorder="1"/>
    <xf numFmtId="0" fontId="5" fillId="0" borderId="11" xfId="0" applyFont="1" applyBorder="1"/>
    <xf numFmtId="1" fontId="0" fillId="0" borderId="0" xfId="0" applyNumberFormat="1"/>
    <xf numFmtId="0" fontId="0" fillId="0" borderId="1" xfId="0" applyBorder="1" applyAlignment="1">
      <alignment horizontal="left"/>
    </xf>
    <xf numFmtId="10" fontId="0" fillId="0" borderId="2" xfId="0" applyNumberFormat="1" applyBorder="1" applyAlignment="1">
      <alignment horizontal="left"/>
    </xf>
    <xf numFmtId="10" fontId="0" fillId="0" borderId="1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10" fontId="0" fillId="0" borderId="23" xfId="0" applyNumberFormat="1" applyBorder="1" applyAlignment="1">
      <alignment horizontal="left"/>
    </xf>
    <xf numFmtId="0" fontId="5" fillId="0" borderId="6" xfId="0" applyFont="1" applyBorder="1"/>
    <xf numFmtId="0" fontId="5" fillId="0" borderId="21" xfId="0" applyFont="1" applyBorder="1"/>
    <xf numFmtId="0" fontId="5" fillId="0" borderId="21" xfId="0" applyFont="1" applyBorder="1" applyAlignment="1">
      <alignment horizontal="left"/>
    </xf>
    <xf numFmtId="0" fontId="5" fillId="0" borderId="31" xfId="0" applyFont="1" applyBorder="1"/>
    <xf numFmtId="0" fontId="5" fillId="0" borderId="32" xfId="0" applyFont="1" applyBorder="1"/>
    <xf numFmtId="167" fontId="0" fillId="0" borderId="23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" fontId="0" fillId="0" borderId="23" xfId="0" applyNumberFormat="1" applyBorder="1"/>
    <xf numFmtId="166" fontId="0" fillId="0" borderId="14" xfId="0" applyNumberFormat="1" applyBorder="1" applyAlignment="1">
      <alignment horizontal="center"/>
    </xf>
    <xf numFmtId="166" fontId="0" fillId="0" borderId="3" xfId="0" applyNumberFormat="1" applyBorder="1"/>
    <xf numFmtId="0" fontId="0" fillId="0" borderId="39" xfId="0" applyBorder="1"/>
    <xf numFmtId="0" fontId="0" fillId="0" borderId="26" xfId="0" applyBorder="1"/>
    <xf numFmtId="0" fontId="5" fillId="0" borderId="26" xfId="0" applyFont="1" applyBorder="1" applyAlignment="1">
      <alignment horizontal="center"/>
    </xf>
    <xf numFmtId="0" fontId="0" fillId="0" borderId="27" xfId="0" applyBorder="1"/>
    <xf numFmtId="0" fontId="5" fillId="0" borderId="26" xfId="0" applyFont="1" applyBorder="1"/>
    <xf numFmtId="0" fontId="27" fillId="0" borderId="0" xfId="0" applyFont="1"/>
    <xf numFmtId="166" fontId="27" fillId="0" borderId="0" xfId="0" applyNumberFormat="1" applyFont="1"/>
    <xf numFmtId="2" fontId="7" fillId="0" borderId="0" xfId="0" applyNumberFormat="1" applyFont="1"/>
    <xf numFmtId="0" fontId="1" fillId="0" borderId="0" xfId="0" applyFont="1"/>
    <xf numFmtId="169" fontId="0" fillId="0" borderId="0" xfId="0" applyNumberFormat="1"/>
    <xf numFmtId="0" fontId="0" fillId="13" borderId="6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3" borderId="7" xfId="0" applyFill="1" applyBorder="1"/>
    <xf numFmtId="0" fontId="0" fillId="13" borderId="18" xfId="0" applyFill="1" applyBorder="1"/>
    <xf numFmtId="0" fontId="0" fillId="13" borderId="19" xfId="0" applyFill="1" applyBorder="1"/>
    <xf numFmtId="0" fontId="0" fillId="13" borderId="23" xfId="0" applyFill="1" applyBorder="1"/>
    <xf numFmtId="0" fontId="0" fillId="13" borderId="20" xfId="0" applyFill="1" applyBorder="1"/>
    <xf numFmtId="165" fontId="2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5" fillId="13" borderId="0" xfId="0" applyFont="1" applyFill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/>
    <xf numFmtId="0" fontId="5" fillId="16" borderId="2" xfId="0" applyFont="1" applyFill="1" applyBorder="1"/>
    <xf numFmtId="0" fontId="0" fillId="16" borderId="0" xfId="0" applyFill="1"/>
    <xf numFmtId="11" fontId="0" fillId="16" borderId="0" xfId="0" applyNumberFormat="1" applyFill="1"/>
    <xf numFmtId="0" fontId="0" fillId="16" borderId="2" xfId="0" applyFill="1" applyBorder="1"/>
    <xf numFmtId="2" fontId="5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166" fontId="33" fillId="0" borderId="0" xfId="0" applyNumberFormat="1" applyFont="1"/>
    <xf numFmtId="169" fontId="33" fillId="0" borderId="0" xfId="0" applyNumberFormat="1" applyFont="1"/>
    <xf numFmtId="165" fontId="33" fillId="0" borderId="0" xfId="0" applyNumberFormat="1" applyFont="1"/>
    <xf numFmtId="170" fontId="33" fillId="0" borderId="0" xfId="0" applyNumberFormat="1" applyFont="1"/>
    <xf numFmtId="168" fontId="33" fillId="0" borderId="0" xfId="0" applyNumberFormat="1" applyFont="1"/>
    <xf numFmtId="171" fontId="33" fillId="0" borderId="0" xfId="0" applyNumberFormat="1" applyFont="1"/>
    <xf numFmtId="0" fontId="0" fillId="0" borderId="0" xfId="0" applyAlignment="1">
      <alignment horizontal="center" vertical="center"/>
    </xf>
    <xf numFmtId="0" fontId="5" fillId="27" borderId="0" xfId="0" applyFont="1" applyFill="1"/>
    <xf numFmtId="0" fontId="0" fillId="27" borderId="0" xfId="0" applyFill="1"/>
    <xf numFmtId="0" fontId="32" fillId="27" borderId="0" xfId="0" applyFont="1" applyFill="1"/>
    <xf numFmtId="0" fontId="7" fillId="27" borderId="0" xfId="0" applyFont="1" applyFill="1"/>
    <xf numFmtId="0" fontId="32" fillId="27" borderId="0" xfId="0" applyFont="1" applyFill="1" applyAlignment="1">
      <alignment horizontal="center"/>
    </xf>
    <xf numFmtId="0" fontId="33" fillId="27" borderId="0" xfId="0" applyFont="1" applyFill="1"/>
    <xf numFmtId="166" fontId="33" fillId="27" borderId="0" xfId="0" applyNumberFormat="1" applyFont="1" applyFill="1"/>
    <xf numFmtId="0" fontId="1" fillId="27" borderId="0" xfId="0" applyFont="1" applyFill="1"/>
    <xf numFmtId="166" fontId="0" fillId="27" borderId="0" xfId="0" applyNumberFormat="1" applyFill="1"/>
    <xf numFmtId="169" fontId="33" fillId="27" borderId="0" xfId="0" applyNumberFormat="1" applyFont="1" applyFill="1"/>
    <xf numFmtId="165" fontId="33" fillId="27" borderId="0" xfId="0" applyNumberFormat="1" applyFont="1" applyFill="1"/>
    <xf numFmtId="169" fontId="0" fillId="27" borderId="0" xfId="0" applyNumberFormat="1" applyFill="1"/>
    <xf numFmtId="165" fontId="0" fillId="27" borderId="0" xfId="0" applyNumberFormat="1" applyFill="1"/>
    <xf numFmtId="170" fontId="33" fillId="27" borderId="0" xfId="0" applyNumberFormat="1" applyFont="1" applyFill="1"/>
    <xf numFmtId="168" fontId="33" fillId="27" borderId="0" xfId="0" applyNumberFormat="1" applyFont="1" applyFill="1"/>
    <xf numFmtId="171" fontId="33" fillId="27" borderId="0" xfId="0" applyNumberFormat="1" applyFont="1" applyFill="1"/>
    <xf numFmtId="0" fontId="31" fillId="0" borderId="0" xfId="0" applyFont="1"/>
    <xf numFmtId="0" fontId="0" fillId="24" borderId="0" xfId="0" applyFill="1"/>
    <xf numFmtId="0" fontId="7" fillId="24" borderId="0" xfId="0" applyFont="1" applyFill="1"/>
    <xf numFmtId="0" fontId="1" fillId="24" borderId="0" xfId="0" applyFont="1" applyFill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/>
    <xf numFmtId="0" fontId="0" fillId="0" borderId="10" xfId="0" applyBorder="1"/>
    <xf numFmtId="0" fontId="5" fillId="0" borderId="14" xfId="0" applyFont="1" applyBorder="1" applyAlignment="1">
      <alignment horizontal="center"/>
    </xf>
    <xf numFmtId="0" fontId="0" fillId="0" borderId="9" xfId="0" applyBorder="1"/>
    <xf numFmtId="0" fontId="0" fillId="0" borderId="30" xfId="0" applyBorder="1"/>
    <xf numFmtId="0" fontId="5" fillId="0" borderId="35" xfId="0" applyFont="1" applyBorder="1" applyAlignment="1">
      <alignment horizontal="center"/>
    </xf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24" fillId="0" borderId="7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13" borderId="17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3" borderId="13" xfId="0" applyFont="1" applyFill="1" applyBorder="1" applyAlignment="1">
      <alignment horizontal="center"/>
    </xf>
    <xf numFmtId="0" fontId="5" fillId="25" borderId="17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5" fillId="21" borderId="17" xfId="0" applyFont="1" applyFill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21" borderId="13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5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4" borderId="0" xfId="0" applyFont="1" applyFill="1" applyAlignment="1">
      <alignment horizontal="center"/>
    </xf>
    <xf numFmtId="0" fontId="5" fillId="24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2" fillId="25" borderId="6" xfId="0" applyFont="1" applyFill="1" applyBorder="1" applyAlignment="1">
      <alignment horizontal="center" wrapText="1"/>
    </xf>
    <xf numFmtId="0" fontId="22" fillId="25" borderId="21" xfId="0" applyFont="1" applyFill="1" applyBorder="1" applyAlignment="1">
      <alignment horizontal="center" wrapText="1"/>
    </xf>
    <xf numFmtId="0" fontId="22" fillId="25" borderId="22" xfId="0" applyFont="1" applyFill="1" applyBorder="1" applyAlignment="1">
      <alignment horizontal="center" wrapText="1"/>
    </xf>
    <xf numFmtId="0" fontId="22" fillId="25" borderId="19" xfId="0" applyFont="1" applyFill="1" applyBorder="1" applyAlignment="1">
      <alignment horizontal="center" wrapText="1"/>
    </xf>
    <xf numFmtId="0" fontId="22" fillId="25" borderId="23" xfId="0" applyFont="1" applyFill="1" applyBorder="1" applyAlignment="1">
      <alignment horizontal="center" wrapText="1"/>
    </xf>
    <xf numFmtId="0" fontId="22" fillId="25" borderId="20" xfId="0" applyFont="1" applyFill="1" applyBorder="1" applyAlignment="1">
      <alignment horizontal="center" wrapText="1"/>
    </xf>
    <xf numFmtId="0" fontId="0" fillId="12" borderId="21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9" fillId="22" borderId="15" xfId="0" applyFont="1" applyFill="1" applyBorder="1" applyAlignment="1">
      <alignment horizontal="center"/>
    </xf>
    <xf numFmtId="0" fontId="9" fillId="22" borderId="9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5.xml"/><Relationship Id="rId26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hartsheet" Target="chartsheets/sheet4.xml"/><Relationship Id="rId25" Type="http://schemas.openxmlformats.org/officeDocument/2006/relationships/worksheet" Target="worksheets/sheet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4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8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17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7.xml"/><Relationship Id="rId19" Type="http://schemas.openxmlformats.org/officeDocument/2006/relationships/chartsheet" Target="chartsheets/sheet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6.xml"/><Relationship Id="rId27" Type="http://schemas.openxmlformats.org/officeDocument/2006/relationships/pivotCacheDefinition" Target="pivotCache/pivotCacheDefinition1.xml"/><Relationship Id="rId30" Type="http://schemas.openxmlformats.org/officeDocument/2006/relationships/theme" Target="theme/theme1.xml"/><Relationship Id="rId8" Type="http://schemas.openxmlformats.org/officeDocument/2006/relationships/chartsheet" Target="chartsheets/sheet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and Relearning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- not used'!$Y$1</c:f>
              <c:strCache>
                <c:ptCount val="1"/>
                <c:pt idx="0">
                  <c:v>6days1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'Table - not used'!$AC$2:$AC$12</c:f>
              <c:numCache>
                <c:formatCode>General</c:formatCode>
                <c:ptCount val="11"/>
                <c:pt idx="0">
                  <c:v>1480</c:v>
                </c:pt>
                <c:pt idx="1">
                  <c:v>1680</c:v>
                </c:pt>
                <c:pt idx="2">
                  <c:v>1770</c:v>
                </c:pt>
                <c:pt idx="3">
                  <c:v>1440</c:v>
                </c:pt>
                <c:pt idx="4">
                  <c:v>1650</c:v>
                </c:pt>
                <c:pt idx="5">
                  <c:v>1890</c:v>
                </c:pt>
                <c:pt idx="6">
                  <c:v>1815</c:v>
                </c:pt>
                <c:pt idx="7">
                  <c:v>1910</c:v>
                </c:pt>
                <c:pt idx="8">
                  <c:v>1490</c:v>
                </c:pt>
                <c:pt idx="9">
                  <c:v>1710</c:v>
                </c:pt>
                <c:pt idx="10">
                  <c:v>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2-4495-AAFC-58A49DE89DC0}"/>
            </c:ext>
          </c:extLst>
        </c:ser>
        <c:ser>
          <c:idx val="1"/>
          <c:order val="1"/>
          <c:tx>
            <c:strRef>
              <c:f>'Table - not used'!$AA$1</c:f>
              <c:strCache>
                <c:ptCount val="1"/>
                <c:pt idx="0">
                  <c:v>6days2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'Table - not used'!$AE$2:$AE$12</c:f>
              <c:numCache>
                <c:formatCode>General</c:formatCode>
                <c:ptCount val="11"/>
                <c:pt idx="0">
                  <c:v>1380</c:v>
                </c:pt>
                <c:pt idx="1">
                  <c:v>1450</c:v>
                </c:pt>
                <c:pt idx="2">
                  <c:v>1530</c:v>
                </c:pt>
                <c:pt idx="3">
                  <c:v>1510</c:v>
                </c:pt>
                <c:pt idx="4">
                  <c:v>1760</c:v>
                </c:pt>
                <c:pt idx="5">
                  <c:v>1785</c:v>
                </c:pt>
                <c:pt idx="6">
                  <c:v>1745</c:v>
                </c:pt>
                <c:pt idx="7">
                  <c:v>1505</c:v>
                </c:pt>
                <c:pt idx="8">
                  <c:v>1260</c:v>
                </c:pt>
                <c:pt idx="9">
                  <c:v>1395</c:v>
                </c:pt>
                <c:pt idx="10">
                  <c:v>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2-4495-AAFC-58A49DE8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5712"/>
        <c:axId val="77797248"/>
      </c:scatterChart>
      <c:valAx>
        <c:axId val="777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97248"/>
        <c:crosses val="autoZero"/>
        <c:crossBetween val="midCat"/>
      </c:valAx>
      <c:valAx>
        <c:axId val="7779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79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and Relearning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 Figure'!$AE$1</c:f>
              <c:strCache>
                <c:ptCount val="1"/>
                <c:pt idx="0">
                  <c:v>6days1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'Schedule Figure'!$C$2:$C$11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'Schedule Figure'!$AJ$2:$AJ$12</c:f>
              <c:numCache>
                <c:formatCode>General</c:formatCode>
                <c:ptCount val="11"/>
                <c:pt idx="0">
                  <c:v>1480</c:v>
                </c:pt>
                <c:pt idx="1">
                  <c:v>1680</c:v>
                </c:pt>
                <c:pt idx="2">
                  <c:v>1770</c:v>
                </c:pt>
                <c:pt idx="3">
                  <c:v>1440</c:v>
                </c:pt>
                <c:pt idx="4">
                  <c:v>1650</c:v>
                </c:pt>
                <c:pt idx="5">
                  <c:v>1890</c:v>
                </c:pt>
                <c:pt idx="6">
                  <c:v>1815</c:v>
                </c:pt>
                <c:pt idx="7">
                  <c:v>1910</c:v>
                </c:pt>
                <c:pt idx="8">
                  <c:v>1490</c:v>
                </c:pt>
                <c:pt idx="9">
                  <c:v>1710</c:v>
                </c:pt>
                <c:pt idx="10">
                  <c:v>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4-47CB-9E6C-36627A54B1DA}"/>
            </c:ext>
          </c:extLst>
        </c:ser>
        <c:ser>
          <c:idx val="1"/>
          <c:order val="1"/>
          <c:tx>
            <c:strRef>
              <c:f>'Schedule Figure'!$AG$1</c:f>
              <c:strCache>
                <c:ptCount val="1"/>
                <c:pt idx="0">
                  <c:v>6days2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'Schedule Figure'!$C$2:$C$11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'Schedule Figure'!$AL$2:$AL$12</c:f>
              <c:numCache>
                <c:formatCode>General</c:formatCode>
                <c:ptCount val="11"/>
                <c:pt idx="0">
                  <c:v>1380</c:v>
                </c:pt>
                <c:pt idx="1">
                  <c:v>1450</c:v>
                </c:pt>
                <c:pt idx="2">
                  <c:v>1530</c:v>
                </c:pt>
                <c:pt idx="3">
                  <c:v>1510</c:v>
                </c:pt>
                <c:pt idx="4">
                  <c:v>1760</c:v>
                </c:pt>
                <c:pt idx="5">
                  <c:v>1785</c:v>
                </c:pt>
                <c:pt idx="6">
                  <c:v>1745</c:v>
                </c:pt>
                <c:pt idx="7">
                  <c:v>1505</c:v>
                </c:pt>
                <c:pt idx="8">
                  <c:v>1260</c:v>
                </c:pt>
                <c:pt idx="9">
                  <c:v>1395</c:v>
                </c:pt>
                <c:pt idx="10">
                  <c:v>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4-47CB-9E6C-36627A54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4000"/>
        <c:axId val="101345536"/>
      </c:scatterChart>
      <c:valAx>
        <c:axId val="1013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45536"/>
        <c:crosses val="autoZero"/>
        <c:crossBetween val="midCat"/>
      </c:valAx>
      <c:valAx>
        <c:axId val="10134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34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 Figure'!$E$19:$H$19</c:f>
              <c:strCache>
                <c:ptCount val="1"/>
                <c:pt idx="0">
                  <c:v>20 min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Figure'!$E$22:$E$96</c:f>
              <c:numCache>
                <c:formatCode>General</c:formatCode>
                <c:ptCount val="75"/>
                <c:pt idx="1">
                  <c:v>1</c:v>
                </c:pt>
                <c:pt idx="6">
                  <c:v>2</c:v>
                </c:pt>
                <c:pt idx="13">
                  <c:v>3</c:v>
                </c:pt>
                <c:pt idx="14">
                  <c:v>4</c:v>
                </c:pt>
                <c:pt idx="27">
                  <c:v>5</c:v>
                </c:pt>
                <c:pt idx="37">
                  <c:v>6</c:v>
                </c:pt>
                <c:pt idx="48">
                  <c:v>7</c:v>
                </c:pt>
                <c:pt idx="55">
                  <c:v>8</c:v>
                </c:pt>
                <c:pt idx="60">
                  <c:v>9</c:v>
                </c:pt>
                <c:pt idx="7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B-4E0F-BA2E-ACDDC955E5F0}"/>
            </c:ext>
          </c:extLst>
        </c:ser>
        <c:ser>
          <c:idx val="1"/>
          <c:order val="1"/>
          <c:tx>
            <c:strRef>
              <c:f>'Schedule Figure'!$J$19</c:f>
              <c:strCache>
                <c:ptCount val="1"/>
                <c:pt idx="0">
                  <c:v>1 hour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Figure'!$J$22:$J$96</c:f>
              <c:numCache>
                <c:formatCode>General</c:formatCode>
                <c:ptCount val="75"/>
                <c:pt idx="6">
                  <c:v>1</c:v>
                </c:pt>
                <c:pt idx="8">
                  <c:v>2</c:v>
                </c:pt>
                <c:pt idx="18">
                  <c:v>3</c:v>
                </c:pt>
                <c:pt idx="20">
                  <c:v>4</c:v>
                </c:pt>
                <c:pt idx="28">
                  <c:v>5</c:v>
                </c:pt>
                <c:pt idx="40">
                  <c:v>6</c:v>
                </c:pt>
                <c:pt idx="43">
                  <c:v>7</c:v>
                </c:pt>
                <c:pt idx="50">
                  <c:v>8</c:v>
                </c:pt>
                <c:pt idx="57">
                  <c:v>9</c:v>
                </c:pt>
                <c:pt idx="7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B-4E0F-BA2E-ACDDC955E5F0}"/>
            </c:ext>
          </c:extLst>
        </c:ser>
        <c:ser>
          <c:idx val="2"/>
          <c:order val="2"/>
          <c:tx>
            <c:strRef>
              <c:f>'Schedule Figure'!$O$19:$R$19</c:f>
              <c:strCache>
                <c:ptCount val="1"/>
                <c:pt idx="0">
                  <c:v>9 hours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Figure'!$O$31:$O$96</c:f>
              <c:numCache>
                <c:formatCode>General</c:formatCode>
                <c:ptCount val="66"/>
                <c:pt idx="0">
                  <c:v>1</c:v>
                </c:pt>
                <c:pt idx="3">
                  <c:v>2</c:v>
                </c:pt>
                <c:pt idx="10">
                  <c:v>3</c:v>
                </c:pt>
                <c:pt idx="21">
                  <c:v>4</c:v>
                </c:pt>
                <c:pt idx="26">
                  <c:v>5</c:v>
                </c:pt>
                <c:pt idx="35">
                  <c:v>6</c:v>
                </c:pt>
                <c:pt idx="37">
                  <c:v>7</c:v>
                </c:pt>
                <c:pt idx="61">
                  <c:v>8</c:v>
                </c:pt>
                <c:pt idx="6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B-4E0F-BA2E-ACDDC955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9456"/>
        <c:axId val="101127296"/>
      </c:scatterChart>
      <c:valAx>
        <c:axId val="1013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27296"/>
        <c:crosses val="autoZero"/>
        <c:crossBetween val="midCat"/>
      </c:valAx>
      <c:valAx>
        <c:axId val="10112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37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'Schedule Figure'!$E$19</c:f>
              <c:strCache>
                <c:ptCount val="1"/>
                <c:pt idx="0">
                  <c:v>20 min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Figure'!$D$22:$D$96</c:f>
              <c:numCache>
                <c:formatCode>0</c:formatCode>
                <c:ptCount val="75"/>
                <c:pt idx="1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37">
                  <c:v>1</c:v>
                </c:pt>
                <c:pt idx="48">
                  <c:v>1</c:v>
                </c:pt>
                <c:pt idx="55">
                  <c:v>1</c:v>
                </c:pt>
                <c:pt idx="60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05A-9E68-0ABB6738B3B4}"/>
            </c:ext>
          </c:extLst>
        </c:ser>
        <c:ser>
          <c:idx val="1"/>
          <c:order val="1"/>
          <c:tx>
            <c:strRef>
              <c:f>'Schedule Figure'!$J$19</c:f>
              <c:strCache>
                <c:ptCount val="1"/>
                <c:pt idx="0">
                  <c:v>1 hour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Figure'!$I$22:$I$96</c:f>
              <c:numCache>
                <c:formatCode>General</c:formatCode>
                <c:ptCount val="75"/>
                <c:pt idx="6">
                  <c:v>2</c:v>
                </c:pt>
                <c:pt idx="8">
                  <c:v>2</c:v>
                </c:pt>
                <c:pt idx="18">
                  <c:v>2</c:v>
                </c:pt>
                <c:pt idx="20">
                  <c:v>2</c:v>
                </c:pt>
                <c:pt idx="28">
                  <c:v>2</c:v>
                </c:pt>
                <c:pt idx="40">
                  <c:v>2</c:v>
                </c:pt>
                <c:pt idx="43">
                  <c:v>2</c:v>
                </c:pt>
                <c:pt idx="50">
                  <c:v>2</c:v>
                </c:pt>
                <c:pt idx="57">
                  <c:v>2</c:v>
                </c:pt>
                <c:pt idx="7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05A-9E68-0ABB6738B3B4}"/>
            </c:ext>
          </c:extLst>
        </c:ser>
        <c:ser>
          <c:idx val="2"/>
          <c:order val="2"/>
          <c:tx>
            <c:strRef>
              <c:f>'Schedule Figure'!$O$19</c:f>
              <c:strCache>
                <c:ptCount val="1"/>
                <c:pt idx="0">
                  <c:v>9 hours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Figure'!$N$22:$N$96</c:f>
              <c:numCache>
                <c:formatCode>General</c:formatCode>
                <c:ptCount val="75"/>
                <c:pt idx="9">
                  <c:v>3</c:v>
                </c:pt>
                <c:pt idx="12">
                  <c:v>3</c:v>
                </c:pt>
                <c:pt idx="19">
                  <c:v>3</c:v>
                </c:pt>
                <c:pt idx="30">
                  <c:v>3</c:v>
                </c:pt>
                <c:pt idx="35">
                  <c:v>3</c:v>
                </c:pt>
                <c:pt idx="44">
                  <c:v>3</c:v>
                </c:pt>
                <c:pt idx="46">
                  <c:v>3</c:v>
                </c:pt>
                <c:pt idx="70">
                  <c:v>3</c:v>
                </c:pt>
                <c:pt idx="7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8-405A-9E68-0ABB6738B3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1149696"/>
        <c:axId val="101184256"/>
      </c:scatterChart>
      <c:valAx>
        <c:axId val="101149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1184256"/>
        <c:crosses val="autoZero"/>
        <c:crossBetween val="midCat"/>
      </c:valAx>
      <c:valAx>
        <c:axId val="1011842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0114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'Schedule Figure'!$E$19</c:f>
              <c:strCache>
                <c:ptCount val="1"/>
                <c:pt idx="0">
                  <c:v>20 min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Figure'!$D$22:$D$96</c:f>
              <c:numCache>
                <c:formatCode>0</c:formatCode>
                <c:ptCount val="75"/>
                <c:pt idx="1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37">
                  <c:v>1</c:v>
                </c:pt>
                <c:pt idx="48">
                  <c:v>1</c:v>
                </c:pt>
                <c:pt idx="55">
                  <c:v>1</c:v>
                </c:pt>
                <c:pt idx="60">
                  <c:v>1</c:v>
                </c:pt>
                <c:pt idx="73">
                  <c:v>1</c:v>
                </c:pt>
              </c:numCache>
            </c:numRef>
          </c:yVal>
          <c:bubbleSize>
            <c:numRef>
              <c:f>'Schedule Figure'!$E$22:$E$96</c:f>
              <c:numCache>
                <c:formatCode>General</c:formatCode>
                <c:ptCount val="75"/>
                <c:pt idx="1">
                  <c:v>1</c:v>
                </c:pt>
                <c:pt idx="6">
                  <c:v>2</c:v>
                </c:pt>
                <c:pt idx="13">
                  <c:v>3</c:v>
                </c:pt>
                <c:pt idx="14">
                  <c:v>4</c:v>
                </c:pt>
                <c:pt idx="27">
                  <c:v>5</c:v>
                </c:pt>
                <c:pt idx="37">
                  <c:v>6</c:v>
                </c:pt>
                <c:pt idx="48">
                  <c:v>7</c:v>
                </c:pt>
                <c:pt idx="55">
                  <c:v>8</c:v>
                </c:pt>
                <c:pt idx="60">
                  <c:v>9</c:v>
                </c:pt>
                <c:pt idx="73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B76-43E6-96F3-1C0DAC38066B}"/>
            </c:ext>
          </c:extLst>
        </c:ser>
        <c:ser>
          <c:idx val="1"/>
          <c:order val="1"/>
          <c:tx>
            <c:strRef>
              <c:f>'Schedule Figure'!$J$19</c:f>
              <c:strCache>
                <c:ptCount val="1"/>
                <c:pt idx="0">
                  <c:v>1 hour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Figure'!$I$22:$I$96</c:f>
              <c:numCache>
                <c:formatCode>General</c:formatCode>
                <c:ptCount val="75"/>
                <c:pt idx="6">
                  <c:v>2</c:v>
                </c:pt>
                <c:pt idx="8">
                  <c:v>2</c:v>
                </c:pt>
                <c:pt idx="18">
                  <c:v>2</c:v>
                </c:pt>
                <c:pt idx="20">
                  <c:v>2</c:v>
                </c:pt>
                <c:pt idx="28">
                  <c:v>2</c:v>
                </c:pt>
                <c:pt idx="40">
                  <c:v>2</c:v>
                </c:pt>
                <c:pt idx="43">
                  <c:v>2</c:v>
                </c:pt>
                <c:pt idx="50">
                  <c:v>2</c:v>
                </c:pt>
                <c:pt idx="57">
                  <c:v>2</c:v>
                </c:pt>
                <c:pt idx="71">
                  <c:v>2</c:v>
                </c:pt>
              </c:numCache>
            </c:numRef>
          </c:yVal>
          <c:bubbleSize>
            <c:numRef>
              <c:f>'Schedule Figure'!$J$22:$J$96</c:f>
              <c:numCache>
                <c:formatCode>General</c:formatCode>
                <c:ptCount val="75"/>
                <c:pt idx="6">
                  <c:v>1</c:v>
                </c:pt>
                <c:pt idx="8">
                  <c:v>2</c:v>
                </c:pt>
                <c:pt idx="18">
                  <c:v>3</c:v>
                </c:pt>
                <c:pt idx="20">
                  <c:v>4</c:v>
                </c:pt>
                <c:pt idx="28">
                  <c:v>5</c:v>
                </c:pt>
                <c:pt idx="40">
                  <c:v>6</c:v>
                </c:pt>
                <c:pt idx="43">
                  <c:v>7</c:v>
                </c:pt>
                <c:pt idx="50">
                  <c:v>8</c:v>
                </c:pt>
                <c:pt idx="57">
                  <c:v>9</c:v>
                </c:pt>
                <c:pt idx="71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B76-43E6-96F3-1C0DAC38066B}"/>
            </c:ext>
          </c:extLst>
        </c:ser>
        <c:ser>
          <c:idx val="2"/>
          <c:order val="2"/>
          <c:tx>
            <c:strRef>
              <c:f>'Schedule Figure'!$O$19</c:f>
              <c:strCache>
                <c:ptCount val="1"/>
                <c:pt idx="0">
                  <c:v>9 hours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Figure'!$N$22:$N$96</c:f>
              <c:numCache>
                <c:formatCode>General</c:formatCode>
                <c:ptCount val="75"/>
                <c:pt idx="9">
                  <c:v>3</c:v>
                </c:pt>
                <c:pt idx="12">
                  <c:v>3</c:v>
                </c:pt>
                <c:pt idx="19">
                  <c:v>3</c:v>
                </c:pt>
                <c:pt idx="30">
                  <c:v>3</c:v>
                </c:pt>
                <c:pt idx="35">
                  <c:v>3</c:v>
                </c:pt>
                <c:pt idx="44">
                  <c:v>3</c:v>
                </c:pt>
                <c:pt idx="46">
                  <c:v>3</c:v>
                </c:pt>
                <c:pt idx="70">
                  <c:v>3</c:v>
                </c:pt>
                <c:pt idx="74">
                  <c:v>3</c:v>
                </c:pt>
              </c:numCache>
            </c:numRef>
          </c:yVal>
          <c:bubbleSize>
            <c:numRef>
              <c:f>'Schedule Figure'!$O$22:$O$96</c:f>
              <c:numCache>
                <c:formatCode>General</c:formatCode>
                <c:ptCount val="75"/>
                <c:pt idx="9">
                  <c:v>1</c:v>
                </c:pt>
                <c:pt idx="12">
                  <c:v>2</c:v>
                </c:pt>
                <c:pt idx="19">
                  <c:v>3</c:v>
                </c:pt>
                <c:pt idx="30">
                  <c:v>4</c:v>
                </c:pt>
                <c:pt idx="35">
                  <c:v>5</c:v>
                </c:pt>
                <c:pt idx="44">
                  <c:v>6</c:v>
                </c:pt>
                <c:pt idx="46">
                  <c:v>7</c:v>
                </c:pt>
                <c:pt idx="70">
                  <c:v>8</c:v>
                </c:pt>
                <c:pt idx="74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B76-43E6-96F3-1C0DAC38066B}"/>
            </c:ext>
          </c:extLst>
        </c:ser>
        <c:ser>
          <c:idx val="3"/>
          <c:order val="3"/>
          <c:tx>
            <c:strRef>
              <c:f>'Schedule Figure'!$T$19</c:f>
              <c:strCache>
                <c:ptCount val="1"/>
                <c:pt idx="0">
                  <c:v>1 day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Figure'!$S$22:$S$96</c:f>
              <c:numCache>
                <c:formatCode>General</c:formatCode>
                <c:ptCount val="75"/>
                <c:pt idx="0">
                  <c:v>4</c:v>
                </c:pt>
                <c:pt idx="10">
                  <c:v>4</c:v>
                </c:pt>
                <c:pt idx="19">
                  <c:v>4</c:v>
                </c:pt>
                <c:pt idx="26">
                  <c:v>4</c:v>
                </c:pt>
                <c:pt idx="35">
                  <c:v>4</c:v>
                </c:pt>
                <c:pt idx="41">
                  <c:v>4</c:v>
                </c:pt>
                <c:pt idx="50">
                  <c:v>4</c:v>
                </c:pt>
                <c:pt idx="68">
                  <c:v>4</c:v>
                </c:pt>
                <c:pt idx="69">
                  <c:v>4</c:v>
                </c:pt>
                <c:pt idx="71">
                  <c:v>4</c:v>
                </c:pt>
              </c:numCache>
            </c:numRef>
          </c:yVal>
          <c:bubbleSize>
            <c:numRef>
              <c:f>'Schedule Figure'!$T$22:$T$96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B76-43E6-96F3-1C0DAC38066B}"/>
            </c:ext>
          </c:extLst>
        </c:ser>
        <c:ser>
          <c:idx val="4"/>
          <c:order val="4"/>
          <c:tx>
            <c:strRef>
              <c:f>'Schedule Figure'!$Y$19</c:f>
              <c:strCache>
                <c:ptCount val="1"/>
                <c:pt idx="0">
                  <c:v>2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Figure'!$X$22:$X$96</c:f>
              <c:numCache>
                <c:formatCode>General</c:formatCode>
                <c:ptCount val="75"/>
                <c:pt idx="1">
                  <c:v>5</c:v>
                </c:pt>
                <c:pt idx="11">
                  <c:v>5</c:v>
                </c:pt>
                <c:pt idx="15">
                  <c:v>5</c:v>
                </c:pt>
                <c:pt idx="26">
                  <c:v>5</c:v>
                </c:pt>
                <c:pt idx="36">
                  <c:v>5</c:v>
                </c:pt>
                <c:pt idx="42">
                  <c:v>5</c:v>
                </c:pt>
                <c:pt idx="44">
                  <c:v>5</c:v>
                </c:pt>
                <c:pt idx="71">
                  <c:v>5</c:v>
                </c:pt>
              </c:numCache>
            </c:numRef>
          </c:yVal>
          <c:bubbleSize>
            <c:numRef>
              <c:f>'Schedule Figure'!$Y$22:$Y$96</c:f>
              <c:numCache>
                <c:formatCode>General</c:formatCode>
                <c:ptCount val="75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B76-43E6-96F3-1C0DAC38066B}"/>
            </c:ext>
          </c:extLst>
        </c:ser>
        <c:ser>
          <c:idx val="5"/>
          <c:order val="5"/>
          <c:tx>
            <c:strRef>
              <c:f>'Schedule Figure'!$AD$19</c:f>
              <c:strCache>
                <c:ptCount val="1"/>
                <c:pt idx="0">
                  <c:v>6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Figure'!$AC$22:$AC$96</c:f>
              <c:numCache>
                <c:formatCode>General</c:formatCode>
                <c:ptCount val="75"/>
                <c:pt idx="0">
                  <c:v>6</c:v>
                </c:pt>
                <c:pt idx="8">
                  <c:v>6</c:v>
                </c:pt>
                <c:pt idx="11">
                  <c:v>6</c:v>
                </c:pt>
                <c:pt idx="19">
                  <c:v>6</c:v>
                </c:pt>
                <c:pt idx="22">
                  <c:v>6</c:v>
                </c:pt>
                <c:pt idx="33">
                  <c:v>6</c:v>
                </c:pt>
                <c:pt idx="37">
                  <c:v>6</c:v>
                </c:pt>
                <c:pt idx="41">
                  <c:v>6</c:v>
                </c:pt>
                <c:pt idx="48">
                  <c:v>6</c:v>
                </c:pt>
                <c:pt idx="54">
                  <c:v>6</c:v>
                </c:pt>
              </c:numCache>
            </c:numRef>
          </c:yVal>
          <c:bubbleSize>
            <c:numRef>
              <c:f>'Schedule Figure'!$AD$22:$AD$96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B76-43E6-96F3-1C0DAC38066B}"/>
            </c:ext>
          </c:extLst>
        </c:ser>
        <c:ser>
          <c:idx val="6"/>
          <c:order val="6"/>
          <c:tx>
            <c:strRef>
              <c:f>'Schedule Figure'!$AI$19</c:f>
              <c:strCache>
                <c:ptCount val="1"/>
                <c:pt idx="0">
                  <c:v>31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Figure'!$AH$22:$AH$96</c:f>
              <c:numCache>
                <c:formatCode>General</c:formatCode>
                <c:ptCount val="75"/>
                <c:pt idx="2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3">
                  <c:v>7</c:v>
                </c:pt>
                <c:pt idx="14">
                  <c:v>7</c:v>
                </c:pt>
                <c:pt idx="16">
                  <c:v>7</c:v>
                </c:pt>
                <c:pt idx="18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bubbleSize>
            <c:numRef>
              <c:f>'Schedule Figure'!$AI$22:$AI$96</c:f>
              <c:numCache>
                <c:formatCode>General</c:formatCode>
                <c:ptCount val="7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B76-43E6-96F3-1C0DAC3806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76981120"/>
        <c:axId val="176982656"/>
      </c:bubbleChart>
      <c:valAx>
        <c:axId val="176981120"/>
        <c:scaling>
          <c:orientation val="minMax"/>
          <c:max val="75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76982656"/>
        <c:crosses val="autoZero"/>
        <c:crossBetween val="midCat"/>
      </c:valAx>
      <c:valAx>
        <c:axId val="1769826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698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6898254201186"/>
          <c:y val="2.807542619659343E-2"/>
          <c:w val="0.83569871504084015"/>
          <c:h val="0.83828015267250389"/>
        </c:manualLayout>
      </c:layout>
      <c:bubbleChart>
        <c:varyColors val="0"/>
        <c:ser>
          <c:idx val="0"/>
          <c:order val="0"/>
          <c:tx>
            <c:strRef>
              <c:f>'Schedule Figure'!$E$19</c:f>
              <c:strCache>
                <c:ptCount val="1"/>
                <c:pt idx="0">
                  <c:v>20 min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Figure'!$D$22:$D$96</c:f>
              <c:numCache>
                <c:formatCode>0</c:formatCode>
                <c:ptCount val="75"/>
                <c:pt idx="1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37">
                  <c:v>1</c:v>
                </c:pt>
                <c:pt idx="48">
                  <c:v>1</c:v>
                </c:pt>
                <c:pt idx="55">
                  <c:v>1</c:v>
                </c:pt>
                <c:pt idx="60">
                  <c:v>1</c:v>
                </c:pt>
                <c:pt idx="73">
                  <c:v>1</c:v>
                </c:pt>
              </c:numCache>
            </c:numRef>
          </c:yVal>
          <c:bubbleSize>
            <c:numRef>
              <c:f>'Schedule Figure'!$E$22:$E$96</c:f>
              <c:numCache>
                <c:formatCode>General</c:formatCode>
                <c:ptCount val="75"/>
                <c:pt idx="1">
                  <c:v>1</c:v>
                </c:pt>
                <c:pt idx="6">
                  <c:v>2</c:v>
                </c:pt>
                <c:pt idx="13">
                  <c:v>3</c:v>
                </c:pt>
                <c:pt idx="14">
                  <c:v>4</c:v>
                </c:pt>
                <c:pt idx="27">
                  <c:v>5</c:v>
                </c:pt>
                <c:pt idx="37">
                  <c:v>6</c:v>
                </c:pt>
                <c:pt idx="48">
                  <c:v>7</c:v>
                </c:pt>
                <c:pt idx="55">
                  <c:v>8</c:v>
                </c:pt>
                <c:pt idx="60">
                  <c:v>9</c:v>
                </c:pt>
                <c:pt idx="73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7C5-4B51-BF10-ED6BA84BB39C}"/>
            </c:ext>
          </c:extLst>
        </c:ser>
        <c:ser>
          <c:idx val="1"/>
          <c:order val="1"/>
          <c:tx>
            <c:strRef>
              <c:f>'Schedule Figure'!$J$19</c:f>
              <c:strCache>
                <c:ptCount val="1"/>
                <c:pt idx="0">
                  <c:v>1 hour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Figure'!$I$22:$I$96</c:f>
              <c:numCache>
                <c:formatCode>General</c:formatCode>
                <c:ptCount val="75"/>
                <c:pt idx="6">
                  <c:v>2</c:v>
                </c:pt>
                <c:pt idx="8">
                  <c:v>2</c:v>
                </c:pt>
                <c:pt idx="18">
                  <c:v>2</c:v>
                </c:pt>
                <c:pt idx="20">
                  <c:v>2</c:v>
                </c:pt>
                <c:pt idx="28">
                  <c:v>2</c:v>
                </c:pt>
                <c:pt idx="40">
                  <c:v>2</c:v>
                </c:pt>
                <c:pt idx="43">
                  <c:v>2</c:v>
                </c:pt>
                <c:pt idx="50">
                  <c:v>2</c:v>
                </c:pt>
                <c:pt idx="57">
                  <c:v>2</c:v>
                </c:pt>
                <c:pt idx="71">
                  <c:v>2</c:v>
                </c:pt>
              </c:numCache>
            </c:numRef>
          </c:yVal>
          <c:bubbleSize>
            <c:numRef>
              <c:f>'Schedule Figure'!$J$22:$J$96</c:f>
              <c:numCache>
                <c:formatCode>General</c:formatCode>
                <c:ptCount val="75"/>
                <c:pt idx="6">
                  <c:v>1</c:v>
                </c:pt>
                <c:pt idx="8">
                  <c:v>2</c:v>
                </c:pt>
                <c:pt idx="18">
                  <c:v>3</c:v>
                </c:pt>
                <c:pt idx="20">
                  <c:v>4</c:v>
                </c:pt>
                <c:pt idx="28">
                  <c:v>5</c:v>
                </c:pt>
                <c:pt idx="40">
                  <c:v>6</c:v>
                </c:pt>
                <c:pt idx="43">
                  <c:v>7</c:v>
                </c:pt>
                <c:pt idx="50">
                  <c:v>8</c:v>
                </c:pt>
                <c:pt idx="57">
                  <c:v>9</c:v>
                </c:pt>
                <c:pt idx="71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7C5-4B51-BF10-ED6BA84BB39C}"/>
            </c:ext>
          </c:extLst>
        </c:ser>
        <c:ser>
          <c:idx val="2"/>
          <c:order val="2"/>
          <c:tx>
            <c:strRef>
              <c:f>'Schedule Figure'!$O$19</c:f>
              <c:strCache>
                <c:ptCount val="1"/>
                <c:pt idx="0">
                  <c:v>9 hours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Figure'!$N$22:$N$96</c:f>
              <c:numCache>
                <c:formatCode>General</c:formatCode>
                <c:ptCount val="75"/>
                <c:pt idx="9">
                  <c:v>3</c:v>
                </c:pt>
                <c:pt idx="12">
                  <c:v>3</c:v>
                </c:pt>
                <c:pt idx="19">
                  <c:v>3</c:v>
                </c:pt>
                <c:pt idx="30">
                  <c:v>3</c:v>
                </c:pt>
                <c:pt idx="35">
                  <c:v>3</c:v>
                </c:pt>
                <c:pt idx="44">
                  <c:v>3</c:v>
                </c:pt>
                <c:pt idx="46">
                  <c:v>3</c:v>
                </c:pt>
                <c:pt idx="70">
                  <c:v>3</c:v>
                </c:pt>
                <c:pt idx="74">
                  <c:v>3</c:v>
                </c:pt>
              </c:numCache>
            </c:numRef>
          </c:yVal>
          <c:bubbleSize>
            <c:numRef>
              <c:f>'Schedule Figure'!$O$22:$O$96</c:f>
              <c:numCache>
                <c:formatCode>General</c:formatCode>
                <c:ptCount val="75"/>
                <c:pt idx="9">
                  <c:v>1</c:v>
                </c:pt>
                <c:pt idx="12">
                  <c:v>2</c:v>
                </c:pt>
                <c:pt idx="19">
                  <c:v>3</c:v>
                </c:pt>
                <c:pt idx="30">
                  <c:v>4</c:v>
                </c:pt>
                <c:pt idx="35">
                  <c:v>5</c:v>
                </c:pt>
                <c:pt idx="44">
                  <c:v>6</c:v>
                </c:pt>
                <c:pt idx="46">
                  <c:v>7</c:v>
                </c:pt>
                <c:pt idx="70">
                  <c:v>8</c:v>
                </c:pt>
                <c:pt idx="74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7C5-4B51-BF10-ED6BA84BB39C}"/>
            </c:ext>
          </c:extLst>
        </c:ser>
        <c:ser>
          <c:idx val="3"/>
          <c:order val="3"/>
          <c:tx>
            <c:strRef>
              <c:f>'Schedule Figure'!$T$19</c:f>
              <c:strCache>
                <c:ptCount val="1"/>
                <c:pt idx="0">
                  <c:v>1 day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Figure'!$S$22:$S$96</c:f>
              <c:numCache>
                <c:formatCode>General</c:formatCode>
                <c:ptCount val="75"/>
                <c:pt idx="0">
                  <c:v>4</c:v>
                </c:pt>
                <c:pt idx="10">
                  <c:v>4</c:v>
                </c:pt>
                <c:pt idx="19">
                  <c:v>4</c:v>
                </c:pt>
                <c:pt idx="26">
                  <c:v>4</c:v>
                </c:pt>
                <c:pt idx="35">
                  <c:v>4</c:v>
                </c:pt>
                <c:pt idx="41">
                  <c:v>4</c:v>
                </c:pt>
                <c:pt idx="50">
                  <c:v>4</c:v>
                </c:pt>
                <c:pt idx="68">
                  <c:v>4</c:v>
                </c:pt>
                <c:pt idx="69">
                  <c:v>4</c:v>
                </c:pt>
                <c:pt idx="71">
                  <c:v>4</c:v>
                </c:pt>
              </c:numCache>
            </c:numRef>
          </c:yVal>
          <c:bubbleSize>
            <c:numRef>
              <c:f>'Schedule Figure'!$T$22:$T$96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7C5-4B51-BF10-ED6BA84BB39C}"/>
            </c:ext>
          </c:extLst>
        </c:ser>
        <c:ser>
          <c:idx val="4"/>
          <c:order val="4"/>
          <c:tx>
            <c:strRef>
              <c:f>'Schedule Figure'!$Y$19</c:f>
              <c:strCache>
                <c:ptCount val="1"/>
                <c:pt idx="0">
                  <c:v>2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Figure'!$X$22:$X$96</c:f>
              <c:numCache>
                <c:formatCode>General</c:formatCode>
                <c:ptCount val="75"/>
                <c:pt idx="1">
                  <c:v>5</c:v>
                </c:pt>
                <c:pt idx="11">
                  <c:v>5</c:v>
                </c:pt>
                <c:pt idx="15">
                  <c:v>5</c:v>
                </c:pt>
                <c:pt idx="26">
                  <c:v>5</c:v>
                </c:pt>
                <c:pt idx="36">
                  <c:v>5</c:v>
                </c:pt>
                <c:pt idx="42">
                  <c:v>5</c:v>
                </c:pt>
                <c:pt idx="44">
                  <c:v>5</c:v>
                </c:pt>
                <c:pt idx="71">
                  <c:v>5</c:v>
                </c:pt>
              </c:numCache>
            </c:numRef>
          </c:yVal>
          <c:bubbleSize>
            <c:numRef>
              <c:f>'Schedule Figure'!$Y$22:$Y$96</c:f>
              <c:numCache>
                <c:formatCode>General</c:formatCode>
                <c:ptCount val="75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7C5-4B51-BF10-ED6BA84BB39C}"/>
            </c:ext>
          </c:extLst>
        </c:ser>
        <c:ser>
          <c:idx val="5"/>
          <c:order val="5"/>
          <c:tx>
            <c:strRef>
              <c:f>'Schedule Figure'!$AD$19</c:f>
              <c:strCache>
                <c:ptCount val="1"/>
                <c:pt idx="0">
                  <c:v>6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Figure'!$AC$22:$AC$96</c:f>
              <c:numCache>
                <c:formatCode>General</c:formatCode>
                <c:ptCount val="75"/>
                <c:pt idx="0">
                  <c:v>6</c:v>
                </c:pt>
                <c:pt idx="8">
                  <c:v>6</c:v>
                </c:pt>
                <c:pt idx="11">
                  <c:v>6</c:v>
                </c:pt>
                <c:pt idx="19">
                  <c:v>6</c:v>
                </c:pt>
                <c:pt idx="22">
                  <c:v>6</c:v>
                </c:pt>
                <c:pt idx="33">
                  <c:v>6</c:v>
                </c:pt>
                <c:pt idx="37">
                  <c:v>6</c:v>
                </c:pt>
                <c:pt idx="41">
                  <c:v>6</c:v>
                </c:pt>
                <c:pt idx="48">
                  <c:v>6</c:v>
                </c:pt>
                <c:pt idx="54">
                  <c:v>6</c:v>
                </c:pt>
              </c:numCache>
            </c:numRef>
          </c:yVal>
          <c:bubbleSize>
            <c:numRef>
              <c:f>'Schedule Figure'!$AD$22:$AD$96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7C5-4B51-BF10-ED6BA84BB39C}"/>
            </c:ext>
          </c:extLst>
        </c:ser>
        <c:ser>
          <c:idx val="6"/>
          <c:order val="6"/>
          <c:tx>
            <c:strRef>
              <c:f>'Schedule Figure'!$AI$19</c:f>
              <c:strCache>
                <c:ptCount val="1"/>
                <c:pt idx="0">
                  <c:v>31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Figure'!$AH$22:$AH$96</c:f>
              <c:numCache>
                <c:formatCode>General</c:formatCode>
                <c:ptCount val="75"/>
                <c:pt idx="2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3">
                  <c:v>7</c:v>
                </c:pt>
                <c:pt idx="14">
                  <c:v>7</c:v>
                </c:pt>
                <c:pt idx="16">
                  <c:v>7</c:v>
                </c:pt>
                <c:pt idx="18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bubbleSize>
            <c:numRef>
              <c:f>'Schedule Figure'!$AI$22:$AI$96</c:f>
              <c:numCache>
                <c:formatCode>General</c:formatCode>
                <c:ptCount val="7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7C5-4B51-BF10-ED6BA84BB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77424640"/>
        <c:axId val="177442816"/>
      </c:bubbleChart>
      <c:valAx>
        <c:axId val="177424640"/>
        <c:scaling>
          <c:orientation val="minMax"/>
          <c:max val="75"/>
          <c:min val="0"/>
        </c:scaling>
        <c:delete val="0"/>
        <c:axPos val="t"/>
        <c:majorGridlines/>
        <c:minorGridlines/>
        <c:numFmt formatCode="General" sourceLinked="1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77442816"/>
        <c:crossesAt val="7.2"/>
        <c:crossBetween val="midCat"/>
      </c:valAx>
      <c:valAx>
        <c:axId val="177442816"/>
        <c:scaling>
          <c:orientation val="maxMin"/>
          <c:max val="7.2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Retention Intervals</a:t>
                </a:r>
              </a:p>
            </c:rich>
          </c:tx>
          <c:layout>
            <c:manualLayout>
              <c:xMode val="edge"/>
              <c:yMode val="edge"/>
              <c:x val="9.5676426415518736E-3"/>
              <c:y val="0.3080090718254732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17742464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329096234449319E-2"/>
          <c:y val="2.807542619659343E-2"/>
          <c:w val="0.89993860134840264"/>
          <c:h val="0.838280152672504"/>
        </c:manualLayout>
      </c:layout>
      <c:bubbleChart>
        <c:varyColors val="0"/>
        <c:ser>
          <c:idx val="0"/>
          <c:order val="0"/>
          <c:tx>
            <c:strRef>
              <c:f>'Schedule Figure'!$E$19</c:f>
              <c:strCache>
                <c:ptCount val="1"/>
                <c:pt idx="0">
                  <c:v>20 min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Figure'!$D$22:$D$96</c:f>
              <c:numCache>
                <c:formatCode>0</c:formatCode>
                <c:ptCount val="75"/>
                <c:pt idx="1">
                  <c:v>1</c:v>
                </c:pt>
                <c:pt idx="6">
                  <c:v>1</c:v>
                </c:pt>
                <c:pt idx="13">
                  <c:v>1</c:v>
                </c:pt>
                <c:pt idx="14">
                  <c:v>1</c:v>
                </c:pt>
                <c:pt idx="27">
                  <c:v>1</c:v>
                </c:pt>
                <c:pt idx="37">
                  <c:v>1</c:v>
                </c:pt>
                <c:pt idx="48">
                  <c:v>1</c:v>
                </c:pt>
                <c:pt idx="55">
                  <c:v>1</c:v>
                </c:pt>
                <c:pt idx="60">
                  <c:v>1</c:v>
                </c:pt>
                <c:pt idx="73">
                  <c:v>1</c:v>
                </c:pt>
              </c:numCache>
            </c:numRef>
          </c:yVal>
          <c:bubbleSize>
            <c:numRef>
              <c:f>'Schedule Figure'!$E$22:$E$96</c:f>
              <c:numCache>
                <c:formatCode>General</c:formatCode>
                <c:ptCount val="75"/>
                <c:pt idx="1">
                  <c:v>1</c:v>
                </c:pt>
                <c:pt idx="6">
                  <c:v>2</c:v>
                </c:pt>
                <c:pt idx="13">
                  <c:v>3</c:v>
                </c:pt>
                <c:pt idx="14">
                  <c:v>4</c:v>
                </c:pt>
                <c:pt idx="27">
                  <c:v>5</c:v>
                </c:pt>
                <c:pt idx="37">
                  <c:v>6</c:v>
                </c:pt>
                <c:pt idx="48">
                  <c:v>7</c:v>
                </c:pt>
                <c:pt idx="55">
                  <c:v>8</c:v>
                </c:pt>
                <c:pt idx="60">
                  <c:v>9</c:v>
                </c:pt>
                <c:pt idx="73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029-4FB4-AE1F-0E6D25C842AF}"/>
            </c:ext>
          </c:extLst>
        </c:ser>
        <c:ser>
          <c:idx val="1"/>
          <c:order val="1"/>
          <c:tx>
            <c:strRef>
              <c:f>'Schedule Figure'!$J$19</c:f>
              <c:strCache>
                <c:ptCount val="1"/>
                <c:pt idx="0">
                  <c:v>1 hour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Figure'!$I$22:$I$96</c:f>
              <c:numCache>
                <c:formatCode>General</c:formatCode>
                <c:ptCount val="75"/>
                <c:pt idx="6">
                  <c:v>2</c:v>
                </c:pt>
                <c:pt idx="8">
                  <c:v>2</c:v>
                </c:pt>
                <c:pt idx="18">
                  <c:v>2</c:v>
                </c:pt>
                <c:pt idx="20">
                  <c:v>2</c:v>
                </c:pt>
                <c:pt idx="28">
                  <c:v>2</c:v>
                </c:pt>
                <c:pt idx="40">
                  <c:v>2</c:v>
                </c:pt>
                <c:pt idx="43">
                  <c:v>2</c:v>
                </c:pt>
                <c:pt idx="50">
                  <c:v>2</c:v>
                </c:pt>
                <c:pt idx="57">
                  <c:v>2</c:v>
                </c:pt>
                <c:pt idx="71">
                  <c:v>2</c:v>
                </c:pt>
              </c:numCache>
            </c:numRef>
          </c:yVal>
          <c:bubbleSize>
            <c:numRef>
              <c:f>'Schedule Figure'!$J$22:$J$96</c:f>
              <c:numCache>
                <c:formatCode>General</c:formatCode>
                <c:ptCount val="75"/>
                <c:pt idx="6">
                  <c:v>1</c:v>
                </c:pt>
                <c:pt idx="8">
                  <c:v>2</c:v>
                </c:pt>
                <c:pt idx="18">
                  <c:v>3</c:v>
                </c:pt>
                <c:pt idx="20">
                  <c:v>4</c:v>
                </c:pt>
                <c:pt idx="28">
                  <c:v>5</c:v>
                </c:pt>
                <c:pt idx="40">
                  <c:v>6</c:v>
                </c:pt>
                <c:pt idx="43">
                  <c:v>7</c:v>
                </c:pt>
                <c:pt idx="50">
                  <c:v>8</c:v>
                </c:pt>
                <c:pt idx="57">
                  <c:v>9</c:v>
                </c:pt>
                <c:pt idx="71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29-4FB4-AE1F-0E6D25C842AF}"/>
            </c:ext>
          </c:extLst>
        </c:ser>
        <c:ser>
          <c:idx val="2"/>
          <c:order val="2"/>
          <c:tx>
            <c:strRef>
              <c:f>'Schedule Figure'!$O$19</c:f>
              <c:strCache>
                <c:ptCount val="1"/>
                <c:pt idx="0">
                  <c:v>9 hours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Figure'!$N$22:$N$96</c:f>
              <c:numCache>
                <c:formatCode>General</c:formatCode>
                <c:ptCount val="75"/>
                <c:pt idx="9">
                  <c:v>3</c:v>
                </c:pt>
                <c:pt idx="12">
                  <c:v>3</c:v>
                </c:pt>
                <c:pt idx="19">
                  <c:v>3</c:v>
                </c:pt>
                <c:pt idx="30">
                  <c:v>3</c:v>
                </c:pt>
                <c:pt idx="35">
                  <c:v>3</c:v>
                </c:pt>
                <c:pt idx="44">
                  <c:v>3</c:v>
                </c:pt>
                <c:pt idx="46">
                  <c:v>3</c:v>
                </c:pt>
                <c:pt idx="70">
                  <c:v>3</c:v>
                </c:pt>
                <c:pt idx="74">
                  <c:v>3</c:v>
                </c:pt>
              </c:numCache>
            </c:numRef>
          </c:yVal>
          <c:bubbleSize>
            <c:numRef>
              <c:f>'Schedule Figure'!$O$22:$O$96</c:f>
              <c:numCache>
                <c:formatCode>General</c:formatCode>
                <c:ptCount val="75"/>
                <c:pt idx="9">
                  <c:v>1</c:v>
                </c:pt>
                <c:pt idx="12">
                  <c:v>2</c:v>
                </c:pt>
                <c:pt idx="19">
                  <c:v>3</c:v>
                </c:pt>
                <c:pt idx="30">
                  <c:v>4</c:v>
                </c:pt>
                <c:pt idx="35">
                  <c:v>5</c:v>
                </c:pt>
                <c:pt idx="44">
                  <c:v>6</c:v>
                </c:pt>
                <c:pt idx="46">
                  <c:v>7</c:v>
                </c:pt>
                <c:pt idx="70">
                  <c:v>8</c:v>
                </c:pt>
                <c:pt idx="74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2029-4FB4-AE1F-0E6D25C842AF}"/>
            </c:ext>
          </c:extLst>
        </c:ser>
        <c:ser>
          <c:idx val="3"/>
          <c:order val="3"/>
          <c:tx>
            <c:strRef>
              <c:f>'Schedule Figure'!$T$19</c:f>
              <c:strCache>
                <c:ptCount val="1"/>
                <c:pt idx="0">
                  <c:v>1 day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Figure'!$S$22:$S$96</c:f>
              <c:numCache>
                <c:formatCode>General</c:formatCode>
                <c:ptCount val="75"/>
                <c:pt idx="0">
                  <c:v>4</c:v>
                </c:pt>
                <c:pt idx="10">
                  <c:v>4</c:v>
                </c:pt>
                <c:pt idx="19">
                  <c:v>4</c:v>
                </c:pt>
                <c:pt idx="26">
                  <c:v>4</c:v>
                </c:pt>
                <c:pt idx="35">
                  <c:v>4</c:v>
                </c:pt>
                <c:pt idx="41">
                  <c:v>4</c:v>
                </c:pt>
                <c:pt idx="50">
                  <c:v>4</c:v>
                </c:pt>
                <c:pt idx="68">
                  <c:v>4</c:v>
                </c:pt>
                <c:pt idx="69">
                  <c:v>4</c:v>
                </c:pt>
                <c:pt idx="71">
                  <c:v>4</c:v>
                </c:pt>
              </c:numCache>
            </c:numRef>
          </c:yVal>
          <c:bubbleSize>
            <c:numRef>
              <c:f>'Schedule Figure'!$T$22:$T$96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29-4FB4-AE1F-0E6D25C842AF}"/>
            </c:ext>
          </c:extLst>
        </c:ser>
        <c:ser>
          <c:idx val="4"/>
          <c:order val="4"/>
          <c:tx>
            <c:strRef>
              <c:f>'Schedule Figure'!$Y$19</c:f>
              <c:strCache>
                <c:ptCount val="1"/>
                <c:pt idx="0">
                  <c:v>2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Figure'!$X$22:$X$96</c:f>
              <c:numCache>
                <c:formatCode>General</c:formatCode>
                <c:ptCount val="75"/>
                <c:pt idx="1">
                  <c:v>5</c:v>
                </c:pt>
                <c:pt idx="11">
                  <c:v>5</c:v>
                </c:pt>
                <c:pt idx="15">
                  <c:v>5</c:v>
                </c:pt>
                <c:pt idx="26">
                  <c:v>5</c:v>
                </c:pt>
                <c:pt idx="36">
                  <c:v>5</c:v>
                </c:pt>
                <c:pt idx="42">
                  <c:v>5</c:v>
                </c:pt>
                <c:pt idx="44">
                  <c:v>5</c:v>
                </c:pt>
                <c:pt idx="71">
                  <c:v>5</c:v>
                </c:pt>
              </c:numCache>
            </c:numRef>
          </c:yVal>
          <c:bubbleSize>
            <c:numRef>
              <c:f>'Schedule Figure'!$Y$22:$Y$96</c:f>
              <c:numCache>
                <c:formatCode>General</c:formatCode>
                <c:ptCount val="75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2029-4FB4-AE1F-0E6D25C842AF}"/>
            </c:ext>
          </c:extLst>
        </c:ser>
        <c:ser>
          <c:idx val="5"/>
          <c:order val="5"/>
          <c:tx>
            <c:strRef>
              <c:f>'Schedule Figure'!$AD$19</c:f>
              <c:strCache>
                <c:ptCount val="1"/>
                <c:pt idx="0">
                  <c:v>6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Figure'!$AC$22:$AC$96</c:f>
              <c:numCache>
                <c:formatCode>General</c:formatCode>
                <c:ptCount val="75"/>
                <c:pt idx="0">
                  <c:v>6</c:v>
                </c:pt>
                <c:pt idx="8">
                  <c:v>6</c:v>
                </c:pt>
                <c:pt idx="11">
                  <c:v>6</c:v>
                </c:pt>
                <c:pt idx="19">
                  <c:v>6</c:v>
                </c:pt>
                <c:pt idx="22">
                  <c:v>6</c:v>
                </c:pt>
                <c:pt idx="33">
                  <c:v>6</c:v>
                </c:pt>
                <c:pt idx="37">
                  <c:v>6</c:v>
                </c:pt>
                <c:pt idx="41">
                  <c:v>6</c:v>
                </c:pt>
                <c:pt idx="48">
                  <c:v>6</c:v>
                </c:pt>
                <c:pt idx="54">
                  <c:v>6</c:v>
                </c:pt>
              </c:numCache>
            </c:numRef>
          </c:yVal>
          <c:bubbleSize>
            <c:numRef>
              <c:f>'Schedule Figure'!$AD$22:$AD$96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29-4FB4-AE1F-0E6D25C842AF}"/>
            </c:ext>
          </c:extLst>
        </c:ser>
        <c:ser>
          <c:idx val="6"/>
          <c:order val="6"/>
          <c:tx>
            <c:strRef>
              <c:f>'Schedule Figure'!$AI$19</c:f>
              <c:strCache>
                <c:ptCount val="1"/>
                <c:pt idx="0">
                  <c:v>31 days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'Schedule Figure'!$A$22:$A$96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'Schedule Figure'!$AH$22:$AH$96</c:f>
              <c:numCache>
                <c:formatCode>General</c:formatCode>
                <c:ptCount val="75"/>
                <c:pt idx="2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3">
                  <c:v>7</c:v>
                </c:pt>
                <c:pt idx="14">
                  <c:v>7</c:v>
                </c:pt>
                <c:pt idx="16">
                  <c:v>7</c:v>
                </c:pt>
                <c:pt idx="18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yVal>
          <c:bubbleSize>
            <c:numRef>
              <c:f>'Schedule Figure'!$AI$22:$AI$96</c:f>
              <c:numCache>
                <c:formatCode>General</c:formatCode>
                <c:ptCount val="7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29-4FB4-AE1F-0E6D25C842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177528832"/>
        <c:axId val="177530368"/>
      </c:bubbleChart>
      <c:valAx>
        <c:axId val="177528832"/>
        <c:scaling>
          <c:orientation val="minMax"/>
          <c:max val="75"/>
          <c:min val="0"/>
        </c:scaling>
        <c:delete val="0"/>
        <c:axPos val="t"/>
        <c:majorGridlines/>
        <c:minorGridlines/>
        <c:numFmt formatCode="General" sourceLinked="1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77530368"/>
        <c:crossesAt val="7.2"/>
        <c:crossBetween val="midCat"/>
      </c:valAx>
      <c:valAx>
        <c:axId val="177530368"/>
        <c:scaling>
          <c:orientation val="maxMin"/>
          <c:max val="7.2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Retention Intervals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1775288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273840769933"/>
          <c:y val="7.1377194214233983E-2"/>
          <c:w val="0.7008449256342971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'Ebbinghaus, Mack, Seitz'!$B$51</c:f>
              <c:strCache>
                <c:ptCount val="1"/>
                <c:pt idx="0">
                  <c:v>Ebbinghaus</c:v>
                </c:pt>
              </c:strCache>
            </c:strRef>
          </c:tx>
          <c:val>
            <c:numRef>
              <c:f>'Ebbinghaus, Mack, Seitz'!$B$52:$B$58</c:f>
              <c:numCache>
                <c:formatCode>0.000</c:formatCode>
                <c:ptCount val="7"/>
                <c:pt idx="0">
                  <c:v>1</c:v>
                </c:pt>
                <c:pt idx="1">
                  <c:v>0.75945017182130581</c:v>
                </c:pt>
                <c:pt idx="2">
                  <c:v>0.61512027491408916</c:v>
                </c:pt>
                <c:pt idx="3">
                  <c:v>0.57903780068728516</c:v>
                </c:pt>
                <c:pt idx="4">
                  <c:v>0.4776632302405498</c:v>
                </c:pt>
                <c:pt idx="5">
                  <c:v>0.43642611683848787</c:v>
                </c:pt>
                <c:pt idx="6">
                  <c:v>0.36254295532646047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C-4C35-AD9B-7A5980ECD91E}"/>
            </c:ext>
          </c:extLst>
        </c:ser>
        <c:ser>
          <c:idx val="1"/>
          <c:order val="1"/>
          <c:tx>
            <c:strRef>
              <c:f>'Ebbinghaus, Mack, Seitz'!$C$51</c:f>
              <c:strCache>
                <c:ptCount val="1"/>
                <c:pt idx="0">
                  <c:v>Mack</c:v>
                </c:pt>
              </c:strCache>
            </c:strRef>
          </c:tx>
          <c:val>
            <c:numRef>
              <c:f>'Ebbinghaus, Mack, Seitz'!$C$52:$C$58</c:f>
              <c:numCache>
                <c:formatCode>0.000</c:formatCode>
                <c:ptCount val="7"/>
                <c:pt idx="0">
                  <c:v>1</c:v>
                </c:pt>
                <c:pt idx="1">
                  <c:v>0.79350285042077662</c:v>
                </c:pt>
                <c:pt idx="2">
                  <c:v>0.52383240438208722</c:v>
                </c:pt>
                <c:pt idx="3">
                  <c:v>0.58053082043745152</c:v>
                </c:pt>
                <c:pt idx="4">
                  <c:v>0.67061632328234178</c:v>
                </c:pt>
                <c:pt idx="5">
                  <c:v>0.56759311779164312</c:v>
                </c:pt>
                <c:pt idx="6">
                  <c:v>0.47478442644368957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C-4C35-AD9B-7A5980ECD91E}"/>
            </c:ext>
          </c:extLst>
        </c:ser>
        <c:ser>
          <c:idx val="2"/>
          <c:order val="2"/>
          <c:tx>
            <c:strRef>
              <c:f>'Ebbinghaus, Mack, Seitz'!$D$51</c:f>
              <c:strCache>
                <c:ptCount val="1"/>
                <c:pt idx="0">
                  <c:v>Seitz</c:v>
                </c:pt>
              </c:strCache>
            </c:strRef>
          </c:tx>
          <c:val>
            <c:numRef>
              <c:f>'Ebbinghaus, Mack, Seitz'!$D$52:$D$58</c:f>
              <c:numCache>
                <c:formatCode>0.000</c:formatCode>
                <c:ptCount val="7"/>
                <c:pt idx="0">
                  <c:v>1</c:v>
                </c:pt>
                <c:pt idx="1">
                  <c:v>0.73495555282454628</c:v>
                </c:pt>
                <c:pt idx="2">
                  <c:v>0.61025062090765414</c:v>
                </c:pt>
                <c:pt idx="3">
                  <c:v>0.6108721478022201</c:v>
                </c:pt>
                <c:pt idx="4">
                  <c:v>0.64632454923717075</c:v>
                </c:pt>
                <c:pt idx="5">
                  <c:v>0.46428117183194129</c:v>
                </c:pt>
                <c:pt idx="6">
                  <c:v>0.45424416111046129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C-4C35-AD9B-7A5980ECD91E}"/>
            </c:ext>
          </c:extLst>
        </c:ser>
        <c:ser>
          <c:idx val="3"/>
          <c:order val="3"/>
          <c:tx>
            <c:strRef>
              <c:f>'Ebbinghaus, Mack, Seitz'!$E$51</c:f>
              <c:strCache>
                <c:ptCount val="1"/>
                <c:pt idx="0">
                  <c:v>Drost</c:v>
                </c:pt>
              </c:strCache>
            </c:strRef>
          </c:tx>
          <c:val>
            <c:numRef>
              <c:f>'Ebbinghaus, Mack, Seitz'!$E$52:$E$58</c:f>
              <c:numCache>
                <c:formatCode>0.000</c:formatCode>
                <c:ptCount val="7"/>
                <c:pt idx="0">
                  <c:v>1</c:v>
                </c:pt>
                <c:pt idx="1">
                  <c:v>0.79060196452108256</c:v>
                </c:pt>
                <c:pt idx="2">
                  <c:v>0.58608904859318012</c:v>
                </c:pt>
                <c:pt idx="3">
                  <c:v>0.67160344583044385</c:v>
                </c:pt>
                <c:pt idx="4">
                  <c:v>0.48762999618595171</c:v>
                </c:pt>
                <c:pt idx="5">
                  <c:v>0.35660355077507444</c:v>
                </c:pt>
                <c:pt idx="6">
                  <c:v>8.6859914606872118E-2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C-4C35-AD9B-7A5980EC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9632"/>
        <c:axId val="177671168"/>
      </c:lineChart>
      <c:catAx>
        <c:axId val="1776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71168"/>
        <c:crosses val="autoZero"/>
        <c:auto val="1"/>
        <c:lblAlgn val="ctr"/>
        <c:lblOffset val="100"/>
        <c:noMultiLvlLbl val="0"/>
      </c:catAx>
      <c:valAx>
        <c:axId val="177671168"/>
        <c:scaling>
          <c:orientation val="minMax"/>
          <c:max val="100"/>
        </c:scaling>
        <c:delete val="0"/>
        <c:axPos val="l"/>
        <c:numFmt formatCode="0" sourceLinked="0"/>
        <c:majorTickMark val="out"/>
        <c:minorTickMark val="none"/>
        <c:tickLblPos val="nextTo"/>
        <c:crossAx val="17766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1305763879357"/>
          <c:y val="0.33152209574346808"/>
          <c:w val="0.20285282287416129"/>
          <c:h val="0.3233699218304245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9319875283997E-2"/>
          <c:y val="1.8619434584406926E-2"/>
          <c:w val="0.7369070578506457"/>
          <c:h val="0.88968978420031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'Ebbinghaus, Mack, Seitz'!$B$51</c:f>
              <c:strCache>
                <c:ptCount val="1"/>
                <c:pt idx="0">
                  <c:v>Ebbinghaus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0"/>
            <c:trendlineLbl>
              <c:layout>
                <c:manualLayout>
                  <c:x val="0.2785245111942492"/>
                  <c:y val="-0.272656796278844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Seitz'!$B$52:$B$58</c:f>
              <c:numCache>
                <c:formatCode>0.000</c:formatCode>
                <c:ptCount val="7"/>
                <c:pt idx="0">
                  <c:v>1</c:v>
                </c:pt>
                <c:pt idx="1">
                  <c:v>0.75945017182130581</c:v>
                </c:pt>
                <c:pt idx="2">
                  <c:v>0.61512027491408916</c:v>
                </c:pt>
                <c:pt idx="3">
                  <c:v>0.57903780068728516</c:v>
                </c:pt>
                <c:pt idx="4">
                  <c:v>0.4776632302405498</c:v>
                </c:pt>
                <c:pt idx="5">
                  <c:v>0.43642611683848787</c:v>
                </c:pt>
                <c:pt idx="6">
                  <c:v>0.36254295532646047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8-4B1A-8D9A-B161597AFA67}"/>
            </c:ext>
          </c:extLst>
        </c:ser>
        <c:ser>
          <c:idx val="1"/>
          <c:order val="1"/>
          <c:tx>
            <c:strRef>
              <c:f>'Ebbinghaus, Mack, Seitz'!$E$51</c:f>
              <c:strCache>
                <c:ptCount val="1"/>
                <c:pt idx="0">
                  <c:v>Drost</c:v>
                </c:pt>
              </c:strCache>
            </c:strRef>
          </c:tx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Seitz'!$E$52:$E$58</c:f>
              <c:numCache>
                <c:formatCode>0.000</c:formatCode>
                <c:ptCount val="7"/>
                <c:pt idx="0">
                  <c:v>1</c:v>
                </c:pt>
                <c:pt idx="1">
                  <c:v>0.79060196452108256</c:v>
                </c:pt>
                <c:pt idx="2">
                  <c:v>0.58608904859318012</c:v>
                </c:pt>
                <c:pt idx="3">
                  <c:v>0.67160344583044385</c:v>
                </c:pt>
                <c:pt idx="4">
                  <c:v>0.48762999618595171</c:v>
                </c:pt>
                <c:pt idx="5">
                  <c:v>0.35660355077507444</c:v>
                </c:pt>
                <c:pt idx="6">
                  <c:v>8.6859914606872118E-2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8-4B1A-8D9A-B161597AFA67}"/>
            </c:ext>
          </c:extLst>
        </c:ser>
        <c:ser>
          <c:idx val="2"/>
          <c:order val="2"/>
          <c:tx>
            <c:strRef>
              <c:f>'Ebbinghaus, Mack, Seitz'!$C$51</c:f>
              <c:strCache>
                <c:ptCount val="1"/>
                <c:pt idx="0">
                  <c:v>Mack</c:v>
                </c:pt>
              </c:strCache>
            </c:strRef>
          </c:tx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Seitz'!$C$52:$C$58</c:f>
              <c:numCache>
                <c:formatCode>0.000</c:formatCode>
                <c:ptCount val="7"/>
                <c:pt idx="0">
                  <c:v>1</c:v>
                </c:pt>
                <c:pt idx="1">
                  <c:v>0.79350285042077662</c:v>
                </c:pt>
                <c:pt idx="2">
                  <c:v>0.52383240438208722</c:v>
                </c:pt>
                <c:pt idx="3">
                  <c:v>0.58053082043745152</c:v>
                </c:pt>
                <c:pt idx="4">
                  <c:v>0.67061632328234178</c:v>
                </c:pt>
                <c:pt idx="5">
                  <c:v>0.56759311779164312</c:v>
                </c:pt>
                <c:pt idx="6">
                  <c:v>0.47478442644368957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8-4B1A-8D9A-B161597AFA67}"/>
            </c:ext>
          </c:extLst>
        </c:ser>
        <c:ser>
          <c:idx val="3"/>
          <c:order val="3"/>
          <c:tx>
            <c:strRef>
              <c:f>'Ebbinghaus, Mack, Seitz'!$D$51</c:f>
              <c:strCache>
                <c:ptCount val="1"/>
                <c:pt idx="0">
                  <c:v>Seitz</c:v>
                </c:pt>
              </c:strCache>
            </c:strRef>
          </c:tx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Seitz'!$D$52:$D$58</c:f>
              <c:numCache>
                <c:formatCode>0.000</c:formatCode>
                <c:ptCount val="7"/>
                <c:pt idx="0">
                  <c:v>1</c:v>
                </c:pt>
                <c:pt idx="1">
                  <c:v>0.73495555282454628</c:v>
                </c:pt>
                <c:pt idx="2">
                  <c:v>0.61025062090765414</c:v>
                </c:pt>
                <c:pt idx="3">
                  <c:v>0.6108721478022201</c:v>
                </c:pt>
                <c:pt idx="4">
                  <c:v>0.64632454923717075</c:v>
                </c:pt>
                <c:pt idx="5">
                  <c:v>0.46428117183194129</c:v>
                </c:pt>
                <c:pt idx="6">
                  <c:v>0.45424416111046129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8-4B1A-8D9A-B161597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19936"/>
        <c:axId val="177734016"/>
      </c:scatterChart>
      <c:valAx>
        <c:axId val="177719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34016"/>
        <c:crosses val="autoZero"/>
        <c:crossBetween val="midCat"/>
      </c:valAx>
      <c:valAx>
        <c:axId val="177734016"/>
        <c:scaling>
          <c:logBase val="10"/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1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53181795671891"/>
          <c:y val="0.20849522188104908"/>
          <c:w val="0.29674189525623185"/>
          <c:h val="0.5521260855906524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75994177198434E-2"/>
          <c:y val="2.3616025552915611E-2"/>
          <c:w val="0.72297862767154308"/>
          <c:h val="0.87978662268214114"/>
        </c:manualLayout>
      </c:layout>
      <c:lineChart>
        <c:grouping val="standard"/>
        <c:varyColors val="0"/>
        <c:ser>
          <c:idx val="0"/>
          <c:order val="0"/>
          <c:tx>
            <c:v>Ebbinghaus</c:v>
          </c:tx>
          <c:val>
            <c:numRef>
              <c:f>'Ebbinghaus, Mack, Seitz'!$K$4:$K$10</c:f>
              <c:numCache>
                <c:formatCode>0.000</c:formatCode>
                <c:ptCount val="7"/>
                <c:pt idx="0">
                  <c:v>58.20000000000001</c:v>
                </c:pt>
                <c:pt idx="1">
                  <c:v>44.2</c:v>
                </c:pt>
                <c:pt idx="2">
                  <c:v>35.799999999999997</c:v>
                </c:pt>
                <c:pt idx="3">
                  <c:v>33.700000000000003</c:v>
                </c:pt>
                <c:pt idx="4">
                  <c:v>27.800000000000004</c:v>
                </c:pt>
                <c:pt idx="5">
                  <c:v>25.4</c:v>
                </c:pt>
                <c:pt idx="6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2-49BB-93A5-21A9DE23FEE5}"/>
            </c:ext>
          </c:extLst>
        </c:ser>
        <c:ser>
          <c:idx val="1"/>
          <c:order val="1"/>
          <c:tx>
            <c:v>Mack</c:v>
          </c:tx>
          <c:val>
            <c:numRef>
              <c:f>'Ebbinghaus, Mack, Seitz'!$L$4:$L$10</c:f>
              <c:numCache>
                <c:formatCode>0.0</c:formatCode>
                <c:ptCount val="7"/>
                <c:pt idx="0">
                  <c:v>54.430379746835435</c:v>
                </c:pt>
                <c:pt idx="1">
                  <c:v>43.190661478599225</c:v>
                </c:pt>
                <c:pt idx="2">
                  <c:v>28.512396694214871</c:v>
                </c:pt>
                <c:pt idx="3">
                  <c:v>31.59851301115242</c:v>
                </c:pt>
                <c:pt idx="4">
                  <c:v>36.501901140684417</c:v>
                </c:pt>
                <c:pt idx="5">
                  <c:v>30.894308943089431</c:v>
                </c:pt>
                <c:pt idx="6">
                  <c:v>25.842696629213478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2-49BB-93A5-21A9DE23FEE5}"/>
            </c:ext>
          </c:extLst>
        </c:ser>
        <c:ser>
          <c:idx val="2"/>
          <c:order val="2"/>
          <c:tx>
            <c:v>Seitz</c:v>
          </c:tx>
          <c:val>
            <c:numRef>
              <c:f>'Ebbinghaus, Mack, Seitz'!$M$4:$M$10</c:f>
              <c:numCache>
                <c:formatCode>0.0</c:formatCode>
                <c:ptCount val="7"/>
                <c:pt idx="0">
                  <c:v>44.206008583690988</c:v>
                </c:pt>
                <c:pt idx="1">
                  <c:v>32.489451476793249</c:v>
                </c:pt>
                <c:pt idx="2">
                  <c:v>26.976744186046513</c:v>
                </c:pt>
                <c:pt idx="3">
                  <c:v>27.004219409282694</c:v>
                </c:pt>
                <c:pt idx="4">
                  <c:v>28.571428571428577</c:v>
                </c:pt>
                <c:pt idx="5">
                  <c:v>20.524017467248907</c:v>
                </c:pt>
                <c:pt idx="6">
                  <c:v>20.080321285140563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2-49BB-93A5-21A9DE23FEE5}"/>
            </c:ext>
          </c:extLst>
        </c:ser>
        <c:ser>
          <c:idx val="3"/>
          <c:order val="3"/>
          <c:tx>
            <c:v>Joeri</c:v>
          </c:tx>
          <c:val>
            <c:numRef>
              <c:f>'Ebbinghaus, Mack, Seitz'!$N$4:$N$10</c:f>
              <c:numCache>
                <c:formatCode>0.0</c:formatCode>
                <c:ptCount val="7"/>
                <c:pt idx="0">
                  <c:v>47.167729999999999</c:v>
                </c:pt>
                <c:pt idx="1">
                  <c:v>37.290900000000001</c:v>
                </c:pt>
                <c:pt idx="2">
                  <c:v>27.644490000000001</c:v>
                </c:pt>
                <c:pt idx="3">
                  <c:v>31.67801</c:v>
                </c:pt>
                <c:pt idx="4">
                  <c:v>23.000399999999999</c:v>
                </c:pt>
                <c:pt idx="5">
                  <c:v>16.820180000000001</c:v>
                </c:pt>
                <c:pt idx="6">
                  <c:v>4.0969850000000001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2-49BB-93A5-21A9DE23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61664"/>
      </c:lineChart>
      <c:catAx>
        <c:axId val="1777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61664"/>
        <c:crosses val="autoZero"/>
        <c:auto val="1"/>
        <c:lblAlgn val="ctr"/>
        <c:lblOffset val="100"/>
        <c:noMultiLvlLbl val="0"/>
      </c:catAx>
      <c:valAx>
        <c:axId val="17776166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760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796772736267131"/>
          <c:y val="0.34782642259231722"/>
          <c:w val="0.17354233636869396"/>
          <c:h val="0.2915604379375859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fits from Mathematica'!$I$17:$I$23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7-4B8F-B9F1-66B6565237A4}"/>
            </c:ext>
          </c:extLst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'Data fits from Mathematica'!$I$17:$I$23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from Mathematica'!$X$59:$X$65</c:f>
              <c:numCache>
                <c:formatCode>General</c:formatCode>
                <c:ptCount val="7"/>
                <c:pt idx="0">
                  <c:v>0.51576019718490618</c:v>
                </c:pt>
                <c:pt idx="1">
                  <c:v>0.43994497362989538</c:v>
                </c:pt>
                <c:pt idx="2">
                  <c:v>0.32007011586683409</c:v>
                </c:pt>
                <c:pt idx="3">
                  <c:v>0.37426399290094969</c:v>
                </c:pt>
                <c:pt idx="4">
                  <c:v>0.33852521334340718</c:v>
                </c:pt>
                <c:pt idx="5">
                  <c:v>0.28873995489626891</c:v>
                </c:pt>
                <c:pt idx="6">
                  <c:v>0.22763459437328676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7-4B8F-B9F1-66B656523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3184"/>
        <c:axId val="178049408"/>
      </c:scatterChart>
      <c:valAx>
        <c:axId val="177773184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78049408"/>
        <c:crosses val="autoZero"/>
        <c:crossBetween val="midCat"/>
      </c:valAx>
      <c:valAx>
        <c:axId val="1780494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7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- not used'!$D$19:$G$19</c:f>
              <c:strCache>
                <c:ptCount val="1"/>
                <c:pt idx="0">
                  <c:v>20 min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used'!$A$22:$A$96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'Table - not used'!$D$22:$D$96</c:f>
              <c:numCache>
                <c:formatCode>General</c:formatCode>
                <c:ptCount val="75"/>
                <c:pt idx="1">
                  <c:v>1</c:v>
                </c:pt>
                <c:pt idx="6">
                  <c:v>2</c:v>
                </c:pt>
                <c:pt idx="13">
                  <c:v>3</c:v>
                </c:pt>
                <c:pt idx="14">
                  <c:v>4</c:v>
                </c:pt>
                <c:pt idx="27">
                  <c:v>5</c:v>
                </c:pt>
                <c:pt idx="37">
                  <c:v>6</c:v>
                </c:pt>
                <c:pt idx="48">
                  <c:v>7</c:v>
                </c:pt>
                <c:pt idx="55">
                  <c:v>8</c:v>
                </c:pt>
                <c:pt idx="60">
                  <c:v>9</c:v>
                </c:pt>
                <c:pt idx="7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4-44BC-980F-8BBAFC89DD15}"/>
            </c:ext>
          </c:extLst>
        </c:ser>
        <c:ser>
          <c:idx val="1"/>
          <c:order val="1"/>
          <c:tx>
            <c:strRef>
              <c:f>'Table - not used'!$H$19</c:f>
              <c:strCache>
                <c:ptCount val="1"/>
                <c:pt idx="0">
                  <c:v>1 hour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used'!$A$22:$A$96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'Table - not used'!$H$22:$H$96</c:f>
              <c:numCache>
                <c:formatCode>General</c:formatCode>
                <c:ptCount val="75"/>
                <c:pt idx="6">
                  <c:v>1</c:v>
                </c:pt>
                <c:pt idx="8">
                  <c:v>2</c:v>
                </c:pt>
                <c:pt idx="18">
                  <c:v>3</c:v>
                </c:pt>
                <c:pt idx="20">
                  <c:v>4</c:v>
                </c:pt>
                <c:pt idx="28">
                  <c:v>5</c:v>
                </c:pt>
                <c:pt idx="40">
                  <c:v>6</c:v>
                </c:pt>
                <c:pt idx="43">
                  <c:v>7</c:v>
                </c:pt>
                <c:pt idx="50">
                  <c:v>8</c:v>
                </c:pt>
                <c:pt idx="57">
                  <c:v>9</c:v>
                </c:pt>
                <c:pt idx="7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4-44BC-980F-8BBAFC89DD15}"/>
            </c:ext>
          </c:extLst>
        </c:ser>
        <c:ser>
          <c:idx val="2"/>
          <c:order val="2"/>
          <c:tx>
            <c:strRef>
              <c:f>'Table - not used'!$L$19:$O$19</c:f>
              <c:strCache>
                <c:ptCount val="1"/>
                <c:pt idx="0">
                  <c:v>9 hours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used'!$A$22:$A$96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'Table - not used'!$L$31:$L$96</c:f>
              <c:numCache>
                <c:formatCode>General</c:formatCode>
                <c:ptCount val="66"/>
                <c:pt idx="0">
                  <c:v>1</c:v>
                </c:pt>
                <c:pt idx="3">
                  <c:v>2</c:v>
                </c:pt>
                <c:pt idx="10">
                  <c:v>3</c:v>
                </c:pt>
                <c:pt idx="21">
                  <c:v>4</c:v>
                </c:pt>
                <c:pt idx="26">
                  <c:v>5</c:v>
                </c:pt>
                <c:pt idx="35">
                  <c:v>6</c:v>
                </c:pt>
                <c:pt idx="37">
                  <c:v>7</c:v>
                </c:pt>
                <c:pt idx="61">
                  <c:v>8</c:v>
                </c:pt>
                <c:pt idx="6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F4-44BC-980F-8BBAFC89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7920"/>
        <c:axId val="77816576"/>
      </c:scatterChart>
      <c:valAx>
        <c:axId val="777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16576"/>
        <c:crosses val="autoZero"/>
        <c:crossBetween val="midCat"/>
      </c:valAx>
      <c:valAx>
        <c:axId val="7781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77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1-46AE-9840-77CC77BF77D6}"/>
            </c:ext>
          </c:extLst>
        </c:ser>
        <c:ser>
          <c:idx val="2"/>
          <c:order val="1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1-46AE-9840-77CC77BF77D6}"/>
            </c:ext>
          </c:extLst>
        </c:ser>
        <c:ser>
          <c:idx val="3"/>
          <c:order val="2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1-46AE-9840-77CC77BF77D6}"/>
            </c:ext>
          </c:extLst>
        </c:ser>
        <c:ser>
          <c:idx val="1"/>
          <c:order val="3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A1-46AE-9840-77CC77BF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720"/>
        <c:axId val="177833088"/>
      </c:scatterChart>
      <c:valAx>
        <c:axId val="1778227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Inverval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33088"/>
        <c:crosses val="autoZero"/>
        <c:crossBetween val="midCat"/>
      </c:valAx>
      <c:valAx>
        <c:axId val="177833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822720"/>
        <c:crossesAt val="1.0000000000000005E-2"/>
        <c:crossBetween val="midCat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fits from V1.4'!$I$17:$I$23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from V1.4'!$K$17:$K$23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7-4C01-B6DB-732658074984}"/>
            </c:ext>
          </c:extLst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'Data fits from V1.4'!$I$17:$I$23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from V1.4'!$X$59:$X$65</c:f>
              <c:numCache>
                <c:formatCode>General</c:formatCode>
                <c:ptCount val="7"/>
                <c:pt idx="0">
                  <c:v>0.51576019718490618</c:v>
                </c:pt>
                <c:pt idx="1">
                  <c:v>0.43994497362989538</c:v>
                </c:pt>
                <c:pt idx="2">
                  <c:v>0.32007011586683409</c:v>
                </c:pt>
                <c:pt idx="3">
                  <c:v>0.37426399290094969</c:v>
                </c:pt>
                <c:pt idx="4">
                  <c:v>0.33852521334340718</c:v>
                </c:pt>
                <c:pt idx="5">
                  <c:v>0.28873995489626891</c:v>
                </c:pt>
                <c:pt idx="6">
                  <c:v>0.22763459437328676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7-4C01-B6DB-73265807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04896"/>
        <c:axId val="178306432"/>
      </c:scatterChart>
      <c:valAx>
        <c:axId val="178304896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78306432"/>
        <c:crosses val="autoZero"/>
        <c:crossBetween val="midCat"/>
      </c:valAx>
      <c:valAx>
        <c:axId val="1783064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V1.4'!$J$16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V1.4'!$I$29:$I$35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V1.4'!$J$17:$J$23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6-459C-965C-CF7C1C2E0B10}"/>
            </c:ext>
          </c:extLst>
        </c:ser>
        <c:ser>
          <c:idx val="2"/>
          <c:order val="1"/>
          <c:tx>
            <c:strRef>
              <c:f>'Data fits from V1.4'!$K$16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V1.4'!$K$29:$K$35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V1.4'!$K$29:$K$35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V1.4'!$I$29:$I$35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V1.4'!$K$17:$K$23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6-459C-965C-CF7C1C2E0B10}"/>
            </c:ext>
          </c:extLst>
        </c:ser>
        <c:ser>
          <c:idx val="3"/>
          <c:order val="2"/>
          <c:tx>
            <c:strRef>
              <c:f>'Data fits from V1.4'!$L$16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V1.4'!$L$29:$L$35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V1.4'!$L$29:$L$35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V1.4'!$I$29:$I$35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V1.4'!$L$17:$L$23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6-459C-965C-CF7C1C2E0B10}"/>
            </c:ext>
          </c:extLst>
        </c:ser>
        <c:ser>
          <c:idx val="1"/>
          <c:order val="3"/>
          <c:tx>
            <c:strRef>
              <c:f>'Data fits from V1.4'!$M$16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V1.4'!$I$29:$I$35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V1.4'!$M$17:$M$23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6-459C-965C-CF7C1C2E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3280"/>
        <c:axId val="178246016"/>
      </c:scatterChart>
      <c:valAx>
        <c:axId val="1782732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Inverval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46016"/>
        <c:crosses val="autoZero"/>
        <c:crossBetween val="midCat"/>
      </c:valAx>
      <c:valAx>
        <c:axId val="17824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73280"/>
        <c:crossesAt val="1.0000000000000005E-2"/>
        <c:crossBetween val="midCat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Correlation List Learning Time and Savings at First</a:t>
            </a:r>
            <a:r>
              <a:rPr lang="en-US" baseline="0"/>
              <a:t> Interval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831146106736701"/>
                  <c:y val="3.9933654126567512E-2"/>
                </c:manualLayout>
              </c:layout>
              <c:numFmt formatCode="General" sourceLinked="0"/>
            </c:trendlineLbl>
          </c:trendline>
          <c:xVal>
            <c:numRef>
              <c:f>'Tables (not used)'!$AQ$21:$AQ$30</c:f>
              <c:numCache>
                <c:formatCode>General</c:formatCode>
                <c:ptCount val="10"/>
                <c:pt idx="0">
                  <c:v>1229.375</c:v>
                </c:pt>
                <c:pt idx="1">
                  <c:v>1610</c:v>
                </c:pt>
                <c:pt idx="2">
                  <c:v>1601.25</c:v>
                </c:pt>
                <c:pt idx="3">
                  <c:v>1907.5</c:v>
                </c:pt>
                <c:pt idx="4">
                  <c:v>1575</c:v>
                </c:pt>
                <c:pt idx="5">
                  <c:v>1588.125</c:v>
                </c:pt>
                <c:pt idx="6">
                  <c:v>1785</c:v>
                </c:pt>
                <c:pt idx="7">
                  <c:v>1509.375</c:v>
                </c:pt>
                <c:pt idx="8">
                  <c:v>1693.125</c:v>
                </c:pt>
                <c:pt idx="9">
                  <c:v>1601.25</c:v>
                </c:pt>
              </c:numCache>
            </c:numRef>
          </c:xVal>
          <c:yVal>
            <c:numRef>
              <c:f>'Tables (not used)'!$AR$21:$AR$30</c:f>
              <c:numCache>
                <c:formatCode>General</c:formatCode>
                <c:ptCount val="10"/>
                <c:pt idx="0">
                  <c:v>0.52313167259786475</c:v>
                </c:pt>
                <c:pt idx="1">
                  <c:v>0.34239130434782611</c:v>
                </c:pt>
                <c:pt idx="2">
                  <c:v>0.39890710382513661</c:v>
                </c:pt>
                <c:pt idx="3">
                  <c:v>0.55963302752293576</c:v>
                </c:pt>
                <c:pt idx="4">
                  <c:v>0.53333333333333333</c:v>
                </c:pt>
                <c:pt idx="5">
                  <c:v>0.25895316804407714</c:v>
                </c:pt>
                <c:pt idx="6">
                  <c:v>0.45588235294117646</c:v>
                </c:pt>
                <c:pt idx="7">
                  <c:v>0.49855072463768119</c:v>
                </c:pt>
                <c:pt idx="8">
                  <c:v>0.31782945736434109</c:v>
                </c:pt>
                <c:pt idx="9">
                  <c:v>0.3251366120218579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1-4DE5-BA02-E564033B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5680"/>
        <c:axId val="178457216"/>
      </c:scatterChart>
      <c:valAx>
        <c:axId val="178455680"/>
        <c:scaling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78457216"/>
        <c:crosses val="autoZero"/>
        <c:crossBetween val="midCat"/>
      </c:valAx>
      <c:valAx>
        <c:axId val="178457216"/>
        <c:scaling>
          <c:orientation val="minMax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crossAx val="17845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436111111111113"/>
          <c:y val="0.35829651501895621"/>
          <c:w val="0.25730555555555557"/>
          <c:h val="0.1569697342519687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66688538932666"/>
                  <c:y val="1.1592300962379703E-4"/>
                </c:manualLayout>
              </c:layout>
              <c:numFmt formatCode="General" sourceLinked="0"/>
            </c:trendlineLbl>
          </c:trendline>
          <c:xVal>
            <c:numRef>
              <c:f>'Tables (not used)'!$AH$21:$AH$32</c:f>
              <c:numCache>
                <c:formatCode>General</c:formatCode>
                <c:ptCount val="12"/>
                <c:pt idx="0">
                  <c:v>1068</c:v>
                </c:pt>
                <c:pt idx="1">
                  <c:v>1001</c:v>
                </c:pt>
                <c:pt idx="2">
                  <c:v>934</c:v>
                </c:pt>
                <c:pt idx="3">
                  <c:v>1058</c:v>
                </c:pt>
                <c:pt idx="4">
                  <c:v>1027</c:v>
                </c:pt>
                <c:pt idx="5">
                  <c:v>978</c:v>
                </c:pt>
                <c:pt idx="6">
                  <c:v>897</c:v>
                </c:pt>
                <c:pt idx="7">
                  <c:v>978</c:v>
                </c:pt>
                <c:pt idx="8">
                  <c:v>1276</c:v>
                </c:pt>
                <c:pt idx="9">
                  <c:v>887</c:v>
                </c:pt>
                <c:pt idx="10">
                  <c:v>951</c:v>
                </c:pt>
                <c:pt idx="11">
                  <c:v>864</c:v>
                </c:pt>
              </c:numCache>
            </c:numRef>
          </c:xVal>
          <c:yVal>
            <c:numRef>
              <c:f>'Tables (not used)'!$AK$21:$AK$32</c:f>
              <c:numCache>
                <c:formatCode>General</c:formatCode>
                <c:ptCount val="12"/>
                <c:pt idx="0">
                  <c:v>0.64513108614232206</c:v>
                </c:pt>
                <c:pt idx="1">
                  <c:v>0.56043956043956045</c:v>
                </c:pt>
                <c:pt idx="2">
                  <c:v>0.56745182012847961</c:v>
                </c:pt>
                <c:pt idx="3">
                  <c:v>0.62665406427221171</c:v>
                </c:pt>
                <c:pt idx="4">
                  <c:v>0.60856864654333009</c:v>
                </c:pt>
                <c:pt idx="5">
                  <c:v>0.63292433537832316</c:v>
                </c:pt>
                <c:pt idx="6">
                  <c:v>0.59308807134894093</c:v>
                </c:pt>
                <c:pt idx="7">
                  <c:v>0.56134969325153372</c:v>
                </c:pt>
                <c:pt idx="8">
                  <c:v>0.64576802507836994</c:v>
                </c:pt>
                <c:pt idx="9">
                  <c:v>0.44870349492671929</c:v>
                </c:pt>
                <c:pt idx="10">
                  <c:v>0.53732912723449</c:v>
                </c:pt>
                <c:pt idx="11">
                  <c:v>0.57870370370370372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C-47AB-B769-484D539D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560"/>
        <c:axId val="178492544"/>
      </c:scatterChart>
      <c:valAx>
        <c:axId val="1784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92544"/>
        <c:crosses val="autoZero"/>
        <c:crossBetween val="midCat"/>
      </c:valAx>
      <c:valAx>
        <c:axId val="17849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48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plus>
            <c:min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minus>
          </c:errBars>
          <c:xVal>
            <c:numRef>
              <c:f>'Data fits from Mathematica'!$H$29:$H$35</c:f>
              <c:numCache>
                <c:formatCode>General</c:formatCode>
                <c:ptCount val="7"/>
                <c:pt idx="0">
                  <c:v>1.3194444444444444E-2</c:v>
                </c:pt>
                <c:pt idx="1">
                  <c:v>4.3749999999999997E-2</c:v>
                </c:pt>
                <c:pt idx="2">
                  <c:v>0.36458333333333331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B-405E-9B4A-4FADC36FA3A9}"/>
            </c:ext>
          </c:extLst>
        </c:ser>
        <c:ser>
          <c:idx val="1"/>
          <c:order val="1"/>
          <c:tx>
            <c:strRef>
              <c:f>'Data fits from Mathematica'!$P$16</c:f>
              <c:strCache>
                <c:ptCount val="1"/>
                <c:pt idx="0">
                  <c:v>Power Function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Mathematica'!$P$17:$P$23</c:f>
              <c:numCache>
                <c:formatCode>General</c:formatCode>
                <c:ptCount val="7"/>
                <c:pt idx="0">
                  <c:v>0.56063589714682582</c:v>
                </c:pt>
                <c:pt idx="1">
                  <c:v>0.47977671620296797</c:v>
                </c:pt>
                <c:pt idx="2">
                  <c:v>0.36420497288100251</c:v>
                </c:pt>
                <c:pt idx="3">
                  <c:v>0.31943359979765296</c:v>
                </c:pt>
                <c:pt idx="4">
                  <c:v>0.29190868936032993</c:v>
                </c:pt>
                <c:pt idx="5">
                  <c:v>0.25305881946475595</c:v>
                </c:pt>
                <c:pt idx="6">
                  <c:v>0.2044109741281892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B-405E-9B4A-4FADC36FA3A9}"/>
            </c:ext>
          </c:extLst>
        </c:ser>
        <c:ser>
          <c:idx val="2"/>
          <c:order val="2"/>
          <c:tx>
            <c:strRef>
              <c:f>'Data fits from Mathematica'!$W$16</c:f>
              <c:strCache>
                <c:ptCount val="1"/>
                <c:pt idx="0">
                  <c:v>With Boost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Mathematica'!$W$17:$W$23</c:f>
              <c:numCache>
                <c:formatCode>General</c:formatCode>
                <c:ptCount val="7"/>
                <c:pt idx="0">
                  <c:v>0.56594799576925048</c:v>
                </c:pt>
                <c:pt idx="1">
                  <c:v>0.47172373579257543</c:v>
                </c:pt>
                <c:pt idx="2">
                  <c:v>0.34177370343957336</c:v>
                </c:pt>
                <c:pt idx="3">
                  <c:v>0.32347915671446087</c:v>
                </c:pt>
                <c:pt idx="4">
                  <c:v>0.29416203891700005</c:v>
                </c:pt>
                <c:pt idx="5">
                  <c:v>0.25358252665209202</c:v>
                </c:pt>
                <c:pt idx="6">
                  <c:v>0.20425898028508729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B-405E-9B4A-4FADC36F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36448"/>
        <c:axId val="178538368"/>
      </c:scatterChart>
      <c:valAx>
        <c:axId val="17853644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38368"/>
        <c:crossesAt val="0.1"/>
        <c:crossBetween val="midCat"/>
      </c:valAx>
      <c:valAx>
        <c:axId val="178538368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36448"/>
        <c:crossesAt val="1.0000000000000005E-2"/>
        <c:crossBetween val="midCat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8-4044-9CBD-F49C8555481E}"/>
            </c:ext>
          </c:extLst>
        </c:ser>
        <c:ser>
          <c:idx val="0"/>
          <c:order val="1"/>
          <c:tx>
            <c:strRef>
              <c:f>'Data fits from Mathematica'!$Q$16</c:f>
              <c:strCache>
                <c:ptCount val="1"/>
                <c:pt idx="0">
                  <c:v>Power Function</c:v>
                </c:pt>
              </c:strCache>
            </c:strRef>
          </c:tx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'Data fits from Mathematica'!$I$41:$I$47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Mathematica'!$Q$17:$Q$23</c:f>
              <c:numCache>
                <c:formatCode>General</c:formatCode>
                <c:ptCount val="7"/>
                <c:pt idx="0">
                  <c:v>0.50045108004700845</c:v>
                </c:pt>
                <c:pt idx="1">
                  <c:v>0.45206671557280903</c:v>
                </c:pt>
                <c:pt idx="2">
                  <c:v>0.36884984406619487</c:v>
                </c:pt>
                <c:pt idx="3">
                  <c:v>0.33682605235418533</c:v>
                </c:pt>
                <c:pt idx="4">
                  <c:v>0.31588611053592974</c:v>
                </c:pt>
                <c:pt idx="5">
                  <c:v>0.28533119641571975</c:v>
                </c:pt>
                <c:pt idx="6">
                  <c:v>0.24507896237258689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4044-9CBD-F49C8555481E}"/>
            </c:ext>
          </c:extLst>
        </c:ser>
        <c:ser>
          <c:idx val="1"/>
          <c:order val="2"/>
          <c:tx>
            <c:strRef>
              <c:f>'Data fits from Mathematica'!$X$16</c:f>
              <c:strCache>
                <c:ptCount val="1"/>
                <c:pt idx="0">
                  <c:v>With Boost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Mathematica'!$X$17:$X$23</c:f>
              <c:numCache>
                <c:formatCode>General</c:formatCode>
                <c:ptCount val="7"/>
                <c:pt idx="0">
                  <c:v>0.53820565916354401</c:v>
                </c:pt>
                <c:pt idx="1">
                  <c:v>0.4349441739716462</c:v>
                </c:pt>
                <c:pt idx="2">
                  <c:v>0.2840084561790136</c:v>
                </c:pt>
                <c:pt idx="3">
                  <c:v>0.36579830760584875</c:v>
                </c:pt>
                <c:pt idx="4">
                  <c:v>0.33625589105318965</c:v>
                </c:pt>
                <c:pt idx="5">
                  <c:v>0.29685723931519692</c:v>
                </c:pt>
                <c:pt idx="6">
                  <c:v>0.2516067840709677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4044-9CBD-F49C8555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64480"/>
        <c:axId val="178578944"/>
      </c:scatterChart>
      <c:valAx>
        <c:axId val="1785644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78944"/>
        <c:crossesAt val="0.1"/>
        <c:crossBetween val="midCat"/>
      </c:valAx>
      <c:valAx>
        <c:axId val="178578944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64480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5-46A8-B779-70CAE8FE2A65}"/>
            </c:ext>
          </c:extLst>
        </c:ser>
        <c:ser>
          <c:idx val="0"/>
          <c:order val="1"/>
          <c:tx>
            <c:strRef>
              <c:f>'Data fits from Mathematica'!$R$16</c:f>
              <c:strCache>
                <c:ptCount val="1"/>
                <c:pt idx="0">
                  <c:v>Power Function</c:v>
                </c:pt>
              </c:strCache>
            </c:strRef>
          </c:tx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'Data fits from Mathematica'!$I$41:$I$47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Mathematica'!$R$17:$R$23</c:f>
              <c:numCache>
                <c:formatCode>General</c:formatCode>
                <c:ptCount val="7"/>
                <c:pt idx="0">
                  <c:v>0.40737751983096249</c:v>
                </c:pt>
                <c:pt idx="1">
                  <c:v>0.36541462784345818</c:v>
                </c:pt>
                <c:pt idx="2">
                  <c:v>0.29398592236250443</c:v>
                </c:pt>
                <c:pt idx="3">
                  <c:v>0.2667819603045497</c:v>
                </c:pt>
                <c:pt idx="4">
                  <c:v>0.24908910870757353</c:v>
                </c:pt>
                <c:pt idx="5">
                  <c:v>0.22341889540608217</c:v>
                </c:pt>
                <c:pt idx="6">
                  <c:v>0.18989438939378825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5-46A8-B779-70CAE8FE2A65}"/>
            </c:ext>
          </c:extLst>
        </c:ser>
        <c:ser>
          <c:idx val="1"/>
          <c:order val="2"/>
          <c:tx>
            <c:strRef>
              <c:f>'Data fits from Mathematica'!$Y$16</c:f>
              <c:strCache>
                <c:ptCount val="1"/>
                <c:pt idx="0">
                  <c:v>With Boost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Mathematica'!$Y$17:$Y$23</c:f>
              <c:numCache>
                <c:formatCode>General</c:formatCode>
                <c:ptCount val="7"/>
                <c:pt idx="0">
                  <c:v>0.42313071788064932</c:v>
                </c:pt>
                <c:pt idx="1">
                  <c:v>0.35690952403603321</c:v>
                </c:pt>
                <c:pt idx="2">
                  <c:v>0.25390261088978372</c:v>
                </c:pt>
                <c:pt idx="3">
                  <c:v>0.28119379607696132</c:v>
                </c:pt>
                <c:pt idx="4">
                  <c:v>0.2589772742803636</c:v>
                </c:pt>
                <c:pt idx="5">
                  <c:v>0.22830778831390297</c:v>
                </c:pt>
                <c:pt idx="6">
                  <c:v>0.19118049672156689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5-46A8-B779-70CAE8FE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1440"/>
        <c:axId val="178627712"/>
      </c:scatterChart>
      <c:valAx>
        <c:axId val="1786214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27712"/>
        <c:crossesAt val="0.1"/>
        <c:crossBetween val="midCat"/>
      </c:valAx>
      <c:valAx>
        <c:axId val="178627712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21440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plus>
            <c:min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F-4567-8C1A-633FC332D98D}"/>
            </c:ext>
          </c:extLst>
        </c:ser>
        <c:ser>
          <c:idx val="0"/>
          <c:order val="1"/>
          <c:tx>
            <c:strRef>
              <c:f>'Data fits from Mathematica'!$S$16</c:f>
              <c:strCache>
                <c:ptCount val="1"/>
                <c:pt idx="0">
                  <c:v>Power Function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Mathematica'!$I$41:$I$47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Mathematica'!$S$17:$S$23</c:f>
              <c:numCache>
                <c:formatCode>General</c:formatCode>
                <c:ptCount val="7"/>
                <c:pt idx="0">
                  <c:v>0.47735438472437869</c:v>
                </c:pt>
                <c:pt idx="1">
                  <c:v>0.39737627747654886</c:v>
                </c:pt>
                <c:pt idx="2">
                  <c:v>0.27533495035751493</c:v>
                </c:pt>
                <c:pt idx="3">
                  <c:v>0.23373619180550009</c:v>
                </c:pt>
                <c:pt idx="4">
                  <c:v>0.20818736785375419</c:v>
                </c:pt>
                <c:pt idx="5">
                  <c:v>0.17329075929524526</c:v>
                </c:pt>
                <c:pt idx="6">
                  <c:v>0.13172535370821831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F-4567-8C1A-633FC332D98D}"/>
            </c:ext>
          </c:extLst>
        </c:ser>
        <c:ser>
          <c:idx val="2"/>
          <c:order val="2"/>
          <c:tx>
            <c:strRef>
              <c:f>'Data fits from Mathematica'!$Z$16</c:f>
              <c:strCache>
                <c:ptCount val="1"/>
                <c:pt idx="0">
                  <c:v>With Boost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Mathematica'!$Z$17:$Z$23</c:f>
              <c:numCache>
                <c:formatCode>General</c:formatCode>
                <c:ptCount val="7"/>
                <c:pt idx="0">
                  <c:v>0.47942083264753155</c:v>
                </c:pt>
                <c:pt idx="1">
                  <c:v>0.39517185151308559</c:v>
                </c:pt>
                <c:pt idx="2">
                  <c:v>0.26844677459636612</c:v>
                </c:pt>
                <c:pt idx="3">
                  <c:v>0.23688592345031662</c:v>
                </c:pt>
                <c:pt idx="4">
                  <c:v>0.2109439791523488</c:v>
                </c:pt>
                <c:pt idx="5">
                  <c:v>0.17579168140292994</c:v>
                </c:pt>
                <c:pt idx="6">
                  <c:v>0.13442705473753197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F-4567-8C1A-633FC332D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62016"/>
        <c:axId val="178668288"/>
      </c:scatterChart>
      <c:valAx>
        <c:axId val="1786620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68288"/>
        <c:crossesAt val="1.0000000000000005E-2"/>
        <c:crossBetween val="midCat"/>
      </c:valAx>
      <c:valAx>
        <c:axId val="178668288"/>
        <c:scaling>
          <c:logBase val="10"/>
          <c:orientation val="minMax"/>
          <c:max val="1"/>
          <c:min val="1.0000000000000005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62016"/>
        <c:crossesAt val="1.0000000000000005E-2"/>
        <c:crossBetween val="midCat"/>
        <c:majorUnit val="0.1"/>
        <c:minorUnit val="2.0000000000000011E-2"/>
      </c:valAx>
    </c:plotArea>
    <c:legend>
      <c:legendPos val="tr"/>
      <c:layout>
        <c:manualLayout>
          <c:xMode val="edge"/>
          <c:yMode val="edge"/>
          <c:x val="0.66826812664042068"/>
          <c:y val="9.3381597648842657E-3"/>
          <c:w val="0.32912770669291386"/>
          <c:h val="0.3190405396863789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plus>
            <c:min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minus>
          </c:errBars>
          <c:xVal>
            <c:numRef>
              <c:f>'Data fits from Mathematica'!$H$29:$H$35</c:f>
              <c:numCache>
                <c:formatCode>General</c:formatCode>
                <c:ptCount val="7"/>
                <c:pt idx="0">
                  <c:v>1.3194444444444444E-2</c:v>
                </c:pt>
                <c:pt idx="1">
                  <c:v>4.3749999999999997E-2</c:v>
                </c:pt>
                <c:pt idx="2">
                  <c:v>0.36458333333333331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3-471D-A05B-4CAD20CF7B02}"/>
            </c:ext>
          </c:extLst>
        </c:ser>
        <c:ser>
          <c:idx val="1"/>
          <c:order val="1"/>
          <c:tx>
            <c:strRef>
              <c:f>'Data fits from Mathematica'!$BM$16</c:f>
              <c:strCache>
                <c:ptCount val="1"/>
                <c:pt idx="0">
                  <c:v>1880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Mathematica'!$BM$17:$BM$23</c:f>
              <c:numCache>
                <c:formatCode>General</c:formatCode>
                <c:ptCount val="7"/>
                <c:pt idx="0">
                  <c:v>0.56524172870733702</c:v>
                </c:pt>
                <c:pt idx="1">
                  <c:v>0.4726317961164469</c:v>
                </c:pt>
                <c:pt idx="2">
                  <c:v>0.35664989940104597</c:v>
                </c:pt>
                <c:pt idx="3">
                  <c:v>0.31472696100970188</c:v>
                </c:pt>
                <c:pt idx="4">
                  <c:v>0.28946815037062268</c:v>
                </c:pt>
                <c:pt idx="5">
                  <c:v>0.25427349834979918</c:v>
                </c:pt>
                <c:pt idx="6">
                  <c:v>0.21058813386638486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3-471D-A05B-4CAD20CF7B02}"/>
            </c:ext>
          </c:extLst>
        </c:ser>
        <c:ser>
          <c:idx val="2"/>
          <c:order val="2"/>
          <c:tx>
            <c:strRef>
              <c:f>'Data fits from Mathematica'!$BU$16</c:f>
              <c:strCache>
                <c:ptCount val="1"/>
                <c:pt idx="0">
                  <c:v>1885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Mathematica'!$BU$17:$BU$23</c:f>
              <c:numCache>
                <c:formatCode>General</c:formatCode>
                <c:ptCount val="7"/>
                <c:pt idx="0">
                  <c:v>0.57206095452458094</c:v>
                </c:pt>
                <c:pt idx="1">
                  <c:v>0.46929074651267294</c:v>
                </c:pt>
                <c:pt idx="2">
                  <c:v>0.34908837315463781</c:v>
                </c:pt>
                <c:pt idx="3">
                  <c:v>0.30921788334688188</c:v>
                </c:pt>
                <c:pt idx="4">
                  <c:v>0.28619511513839319</c:v>
                </c:pt>
                <c:pt idx="5">
                  <c:v>0.25535157300469313</c:v>
                </c:pt>
                <c:pt idx="6">
                  <c:v>0.21895767460729779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3-471D-A05B-4CAD20CF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5264"/>
        <c:axId val="178737920"/>
      </c:scatterChart>
      <c:valAx>
        <c:axId val="1787152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37920"/>
        <c:crossesAt val="0.1"/>
        <c:crossBetween val="midCat"/>
      </c:valAx>
      <c:valAx>
        <c:axId val="178737920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15264"/>
        <c:crossesAt val="1.0000000000000005E-2"/>
        <c:crossBetween val="midCat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and Relearning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- not used - Intervening'!$Y$1</c:f>
              <c:strCache>
                <c:ptCount val="1"/>
                <c:pt idx="0">
                  <c:v>6days1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 - Intervening'!$C$2:$C$11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'Table - not used - Intervening'!$AC$2:$AC$12</c:f>
              <c:numCache>
                <c:formatCode>General</c:formatCode>
                <c:ptCount val="11"/>
                <c:pt idx="0">
                  <c:v>1480</c:v>
                </c:pt>
                <c:pt idx="1">
                  <c:v>1680</c:v>
                </c:pt>
                <c:pt idx="2">
                  <c:v>1770</c:v>
                </c:pt>
                <c:pt idx="3">
                  <c:v>1440</c:v>
                </c:pt>
                <c:pt idx="4">
                  <c:v>1650</c:v>
                </c:pt>
                <c:pt idx="5">
                  <c:v>1890</c:v>
                </c:pt>
                <c:pt idx="6">
                  <c:v>1815</c:v>
                </c:pt>
                <c:pt idx="7">
                  <c:v>1910</c:v>
                </c:pt>
                <c:pt idx="8">
                  <c:v>1490</c:v>
                </c:pt>
                <c:pt idx="9">
                  <c:v>1710</c:v>
                </c:pt>
                <c:pt idx="10">
                  <c:v>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1-45D0-81A7-8E1771023CD4}"/>
            </c:ext>
          </c:extLst>
        </c:ser>
        <c:ser>
          <c:idx val="1"/>
          <c:order val="1"/>
          <c:tx>
            <c:strRef>
              <c:f>'Table - not used - Intervening'!$AA$1</c:f>
              <c:strCache>
                <c:ptCount val="1"/>
                <c:pt idx="0">
                  <c:v>6days2</c:v>
                </c:pt>
              </c:strCache>
            </c:strRef>
          </c:tx>
          <c:spPr>
            <a:ln w="28575">
              <a:noFill/>
            </a:ln>
          </c:spPr>
          <c:xVal>
            <c:numRef>
              <c:f>'Table - not used - Intervening'!$C$2:$C$11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'Table - not used - Intervening'!$AE$2:$AE$12</c:f>
              <c:numCache>
                <c:formatCode>General</c:formatCode>
                <c:ptCount val="11"/>
                <c:pt idx="0">
                  <c:v>1380</c:v>
                </c:pt>
                <c:pt idx="1">
                  <c:v>1450</c:v>
                </c:pt>
                <c:pt idx="2">
                  <c:v>1530</c:v>
                </c:pt>
                <c:pt idx="3">
                  <c:v>1510</c:v>
                </c:pt>
                <c:pt idx="4">
                  <c:v>1760</c:v>
                </c:pt>
                <c:pt idx="5">
                  <c:v>1785</c:v>
                </c:pt>
                <c:pt idx="6">
                  <c:v>1745</c:v>
                </c:pt>
                <c:pt idx="7">
                  <c:v>1505</c:v>
                </c:pt>
                <c:pt idx="8">
                  <c:v>1260</c:v>
                </c:pt>
                <c:pt idx="9">
                  <c:v>1395</c:v>
                </c:pt>
                <c:pt idx="10">
                  <c:v>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1-45D0-81A7-8E177102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4720"/>
        <c:axId val="77536256"/>
      </c:scatterChart>
      <c:valAx>
        <c:axId val="775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36256"/>
        <c:crosses val="autoZero"/>
        <c:crossBetween val="midCat"/>
      </c:valAx>
      <c:valAx>
        <c:axId val="7753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53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A-4CA5-96A9-59DC334887C3}"/>
            </c:ext>
          </c:extLst>
        </c:ser>
        <c:ser>
          <c:idx val="0"/>
          <c:order val="1"/>
          <c:tx>
            <c:strRef>
              <c:f>'Data fits from Mathematica'!$BN$16</c:f>
              <c:strCache>
                <c:ptCount val="1"/>
                <c:pt idx="0">
                  <c:v>1880</c:v>
                </c:pt>
              </c:strCache>
            </c:strRef>
          </c:tx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Mathematica'!$BN$17:$BN$23</c:f>
              <c:numCache>
                <c:formatCode>General</c:formatCode>
                <c:ptCount val="7"/>
                <c:pt idx="0">
                  <c:v>0.50847747333673554</c:v>
                </c:pt>
                <c:pt idx="1">
                  <c:v>0.4470493761824067</c:v>
                </c:pt>
                <c:pt idx="2">
                  <c:v>0.36128554831877435</c:v>
                </c:pt>
                <c:pt idx="3">
                  <c:v>0.33212475893017324</c:v>
                </c:pt>
                <c:pt idx="4">
                  <c:v>0.31380034174885163</c:v>
                </c:pt>
                <c:pt idx="5">
                  <c:v>0.28786494604824342</c:v>
                </c:pt>
                <c:pt idx="6">
                  <c:v>0.25472345968588195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A-4CA5-96A9-59DC334887C3}"/>
            </c:ext>
          </c:extLst>
        </c:ser>
        <c:ser>
          <c:idx val="1"/>
          <c:order val="2"/>
          <c:tx>
            <c:strRef>
              <c:f>'Data fits from Mathematica'!$BV$16</c:f>
              <c:strCache>
                <c:ptCount val="1"/>
                <c:pt idx="0">
                  <c:v>1885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Mathematica'!$BV$17:$BV$23</c:f>
              <c:numCache>
                <c:formatCode>General</c:formatCode>
                <c:ptCount val="7"/>
                <c:pt idx="0">
                  <c:v>0.51572835985956622</c:v>
                </c:pt>
                <c:pt idx="1">
                  <c:v>0.4477398960010347</c:v>
                </c:pt>
                <c:pt idx="2">
                  <c:v>0.35781718262595796</c:v>
                </c:pt>
                <c:pt idx="3">
                  <c:v>0.32930563029565219</c:v>
                </c:pt>
                <c:pt idx="4">
                  <c:v>0.31199593915224544</c:v>
                </c:pt>
                <c:pt idx="5">
                  <c:v>0.2883115964256463</c:v>
                </c:pt>
                <c:pt idx="6">
                  <c:v>0.259424151325439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A-4CA5-96A9-59DC3348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6320"/>
        <c:axId val="178798976"/>
      </c:scatterChart>
      <c:valAx>
        <c:axId val="1787763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98976"/>
        <c:crossesAt val="0.1"/>
        <c:crossBetween val="midCat"/>
      </c:valAx>
      <c:valAx>
        <c:axId val="178798976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76320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F-48FE-8EF9-C6D2BB1E8BFC}"/>
            </c:ext>
          </c:extLst>
        </c:ser>
        <c:ser>
          <c:idx val="0"/>
          <c:order val="1"/>
          <c:tx>
            <c:strRef>
              <c:f>'Data fits from Mathematica'!$BM$16</c:f>
              <c:strCache>
                <c:ptCount val="1"/>
                <c:pt idx="0">
                  <c:v>1880</c:v>
                </c:pt>
              </c:strCache>
            </c:strRef>
          </c:tx>
          <c:spPr>
            <a:ln w="1270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Mathematica'!$BO$17:$BO$23</c:f>
              <c:numCache>
                <c:formatCode>General</c:formatCode>
                <c:ptCount val="7"/>
                <c:pt idx="0">
                  <c:v>0.41657562376226287</c:v>
                </c:pt>
                <c:pt idx="1">
                  <c:v>0.36177884661157445</c:v>
                </c:pt>
                <c:pt idx="2">
                  <c:v>0.28767365397159916</c:v>
                </c:pt>
                <c:pt idx="3">
                  <c:v>0.26304507115813947</c:v>
                </c:pt>
                <c:pt idx="4">
                  <c:v>0.24770527444931489</c:v>
                </c:pt>
                <c:pt idx="5">
                  <c:v>0.22616780208015597</c:v>
                </c:pt>
                <c:pt idx="6">
                  <c:v>0.19893204949881926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F-48FE-8EF9-C6D2BB1E8BFC}"/>
            </c:ext>
          </c:extLst>
        </c:ser>
        <c:ser>
          <c:idx val="1"/>
          <c:order val="2"/>
          <c:tx>
            <c:strRef>
              <c:f>'Data fits from Mathematica'!$BU$16</c:f>
              <c:strCache>
                <c:ptCount val="1"/>
                <c:pt idx="0">
                  <c:v>1885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Mathematica'!$BW$17:$BW$23</c:f>
              <c:numCache>
                <c:formatCode>General</c:formatCode>
                <c:ptCount val="7"/>
                <c:pt idx="0">
                  <c:v>0.42039583983300438</c:v>
                </c:pt>
                <c:pt idx="1">
                  <c:v>0.35954687843792404</c:v>
                </c:pt>
                <c:pt idx="2">
                  <c:v>0.28300454888403204</c:v>
                </c:pt>
                <c:pt idx="3">
                  <c:v>0.25953158959951084</c:v>
                </c:pt>
                <c:pt idx="4">
                  <c:v>0.24544472456723854</c:v>
                </c:pt>
                <c:pt idx="5">
                  <c:v>0.22635600297994343</c:v>
                </c:pt>
                <c:pt idx="6">
                  <c:v>0.20334089696687943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F-48FE-8EF9-C6D2BB1E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5856"/>
        <c:axId val="178836224"/>
      </c:scatterChart>
      <c:valAx>
        <c:axId val="1788258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36224"/>
        <c:crossesAt val="0.1"/>
        <c:crossBetween val="midCat"/>
      </c:valAx>
      <c:valAx>
        <c:axId val="178836224"/>
        <c:scaling>
          <c:logBase val="10"/>
          <c:orientation val="minMax"/>
          <c:max val="1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5856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plus>
            <c:min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2-4987-8EE9-E6CFEF692427}"/>
            </c:ext>
          </c:extLst>
        </c:ser>
        <c:ser>
          <c:idx val="0"/>
          <c:order val="1"/>
          <c:tx>
            <c:strRef>
              <c:f>'Data fits from Mathematica'!$BP$16</c:f>
              <c:strCache>
                <c:ptCount val="1"/>
                <c:pt idx="0">
                  <c:v>1880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Mathematica'!$BP$17:$BP$23</c:f>
              <c:numCache>
                <c:formatCode>General</c:formatCode>
                <c:ptCount val="7"/>
                <c:pt idx="0">
                  <c:v>0.48577305175969476</c:v>
                </c:pt>
                <c:pt idx="1">
                  <c:v>0.39398469312598117</c:v>
                </c:pt>
                <c:pt idx="2">
                  <c:v>0.27005522659873948</c:v>
                </c:pt>
                <c:pt idx="3">
                  <c:v>0.23044271778367087</c:v>
                </c:pt>
                <c:pt idx="4">
                  <c:v>0.20650442870818264</c:v>
                </c:pt>
                <c:pt idx="5">
                  <c:v>0.17410952648288114</c:v>
                </c:pt>
                <c:pt idx="6">
                  <c:v>0.13566540237065838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2-4987-8EE9-E6CFEF692427}"/>
            </c:ext>
          </c:extLst>
        </c:ser>
        <c:ser>
          <c:idx val="2"/>
          <c:order val="2"/>
          <c:tx>
            <c:strRef>
              <c:f>'Data fits from Mathematica'!$BX$16</c:f>
              <c:strCache>
                <c:ptCount val="1"/>
                <c:pt idx="0">
                  <c:v>1885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'Data fits from Mathematica'!$BK$17:$BK$23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Mathematica'!$BX$17:$BX$23</c:f>
              <c:numCache>
                <c:formatCode>General</c:formatCode>
                <c:ptCount val="7"/>
                <c:pt idx="0">
                  <c:v>0.48871574588999089</c:v>
                </c:pt>
                <c:pt idx="1">
                  <c:v>0.38608836568296678</c:v>
                </c:pt>
                <c:pt idx="2">
                  <c:v>0.26125537787030606</c:v>
                </c:pt>
                <c:pt idx="3">
                  <c:v>0.22555418968558041</c:v>
                </c:pt>
                <c:pt idx="4">
                  <c:v>0.2049596219636276</c:v>
                </c:pt>
                <c:pt idx="5">
                  <c:v>0.17818232162558512</c:v>
                </c:pt>
                <c:pt idx="6">
                  <c:v>0.14781553627379335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12-4987-8EE9-E6CFEF69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78336"/>
        <c:axId val="178884608"/>
      </c:scatterChart>
      <c:valAx>
        <c:axId val="1788783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4608"/>
        <c:crossesAt val="1.0000000000000005E-2"/>
        <c:crossBetween val="midCat"/>
      </c:valAx>
      <c:valAx>
        <c:axId val="178884608"/>
        <c:scaling>
          <c:logBase val="10"/>
          <c:orientation val="minMax"/>
          <c:max val="1"/>
          <c:min val="1.0000000000000005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8336"/>
        <c:crossesAt val="1.0000000000000005E-2"/>
        <c:crossBetween val="midCat"/>
        <c:majorUnit val="0.1"/>
        <c:minorUnit val="2.0000000000000011E-2"/>
      </c:valAx>
    </c:plotArea>
    <c:legend>
      <c:legendPos val="tr"/>
      <c:layout>
        <c:manualLayout>
          <c:xMode val="edge"/>
          <c:yMode val="edge"/>
          <c:x val="0.6682681266404209"/>
          <c:y val="9.3381597648842692E-3"/>
          <c:w val="0.32912770669291397"/>
          <c:h val="0.3190405396863789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plus>
            <c:minus>
              <c:numRef>
                <c:f>'Data fits from Mathematica'!$J$29:$J$35</c:f>
                <c:numCache>
                  <c:formatCode>General</c:formatCode>
                  <c:ptCount val="7"/>
                  <c:pt idx="0">
                    <c:v>1.0916286602324857E-2</c:v>
                  </c:pt>
                  <c:pt idx="1">
                    <c:v>1.2999999999999999E-2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0.01</c:v>
                  </c:pt>
                </c:numCache>
              </c:numRef>
            </c:minus>
          </c:errBars>
          <c:xVal>
            <c:numRef>
              <c:f>'Data fits from Mathematica'!$H$29:$H$35</c:f>
              <c:numCache>
                <c:formatCode>General</c:formatCode>
                <c:ptCount val="7"/>
                <c:pt idx="0">
                  <c:v>1.3194444444444444E-2</c:v>
                </c:pt>
                <c:pt idx="1">
                  <c:v>4.3749999999999997E-2</c:v>
                </c:pt>
                <c:pt idx="2">
                  <c:v>0.36458333333333331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3-4E17-9607-4DD3A1C44B5C}"/>
            </c:ext>
          </c:extLst>
        </c:ser>
        <c:ser>
          <c:idx val="1"/>
          <c:order val="1"/>
          <c:tx>
            <c:strRef>
              <c:f>'Data fits from Mathematica'!$AR$16</c:f>
              <c:strCache>
                <c:ptCount val="1"/>
                <c:pt idx="0">
                  <c:v>MCM Fit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Mathematica'!$AR$17:$AR$23</c:f>
              <c:numCache>
                <c:formatCode>0.00E+00</c:formatCode>
                <c:ptCount val="7"/>
                <c:pt idx="0">
                  <c:v>0.58691840399038564</c:v>
                </c:pt>
                <c:pt idx="1">
                  <c:v>0.43489669561696664</c:v>
                </c:pt>
                <c:pt idx="2">
                  <c:v>0.31839600950145502</c:v>
                </c:pt>
                <c:pt idx="3">
                  <c:v>0.3152659857770243</c:v>
                </c:pt>
                <c:pt idx="4">
                  <c:v>0.31042771794079282</c:v>
                </c:pt>
                <c:pt idx="5">
                  <c:v>0.29180584940067555</c:v>
                </c:pt>
                <c:pt idx="6">
                  <c:v>0.19823410520934873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3-4E17-9607-4DD3A1C4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9488"/>
        <c:axId val="178961408"/>
      </c:scatterChart>
      <c:valAx>
        <c:axId val="1789594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61408"/>
        <c:crosses val="autoZero"/>
        <c:crossBetween val="midCat"/>
      </c:valAx>
      <c:valAx>
        <c:axId val="178961408"/>
        <c:scaling>
          <c:orientation val="minMax"/>
          <c:max val="0.7000000000000006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59488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4C63-A6BF-A5A10524DC35}"/>
            </c:ext>
          </c:extLst>
        </c:ser>
        <c:ser>
          <c:idx val="0"/>
          <c:order val="1"/>
          <c:tx>
            <c:strRef>
              <c:f>'Data fits from Mathematica'!$AS$16</c:f>
              <c:strCache>
                <c:ptCount val="1"/>
                <c:pt idx="0">
                  <c:v>MCM Fit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Mathematica'!$AS$17:$AS$23</c:f>
              <c:numCache>
                <c:formatCode>General</c:formatCode>
                <c:ptCount val="7"/>
                <c:pt idx="0">
                  <c:v>0.54476600874399028</c:v>
                </c:pt>
                <c:pt idx="1">
                  <c:v>0.43236871511686875</c:v>
                </c:pt>
                <c:pt idx="2">
                  <c:v>0.32308911898805098</c:v>
                </c:pt>
                <c:pt idx="3">
                  <c:v>0.32167666755371749</c:v>
                </c:pt>
                <c:pt idx="4">
                  <c:v>0.31946366507656226</c:v>
                </c:pt>
                <c:pt idx="5">
                  <c:v>0.3107628568106246</c:v>
                </c:pt>
                <c:pt idx="6">
                  <c:v>0.26150309082156964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8-4C63-A6BF-A5A10524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5200"/>
        <c:axId val="178997120"/>
      </c:scatterChart>
      <c:valAx>
        <c:axId val="1789952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97120"/>
        <c:crosses val="autoZero"/>
        <c:crossBetween val="midCat"/>
      </c:valAx>
      <c:valAx>
        <c:axId val="178997120"/>
        <c:scaling>
          <c:orientation val="minMax"/>
          <c:max val="0.7000000000000006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95200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4BEC-B44E-D4BCB39F62C9}"/>
            </c:ext>
          </c:extLst>
        </c:ser>
        <c:ser>
          <c:idx val="0"/>
          <c:order val="1"/>
          <c:tx>
            <c:strRef>
              <c:f>'Data fits from Mathematica'!$AT$16</c:f>
              <c:strCache>
                <c:ptCount val="1"/>
                <c:pt idx="0">
                  <c:v>MCM Fit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Mathematica'!$AT$17:$AT$23</c:f>
              <c:numCache>
                <c:formatCode>General</c:formatCode>
                <c:ptCount val="7"/>
                <c:pt idx="0">
                  <c:v>0.44152423934178775</c:v>
                </c:pt>
                <c:pt idx="1">
                  <c:v>0.32433622971420745</c:v>
                </c:pt>
                <c:pt idx="2">
                  <c:v>0.26469011285949129</c:v>
                </c:pt>
                <c:pt idx="3">
                  <c:v>0.26295195363969753</c:v>
                </c:pt>
                <c:pt idx="4">
                  <c:v>0.26019478658866718</c:v>
                </c:pt>
                <c:pt idx="5">
                  <c:v>0.24945220400052123</c:v>
                </c:pt>
                <c:pt idx="6">
                  <c:v>0.19166466904635174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4BEC-B44E-D4BCB39F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752"/>
        <c:axId val="179114752"/>
      </c:scatterChart>
      <c:valAx>
        <c:axId val="1790347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14752"/>
        <c:crosses val="autoZero"/>
        <c:crossBetween val="midCat"/>
      </c:valAx>
      <c:valAx>
        <c:axId val="179114752"/>
        <c:scaling>
          <c:orientation val="minMax"/>
          <c:max val="0.7000000000000006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34752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plus>
            <c:minus>
              <c:numRef>
                <c:f>'Data fits from Mathematica'!$M$29:$M$35</c:f>
                <c:numCache>
                  <c:formatCode>General</c:formatCode>
                  <c:ptCount val="7"/>
                  <c:pt idx="0">
                    <c:v>1.4857651330389085E-2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7-4716-9C16-B025DDEB5524}"/>
            </c:ext>
          </c:extLst>
        </c:ser>
        <c:ser>
          <c:idx val="0"/>
          <c:order val="1"/>
          <c:tx>
            <c:strRef>
              <c:f>'Data fits from Mathematica'!$AU$16</c:f>
              <c:strCache>
                <c:ptCount val="1"/>
                <c:pt idx="0">
                  <c:v>MCM Fit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Mathematica'!$AU$17:$AU$23</c:f>
              <c:numCache>
                <c:formatCode>General</c:formatCode>
                <c:ptCount val="7"/>
                <c:pt idx="0">
                  <c:v>0.47206109029132504</c:v>
                </c:pt>
                <c:pt idx="1">
                  <c:v>0.3732177739997819</c:v>
                </c:pt>
                <c:pt idx="2">
                  <c:v>0.29110968915721236</c:v>
                </c:pt>
                <c:pt idx="3">
                  <c:v>0.27580398534221257</c:v>
                </c:pt>
                <c:pt idx="4">
                  <c:v>0.25297493568256113</c:v>
                </c:pt>
                <c:pt idx="5">
                  <c:v>0.17905453341128769</c:v>
                </c:pt>
                <c:pt idx="6">
                  <c:v>2.0649485738070565E-2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7-4716-9C16-B025DDEB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60576"/>
        <c:axId val="179162496"/>
      </c:scatterChart>
      <c:valAx>
        <c:axId val="1791605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Retention Inverval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62496"/>
        <c:crosses val="autoZero"/>
        <c:crossBetween val="midCat"/>
      </c:valAx>
      <c:valAx>
        <c:axId val="179162496"/>
        <c:scaling>
          <c:orientation val="minMax"/>
          <c:max val="0.7000000000000006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60576"/>
        <c:crossesAt val="1.0000000000000005E-2"/>
        <c:crossBetween val="midCat"/>
        <c:majorUnit val="0.1"/>
        <c:minorUnit val="2.0000000000000011E-2"/>
      </c:valAx>
    </c:plotArea>
    <c:legend>
      <c:legendPos val="tr"/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508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'Data fits from Mathematica'!$H$29:$H$35</c:f>
              <c:numCache>
                <c:formatCode>General</c:formatCode>
                <c:ptCount val="7"/>
                <c:pt idx="0">
                  <c:v>1.3194444444444444E-2</c:v>
                </c:pt>
                <c:pt idx="1">
                  <c:v>4.3749999999999997E-2</c:v>
                </c:pt>
                <c:pt idx="2">
                  <c:v>0.36458333333333331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Mathematica'!$J$41:$J$47</c:f>
              <c:numCache>
                <c:formatCode>General</c:formatCode>
                <c:ptCount val="7"/>
                <c:pt idx="0">
                  <c:v>1</c:v>
                </c:pt>
                <c:pt idx="1">
                  <c:v>0.75945017182130581</c:v>
                </c:pt>
                <c:pt idx="2">
                  <c:v>0.61512027491408927</c:v>
                </c:pt>
                <c:pt idx="3">
                  <c:v>0.57903780068728516</c:v>
                </c:pt>
                <c:pt idx="4">
                  <c:v>0.4776632302405498</c:v>
                </c:pt>
                <c:pt idx="5">
                  <c:v>0.43642611683848792</c:v>
                </c:pt>
                <c:pt idx="6">
                  <c:v>0.36254295532646047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1-47BF-ACBC-41EF9A918EC5}"/>
            </c:ext>
          </c:extLst>
        </c:ser>
        <c:ser>
          <c:idx val="2"/>
          <c:order val="1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Mathematica'!$K$41:$K$47</c:f>
              <c:numCache>
                <c:formatCode>General</c:formatCode>
                <c:ptCount val="7"/>
                <c:pt idx="0">
                  <c:v>1</c:v>
                </c:pt>
                <c:pt idx="1">
                  <c:v>0.79350285042077662</c:v>
                </c:pt>
                <c:pt idx="2">
                  <c:v>0.52383240438208722</c:v>
                </c:pt>
                <c:pt idx="3">
                  <c:v>0.58053082043745152</c:v>
                </c:pt>
                <c:pt idx="4">
                  <c:v>0.67061632328234178</c:v>
                </c:pt>
                <c:pt idx="5">
                  <c:v>0.56759311779164312</c:v>
                </c:pt>
                <c:pt idx="6">
                  <c:v>0.47478442644368962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1-47BF-ACBC-41EF9A918EC5}"/>
            </c:ext>
          </c:extLst>
        </c:ser>
        <c:ser>
          <c:idx val="3"/>
          <c:order val="2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Mathematica'!$L$41:$L$47</c:f>
              <c:numCache>
                <c:formatCode>General</c:formatCode>
                <c:ptCount val="7"/>
                <c:pt idx="0">
                  <c:v>1</c:v>
                </c:pt>
                <c:pt idx="1">
                  <c:v>0.73495555282454639</c:v>
                </c:pt>
                <c:pt idx="2">
                  <c:v>0.61025062090765414</c:v>
                </c:pt>
                <c:pt idx="3">
                  <c:v>0.6108721478022201</c:v>
                </c:pt>
                <c:pt idx="4">
                  <c:v>0.64632454923717064</c:v>
                </c:pt>
                <c:pt idx="5">
                  <c:v>0.46428117183194129</c:v>
                </c:pt>
                <c:pt idx="6">
                  <c:v>0.45424416111046129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1-47BF-ACBC-41EF9A918EC5}"/>
            </c:ext>
          </c:extLst>
        </c:ser>
        <c:ser>
          <c:idx val="1"/>
          <c:order val="3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>
              <a:solidFill>
                <a:srgbClr val="000000"/>
              </a:solidFill>
              <a:prstDash val="sysDot"/>
            </a:ln>
          </c:spPr>
          <c:marker>
            <c:symbol val="none"/>
          </c:marker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Mathematica'!$M$41:$M$47</c:f>
              <c:numCache>
                <c:formatCode>General</c:formatCode>
                <c:ptCount val="7"/>
                <c:pt idx="0">
                  <c:v>1</c:v>
                </c:pt>
                <c:pt idx="1">
                  <c:v>0.79060196452108256</c:v>
                </c:pt>
                <c:pt idx="2">
                  <c:v>0.58608904859318012</c:v>
                </c:pt>
                <c:pt idx="3">
                  <c:v>0.67160344583044385</c:v>
                </c:pt>
                <c:pt idx="4">
                  <c:v>0.48762999618595171</c:v>
                </c:pt>
                <c:pt idx="5">
                  <c:v>0.35660355077507444</c:v>
                </c:pt>
                <c:pt idx="6">
                  <c:v>8.6859914606872118E-2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1-47BF-ACBC-41EF9A91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4"/>
        <c:axId val="179236224"/>
      </c:scatterChart>
      <c:valAx>
        <c:axId val="179234304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Retention Inverval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prstClr val="black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79236224"/>
        <c:crosses val="autoZero"/>
        <c:crossBetween val="midCat"/>
      </c:valAx>
      <c:valAx>
        <c:axId val="179236224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Normalized 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prstClr val="black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79234304"/>
        <c:crossesAt val="1.0000000000000005E-2"/>
        <c:crossBetween val="midCat"/>
        <c:majorUnit val="0.2"/>
      </c:valAx>
      <c:spPr>
        <a:noFill/>
        <a:ln w="25400">
          <a:noFill/>
        </a:ln>
      </c:spPr>
    </c:plotArea>
    <c:legend>
      <c:legendPos val="tr"/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fits from Mathematica'!$J$16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Mathematica'!$H$29:$H$35</c:f>
              <c:numCache>
                <c:formatCode>General</c:formatCode>
                <c:ptCount val="7"/>
                <c:pt idx="0">
                  <c:v>1.3194444444444444E-2</c:v>
                </c:pt>
                <c:pt idx="1">
                  <c:v>4.3749999999999997E-2</c:v>
                </c:pt>
                <c:pt idx="2">
                  <c:v>0.36458333333333331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Mathematica'!$J$17:$J$23</c:f>
              <c:numCache>
                <c:formatCode>General</c:formatCode>
                <c:ptCount val="7"/>
                <c:pt idx="0">
                  <c:v>0.58200000000000007</c:v>
                </c:pt>
                <c:pt idx="1">
                  <c:v>0.442</c:v>
                </c:pt>
                <c:pt idx="2">
                  <c:v>0.35799999999999998</c:v>
                </c:pt>
                <c:pt idx="3">
                  <c:v>0.33700000000000002</c:v>
                </c:pt>
                <c:pt idx="4">
                  <c:v>0.27800000000000002</c:v>
                </c:pt>
                <c:pt idx="5">
                  <c:v>0.254</c:v>
                </c:pt>
                <c:pt idx="6">
                  <c:v>0.21100000000000002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A0B-8C1D-0DECEC3E495C}"/>
            </c:ext>
          </c:extLst>
        </c:ser>
        <c:ser>
          <c:idx val="2"/>
          <c:order val="1"/>
          <c:tx>
            <c:strRef>
              <c:f>'Data fits from Mathematica'!$K$16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from Mathematica'!$K$29:$K$35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Mathematica'!$K$17:$K$23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A0B-8C1D-0DECEC3E495C}"/>
            </c:ext>
          </c:extLst>
        </c:ser>
        <c:ser>
          <c:idx val="3"/>
          <c:order val="2"/>
          <c:tx>
            <c:strRef>
              <c:f>'Data fits from Mathematica'!$L$16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from Mathematica'!$L$29:$L$35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Mathematica'!$L$17:$L$23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A0B-8C1D-0DECEC3E495C}"/>
            </c:ext>
          </c:extLst>
        </c:ser>
        <c:ser>
          <c:idx val="1"/>
          <c:order val="3"/>
          <c:tx>
            <c:strRef>
              <c:f>'Data fits from Mathematica'!$M$16</c:f>
              <c:strCache>
                <c:ptCount val="1"/>
                <c:pt idx="0">
                  <c:v>Dros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from Mathematica'!$I$29:$I$35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from Mathematica'!$M$17:$M$23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3-4A0B-8C1D-0DECEC3E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16"/>
        <c:axId val="1693184"/>
      </c:scatterChart>
      <c:valAx>
        <c:axId val="168281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Retention Inverval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93184"/>
        <c:crosses val="autoZero"/>
        <c:crossBetween val="midCat"/>
      </c:valAx>
      <c:valAx>
        <c:axId val="1693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82816"/>
        <c:crossesAt val="1.0000000000000005E-2"/>
        <c:crossBetween val="midCat"/>
      </c:valAx>
    </c:plotArea>
    <c:legend>
      <c:legendPos val="tr"/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5820898895648E-2"/>
          <c:y val="1.8619434584406926E-2"/>
          <c:w val="0.88452210485985561"/>
          <c:h val="0.88968978420031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'Ebbinghaus, Mack, Seitz'!$B$51</c:f>
              <c:strCache>
                <c:ptCount val="1"/>
                <c:pt idx="0">
                  <c:v>Ebbinghaus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Seitz'!$B$52:$B$58</c:f>
              <c:numCache>
                <c:formatCode>0.000</c:formatCode>
                <c:ptCount val="7"/>
                <c:pt idx="0">
                  <c:v>1</c:v>
                </c:pt>
                <c:pt idx="1">
                  <c:v>0.75945017182130581</c:v>
                </c:pt>
                <c:pt idx="2">
                  <c:v>0.61512027491408916</c:v>
                </c:pt>
                <c:pt idx="3">
                  <c:v>0.57903780068728516</c:v>
                </c:pt>
                <c:pt idx="4">
                  <c:v>0.4776632302405498</c:v>
                </c:pt>
                <c:pt idx="5">
                  <c:v>0.43642611683848787</c:v>
                </c:pt>
                <c:pt idx="6">
                  <c:v>0.36254295532646047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E-4BDE-9688-181311797091}"/>
            </c:ext>
          </c:extLst>
        </c:ser>
        <c:ser>
          <c:idx val="2"/>
          <c:order val="1"/>
          <c:tx>
            <c:strRef>
              <c:f>'Ebbinghaus, Mack, Seitz'!$C$51</c:f>
              <c:strCache>
                <c:ptCount val="1"/>
                <c:pt idx="0">
                  <c:v>Mack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Seitz'!$C$52:$C$58</c:f>
              <c:numCache>
                <c:formatCode>0.000</c:formatCode>
                <c:ptCount val="7"/>
                <c:pt idx="0">
                  <c:v>1</c:v>
                </c:pt>
                <c:pt idx="1">
                  <c:v>0.79350285042077662</c:v>
                </c:pt>
                <c:pt idx="2">
                  <c:v>0.52383240438208722</c:v>
                </c:pt>
                <c:pt idx="3">
                  <c:v>0.58053082043745152</c:v>
                </c:pt>
                <c:pt idx="4">
                  <c:v>0.67061632328234178</c:v>
                </c:pt>
                <c:pt idx="5">
                  <c:v>0.56759311779164312</c:v>
                </c:pt>
                <c:pt idx="6">
                  <c:v>0.47478442644368957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E-4BDE-9688-181311797091}"/>
            </c:ext>
          </c:extLst>
        </c:ser>
        <c:ser>
          <c:idx val="3"/>
          <c:order val="2"/>
          <c:tx>
            <c:strRef>
              <c:f>'Ebbinghaus, Mack, Seitz'!$D$51</c:f>
              <c:strCache>
                <c:ptCount val="1"/>
                <c:pt idx="0">
                  <c:v>Seitz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Seitz'!$D$52:$D$58</c:f>
              <c:numCache>
                <c:formatCode>0.000</c:formatCode>
                <c:ptCount val="7"/>
                <c:pt idx="0">
                  <c:v>1</c:v>
                </c:pt>
                <c:pt idx="1">
                  <c:v>0.73495555282454628</c:v>
                </c:pt>
                <c:pt idx="2">
                  <c:v>0.61025062090765414</c:v>
                </c:pt>
                <c:pt idx="3">
                  <c:v>0.6108721478022201</c:v>
                </c:pt>
                <c:pt idx="4">
                  <c:v>0.64632454923717075</c:v>
                </c:pt>
                <c:pt idx="5">
                  <c:v>0.46428117183194129</c:v>
                </c:pt>
                <c:pt idx="6">
                  <c:v>0.45424416111046129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E-4BDE-9688-181311797091}"/>
            </c:ext>
          </c:extLst>
        </c:ser>
        <c:ser>
          <c:idx val="1"/>
          <c:order val="3"/>
          <c:tx>
            <c:strRef>
              <c:f>'Ebbinghaus, Mack, Seitz'!$E$51</c:f>
              <c:strCache>
                <c:ptCount val="1"/>
                <c:pt idx="0">
                  <c:v>Drost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Seitz'!$E$52:$E$58</c:f>
              <c:numCache>
                <c:formatCode>0.000</c:formatCode>
                <c:ptCount val="7"/>
                <c:pt idx="0">
                  <c:v>1</c:v>
                </c:pt>
                <c:pt idx="1">
                  <c:v>0.79060196452108256</c:v>
                </c:pt>
                <c:pt idx="2">
                  <c:v>0.58608904859318012</c:v>
                </c:pt>
                <c:pt idx="3">
                  <c:v>0.67160344583044385</c:v>
                </c:pt>
                <c:pt idx="4">
                  <c:v>0.48762999618595171</c:v>
                </c:pt>
                <c:pt idx="5">
                  <c:v>0.35660355077507444</c:v>
                </c:pt>
                <c:pt idx="6">
                  <c:v>8.6859914606872118E-2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E-4BDE-9688-181311797091}"/>
            </c:ext>
          </c:extLst>
        </c:ser>
        <c:ser>
          <c:idx val="4"/>
          <c:order val="4"/>
          <c:tx>
            <c:strRef>
              <c:f>'Ebbinghaus, Mack, Seitz'!$F$51</c:f>
              <c:strCache>
                <c:ptCount val="1"/>
                <c:pt idx="0">
                  <c:v>Average</c:v>
                </c:pt>
              </c:strCache>
            </c:strRef>
          </c:tx>
          <c:spPr>
            <a:ln w="3810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'Ebbinghaus, Mack, Seitz'!$A$52:$A$58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'Ebbinghaus, Mack, Seitz'!$F$52:$F$58</c:f>
              <c:numCache>
                <c:formatCode>0.000</c:formatCode>
                <c:ptCount val="7"/>
                <c:pt idx="0">
                  <c:v>1</c:v>
                </c:pt>
                <c:pt idx="1">
                  <c:v>0.76962763489692787</c:v>
                </c:pt>
                <c:pt idx="2">
                  <c:v>0.58382308719925269</c:v>
                </c:pt>
                <c:pt idx="3">
                  <c:v>0.6105110536893501</c:v>
                </c:pt>
                <c:pt idx="4">
                  <c:v>0.57055852473650348</c:v>
                </c:pt>
                <c:pt idx="5">
                  <c:v>0.45622598930928665</c:v>
                </c:pt>
                <c:pt idx="6">
                  <c:v>0.34460786437187085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E-4BDE-9688-1813117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984"/>
        <c:axId val="179595904"/>
      </c:scatterChart>
      <c:valAx>
        <c:axId val="1795939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Retention Interval (log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5904"/>
        <c:crosses val="autoZero"/>
        <c:crossBetween val="midCat"/>
      </c:valAx>
      <c:valAx>
        <c:axId val="1795959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n-US" sz="1800" b="1"/>
                  <a:t>Normalized Savings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593984"/>
        <c:crossesAt val="1.0000000000000005E-2"/>
        <c:crossBetween val="midCat"/>
        <c:majorUnit val="0.2"/>
      </c:valAx>
    </c:plotArea>
    <c:legend>
      <c:legendPos val="t"/>
      <c:overlay val="1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25131233595805"/>
                  <c:y val="-0.30403980752405957"/>
                </c:manualLayout>
              </c:layout>
              <c:numFmt formatCode="General" sourceLinked="0"/>
            </c:trendlineLbl>
          </c:trendline>
          <c:xVal>
            <c:numRef>
              <c:f>'Table - not used - Intervening'!$AO$57:$AO$75</c:f>
              <c:numCache>
                <c:formatCode>General</c:formatCode>
                <c:ptCount val="19"/>
                <c:pt idx="0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8">
                  <c:v>28</c:v>
                </c:pt>
                <c:pt idx="10">
                  <c:v>29</c:v>
                </c:pt>
                <c:pt idx="12">
                  <c:v>30</c:v>
                </c:pt>
                <c:pt idx="14">
                  <c:v>28</c:v>
                </c:pt>
                <c:pt idx="17">
                  <c:v>25</c:v>
                </c:pt>
                <c:pt idx="18">
                  <c:v>23</c:v>
                </c:pt>
              </c:numCache>
            </c:numRef>
          </c:xVal>
          <c:yVal>
            <c:numRef>
              <c:f>'Table - not used - Intervening'!$AP$57:$AP$75</c:f>
              <c:numCache>
                <c:formatCode>General</c:formatCode>
                <c:ptCount val="19"/>
                <c:pt idx="0">
                  <c:v>6.7567567567567571E-2</c:v>
                </c:pt>
                <c:pt idx="4">
                  <c:v>0.13690476190476192</c:v>
                </c:pt>
                <c:pt idx="5">
                  <c:v>0.13559322033898305</c:v>
                </c:pt>
                <c:pt idx="6">
                  <c:v>-4.8611111111111112E-2</c:v>
                </c:pt>
                <c:pt idx="8">
                  <c:v>-6.6666666666666666E-2</c:v>
                </c:pt>
                <c:pt idx="10">
                  <c:v>5.5555555555555552E-2</c:v>
                </c:pt>
                <c:pt idx="12">
                  <c:v>3.8567493112947659E-2</c:v>
                </c:pt>
                <c:pt idx="14">
                  <c:v>0.21204188481675393</c:v>
                </c:pt>
                <c:pt idx="17">
                  <c:v>0.15436241610738255</c:v>
                </c:pt>
                <c:pt idx="18">
                  <c:v>0.18421052631578946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6-41BB-BE0C-BC4435ECD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8928"/>
        <c:axId val="77558912"/>
      </c:scatterChart>
      <c:valAx>
        <c:axId val="775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58912"/>
        <c:crosses val="autoZero"/>
        <c:crossBetween val="midCat"/>
      </c:valAx>
      <c:valAx>
        <c:axId val="7755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54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273840769944"/>
          <c:y val="7.1377194214233983E-2"/>
          <c:w val="0.7008449256342976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'Data fits (Normalized)'!$B$51</c:f>
              <c:strCache>
                <c:ptCount val="1"/>
                <c:pt idx="0">
                  <c:v>Ebbinghaus</c:v>
                </c:pt>
              </c:strCache>
            </c:strRef>
          </c:tx>
          <c:val>
            <c:numRef>
              <c:f>'Data fits (Normalized)'!$B$52:$B$58</c:f>
              <c:numCache>
                <c:formatCode>0.0</c:formatCode>
                <c:ptCount val="7"/>
                <c:pt idx="0">
                  <c:v>100</c:v>
                </c:pt>
                <c:pt idx="1">
                  <c:v>71.33594323464645</c:v>
                </c:pt>
                <c:pt idx="2">
                  <c:v>44.937960798417535</c:v>
                </c:pt>
                <c:pt idx="3">
                  <c:v>59.203980099502481</c:v>
                </c:pt>
                <c:pt idx="4">
                  <c:v>48.439620081411121</c:v>
                </c:pt>
                <c:pt idx="5">
                  <c:v>44.06403099008773</c:v>
                </c:pt>
                <c:pt idx="6">
                  <c:v>36.628143330042406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5-469F-92AE-F80F2CF78D4F}"/>
            </c:ext>
          </c:extLst>
        </c:ser>
        <c:ser>
          <c:idx val="1"/>
          <c:order val="1"/>
          <c:tx>
            <c:strRef>
              <c:f>'Data fits (Normalized)'!$C$51</c:f>
              <c:strCache>
                <c:ptCount val="1"/>
                <c:pt idx="0">
                  <c:v>Mack</c:v>
                </c:pt>
              </c:strCache>
            </c:strRef>
          </c:tx>
          <c:val>
            <c:numRef>
              <c:f>'Data fits (Normalized)'!$C$52:$C$58</c:f>
              <c:numCache>
                <c:formatCode>0.0</c:formatCode>
                <c:ptCount val="7"/>
                <c:pt idx="0">
                  <c:v>100</c:v>
                </c:pt>
                <c:pt idx="1">
                  <c:v>79.350285042077658</c:v>
                </c:pt>
                <c:pt idx="2">
                  <c:v>52.383240438208723</c:v>
                </c:pt>
                <c:pt idx="3">
                  <c:v>58.05308204374515</c:v>
                </c:pt>
                <c:pt idx="4">
                  <c:v>67.061632328234168</c:v>
                </c:pt>
                <c:pt idx="5">
                  <c:v>56.759311779164314</c:v>
                </c:pt>
                <c:pt idx="6">
                  <c:v>47.478442644368954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5-469F-92AE-F80F2CF78D4F}"/>
            </c:ext>
          </c:extLst>
        </c:ser>
        <c:ser>
          <c:idx val="2"/>
          <c:order val="2"/>
          <c:tx>
            <c:strRef>
              <c:f>'Data fits (Normalized)'!$D$51</c:f>
              <c:strCache>
                <c:ptCount val="1"/>
                <c:pt idx="0">
                  <c:v>Seitz</c:v>
                </c:pt>
              </c:strCache>
            </c:strRef>
          </c:tx>
          <c:val>
            <c:numRef>
              <c:f>'Data fits (Normalized)'!$D$52:$D$58</c:f>
              <c:numCache>
                <c:formatCode>0.0</c:formatCode>
                <c:ptCount val="7"/>
                <c:pt idx="0">
                  <c:v>100.00000000000001</c:v>
                </c:pt>
                <c:pt idx="1">
                  <c:v>73.495555282454632</c:v>
                </c:pt>
                <c:pt idx="2">
                  <c:v>61.02506209076541</c:v>
                </c:pt>
                <c:pt idx="3">
                  <c:v>61.08721478022202</c:v>
                </c:pt>
                <c:pt idx="4">
                  <c:v>64.632454923717077</c:v>
                </c:pt>
                <c:pt idx="5">
                  <c:v>46.428117183194125</c:v>
                </c:pt>
                <c:pt idx="6">
                  <c:v>45.424416111046128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5-469F-92AE-F80F2CF78D4F}"/>
            </c:ext>
          </c:extLst>
        </c:ser>
        <c:ser>
          <c:idx val="3"/>
          <c:order val="3"/>
          <c:tx>
            <c:strRef>
              <c:f>'Data fits (Normalized)'!$E$51</c:f>
              <c:strCache>
                <c:ptCount val="1"/>
                <c:pt idx="0">
                  <c:v>Drost</c:v>
                </c:pt>
              </c:strCache>
            </c:strRef>
          </c:tx>
          <c:val>
            <c:numRef>
              <c:f>'Data fits (Normalized)'!$E$52:$E$58</c:f>
              <c:numCache>
                <c:formatCode>0.0</c:formatCode>
                <c:ptCount val="7"/>
                <c:pt idx="0">
                  <c:v>100</c:v>
                </c:pt>
                <c:pt idx="1">
                  <c:v>79.060196452108258</c:v>
                </c:pt>
                <c:pt idx="2">
                  <c:v>58.608904859318017</c:v>
                </c:pt>
                <c:pt idx="3">
                  <c:v>67.160344583044377</c:v>
                </c:pt>
                <c:pt idx="4">
                  <c:v>48.762999618595174</c:v>
                </c:pt>
                <c:pt idx="5">
                  <c:v>35.66035507750744</c:v>
                </c:pt>
                <c:pt idx="6">
                  <c:v>8.6859914606872124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5-469F-92AE-F80F2CF7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232"/>
        <c:axId val="179664768"/>
      </c:lineChart>
      <c:catAx>
        <c:axId val="1796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664768"/>
        <c:crosses val="autoZero"/>
        <c:auto val="1"/>
        <c:lblAlgn val="ctr"/>
        <c:lblOffset val="100"/>
        <c:noMultiLvlLbl val="0"/>
      </c:catAx>
      <c:valAx>
        <c:axId val="179664768"/>
        <c:scaling>
          <c:orientation val="minMax"/>
          <c:max val="100"/>
        </c:scaling>
        <c:delete val="0"/>
        <c:axPos val="l"/>
        <c:numFmt formatCode="0" sourceLinked="0"/>
        <c:majorTickMark val="out"/>
        <c:minorTickMark val="none"/>
        <c:tickLblPos val="nextTo"/>
        <c:crossAx val="17966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1305763879357"/>
          <c:y val="0.33152209574346858"/>
          <c:w val="0.20285282287416129"/>
          <c:h val="0.323369921830425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89319875283997E-2"/>
          <c:y val="1.8619434584406926E-2"/>
          <c:w val="0.7369070578506457"/>
          <c:h val="0.88968978420031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fits (Normalized)'!$B$51</c:f>
              <c:strCache>
                <c:ptCount val="1"/>
                <c:pt idx="0">
                  <c:v>Ebbinghaus</c:v>
                </c:pt>
              </c:strCache>
            </c:strRef>
          </c:tx>
          <c:marker>
            <c:symbol val="none"/>
          </c:marker>
          <c:trendline>
            <c:trendlineType val="power"/>
            <c:dispRSqr val="1"/>
            <c:dispEq val="0"/>
            <c:trendlineLbl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fits (Normalized)'!$A$52:$A$58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(Normalized)'!$B$52:$B$58</c:f>
              <c:numCache>
                <c:formatCode>0.0</c:formatCode>
                <c:ptCount val="7"/>
                <c:pt idx="0">
                  <c:v>100</c:v>
                </c:pt>
                <c:pt idx="1">
                  <c:v>71.33594323464645</c:v>
                </c:pt>
                <c:pt idx="2">
                  <c:v>44.937960798417535</c:v>
                </c:pt>
                <c:pt idx="3">
                  <c:v>59.203980099502481</c:v>
                </c:pt>
                <c:pt idx="4">
                  <c:v>48.439620081411121</c:v>
                </c:pt>
                <c:pt idx="5">
                  <c:v>44.06403099008773</c:v>
                </c:pt>
                <c:pt idx="6">
                  <c:v>36.628143330042406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4-403B-9E5A-14093B3DBC3E}"/>
            </c:ext>
          </c:extLst>
        </c:ser>
        <c:ser>
          <c:idx val="1"/>
          <c:order val="1"/>
          <c:tx>
            <c:strRef>
              <c:f>'Data fits (Normalized)'!$E$51</c:f>
              <c:strCache>
                <c:ptCount val="1"/>
                <c:pt idx="0">
                  <c:v>Drost</c:v>
                </c:pt>
              </c:strCache>
            </c:strRef>
          </c:tx>
          <c:marker>
            <c:symbol val="none"/>
          </c:marker>
          <c:xVal>
            <c:numRef>
              <c:f>'Data fits (Normalized)'!$A$52:$A$58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(Normalized)'!$E$52:$E$58</c:f>
              <c:numCache>
                <c:formatCode>0.0</c:formatCode>
                <c:ptCount val="7"/>
                <c:pt idx="0">
                  <c:v>100</c:v>
                </c:pt>
                <c:pt idx="1">
                  <c:v>79.060196452108258</c:v>
                </c:pt>
                <c:pt idx="2">
                  <c:v>58.608904859318017</c:v>
                </c:pt>
                <c:pt idx="3">
                  <c:v>67.160344583044377</c:v>
                </c:pt>
                <c:pt idx="4">
                  <c:v>48.762999618595174</c:v>
                </c:pt>
                <c:pt idx="5">
                  <c:v>35.66035507750744</c:v>
                </c:pt>
                <c:pt idx="6">
                  <c:v>8.6859914606872124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4-403B-9E5A-14093B3DBC3E}"/>
            </c:ext>
          </c:extLst>
        </c:ser>
        <c:ser>
          <c:idx val="2"/>
          <c:order val="2"/>
          <c:tx>
            <c:strRef>
              <c:f>'Data fits (Normalized)'!$C$51</c:f>
              <c:strCache>
                <c:ptCount val="1"/>
                <c:pt idx="0">
                  <c:v>Mack</c:v>
                </c:pt>
              </c:strCache>
            </c:strRef>
          </c:tx>
          <c:marker>
            <c:symbol val="none"/>
          </c:marker>
          <c:xVal>
            <c:numRef>
              <c:f>'Data fits (Normalized)'!$A$52:$A$58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(Normalized)'!$C$52:$C$58</c:f>
              <c:numCache>
                <c:formatCode>0.0</c:formatCode>
                <c:ptCount val="7"/>
                <c:pt idx="0">
                  <c:v>100</c:v>
                </c:pt>
                <c:pt idx="1">
                  <c:v>79.350285042077658</c:v>
                </c:pt>
                <c:pt idx="2">
                  <c:v>52.383240438208723</c:v>
                </c:pt>
                <c:pt idx="3">
                  <c:v>58.05308204374515</c:v>
                </c:pt>
                <c:pt idx="4">
                  <c:v>67.061632328234168</c:v>
                </c:pt>
                <c:pt idx="5">
                  <c:v>56.759311779164314</c:v>
                </c:pt>
                <c:pt idx="6">
                  <c:v>47.478442644368954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44-403B-9E5A-14093B3DBC3E}"/>
            </c:ext>
          </c:extLst>
        </c:ser>
        <c:ser>
          <c:idx val="3"/>
          <c:order val="3"/>
          <c:tx>
            <c:strRef>
              <c:f>'Data fits (Normalized)'!$D$51</c:f>
              <c:strCache>
                <c:ptCount val="1"/>
                <c:pt idx="0">
                  <c:v>Seitz</c:v>
                </c:pt>
              </c:strCache>
            </c:strRef>
          </c:tx>
          <c:marker>
            <c:symbol val="none"/>
          </c:marker>
          <c:xVal>
            <c:numRef>
              <c:f>'Data fits (Normalized)'!$A$52:$A$58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(Normalized)'!$D$52:$D$58</c:f>
              <c:numCache>
                <c:formatCode>0.0</c:formatCode>
                <c:ptCount val="7"/>
                <c:pt idx="0">
                  <c:v>100.00000000000001</c:v>
                </c:pt>
                <c:pt idx="1">
                  <c:v>73.495555282454632</c:v>
                </c:pt>
                <c:pt idx="2">
                  <c:v>61.02506209076541</c:v>
                </c:pt>
                <c:pt idx="3">
                  <c:v>61.08721478022202</c:v>
                </c:pt>
                <c:pt idx="4">
                  <c:v>64.632454923717077</c:v>
                </c:pt>
                <c:pt idx="5">
                  <c:v>46.428117183194125</c:v>
                </c:pt>
                <c:pt idx="6">
                  <c:v>45.424416111046128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44-403B-9E5A-14093B3D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09440"/>
        <c:axId val="179710976"/>
      </c:scatterChart>
      <c:valAx>
        <c:axId val="179709440"/>
        <c:scaling>
          <c:logBase val="10"/>
          <c:orientation val="minMax"/>
          <c:min val="12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10976"/>
        <c:crosses val="autoZero"/>
        <c:crossBetween val="midCat"/>
      </c:valAx>
      <c:valAx>
        <c:axId val="179710976"/>
        <c:scaling>
          <c:logBase val="10"/>
          <c:orientation val="minMax"/>
          <c:min val="8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09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53181795671935"/>
          <c:y val="0.20849522188104927"/>
          <c:w val="0.29674189525623185"/>
          <c:h val="0.5521260855906524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fits (Normalized)'!$H$15:$H$21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(Normalized)'!$I$15:$I$21</c:f>
              <c:numCache>
                <c:formatCode>General</c:formatCode>
                <c:ptCount val="7"/>
                <c:pt idx="0">
                  <c:v>1</c:v>
                </c:pt>
                <c:pt idx="1">
                  <c:v>0.71335943234646437</c:v>
                </c:pt>
                <c:pt idx="2">
                  <c:v>0.44937960798417537</c:v>
                </c:pt>
                <c:pt idx="3">
                  <c:v>0.59203980099502473</c:v>
                </c:pt>
                <c:pt idx="4">
                  <c:v>0.48439620081411122</c:v>
                </c:pt>
                <c:pt idx="5">
                  <c:v>0.44064030990087727</c:v>
                </c:pt>
                <c:pt idx="6">
                  <c:v>0.36628143330042401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B-48CD-BCF1-8D1D848B04B1}"/>
            </c:ext>
          </c:extLst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'Data fits (Normalized)'!$H$15:$H$21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(Normalized)'!$AQ$15:$AQ$21</c:f>
              <c:numCache>
                <c:formatCode>General</c:formatCode>
                <c:ptCount val="7"/>
                <c:pt idx="0">
                  <c:v>1.0000056663782835</c:v>
                </c:pt>
                <c:pt idx="1">
                  <c:v>0.71334751423512255</c:v>
                </c:pt>
                <c:pt idx="2">
                  <c:v>0.50302970373514411</c:v>
                </c:pt>
                <c:pt idx="3">
                  <c:v>0.49967047071463833</c:v>
                </c:pt>
                <c:pt idx="4">
                  <c:v>0.49435252994654727</c:v>
                </c:pt>
                <c:pt idx="5">
                  <c:v>0.47364075805996253</c:v>
                </c:pt>
                <c:pt idx="6">
                  <c:v>0.3624732675456237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B-48CD-BCF1-8D1D848B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4400"/>
        <c:axId val="179735936"/>
      </c:scatterChart>
      <c:valAx>
        <c:axId val="179734400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79735936"/>
        <c:crosses val="autoZero"/>
        <c:crossBetween val="midCat"/>
      </c:valAx>
      <c:valAx>
        <c:axId val="17973593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3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fits Heller Ebbingh. Data'!$H$15:$H$21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Heller Ebbingh. Data'!$I$15:$I$21</c:f>
              <c:numCache>
                <c:formatCode>General</c:formatCode>
                <c:ptCount val="7"/>
                <c:pt idx="0">
                  <c:v>0.56302521008403361</c:v>
                </c:pt>
                <c:pt idx="1">
                  <c:v>0.40163934426229508</c:v>
                </c:pt>
                <c:pt idx="2">
                  <c:v>0.25301204819277101</c:v>
                </c:pt>
                <c:pt idx="3">
                  <c:v>0.33333333333333326</c:v>
                </c:pt>
                <c:pt idx="4">
                  <c:v>0.27272727272727271</c:v>
                </c:pt>
                <c:pt idx="5">
                  <c:v>0.24809160305343511</c:v>
                </c:pt>
                <c:pt idx="6">
                  <c:v>0.20622568093385218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D-4B75-B166-AC4186D0865D}"/>
            </c:ext>
          </c:extLst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'Data fits Heller Ebbingh. Data'!$H$15:$H$21</c:f>
              <c:numCache>
                <c:formatCode>General</c:formatCode>
                <c:ptCount val="7"/>
                <c:pt idx="0">
                  <c:v>1200</c:v>
                </c:pt>
                <c:pt idx="1">
                  <c:v>3600</c:v>
                </c:pt>
                <c:pt idx="2">
                  <c:v>32400</c:v>
                </c:pt>
                <c:pt idx="3">
                  <c:v>86400</c:v>
                </c:pt>
                <c:pt idx="4">
                  <c:v>172800</c:v>
                </c:pt>
                <c:pt idx="5">
                  <c:v>518400</c:v>
                </c:pt>
                <c:pt idx="6">
                  <c:v>2678400</c:v>
                </c:pt>
              </c:numCache>
            </c:numRef>
          </c:xVal>
          <c:yVal>
            <c:numRef>
              <c:f>'Data fits Heller Ebbingh. Data'!$T$15:$T$21</c:f>
              <c:numCache>
                <c:formatCode>General</c:formatCode>
                <c:ptCount val="7"/>
                <c:pt idx="0">
                  <c:v>0.54620934236619167</c:v>
                </c:pt>
                <c:pt idx="1">
                  <c:v>0.47560000000000002</c:v>
                </c:pt>
                <c:pt idx="2">
                  <c:v>0.36058469548826316</c:v>
                </c:pt>
                <c:pt idx="3">
                  <c:v>0.31866563349030036</c:v>
                </c:pt>
                <c:pt idx="4">
                  <c:v>0.29201519466611875</c:v>
                </c:pt>
                <c:pt idx="5">
                  <c:v>0.25426593031449107</c:v>
                </c:pt>
                <c:pt idx="6">
                  <c:v>0.2067395925752617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D-4B75-B166-AC4186D0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6112"/>
        <c:axId val="179787648"/>
      </c:scatterChart>
      <c:valAx>
        <c:axId val="179786112"/>
        <c:scaling>
          <c:logBase val="10"/>
          <c:orientation val="minMax"/>
          <c:min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79787648"/>
        <c:crosses val="autoZero"/>
        <c:crossBetween val="midCat"/>
      </c:valAx>
      <c:valAx>
        <c:axId val="1797876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8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fits Heller Ebbingh. Data'!$I$14</c:f>
              <c:strCache>
                <c:ptCount val="1"/>
                <c:pt idx="0">
                  <c:v>Ebbinghaus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Heller Ebbingh. Data'!$H$24:$H$30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Heller Ebbingh. Data'!$I$15:$I$21</c:f>
              <c:numCache>
                <c:formatCode>General</c:formatCode>
                <c:ptCount val="7"/>
                <c:pt idx="0">
                  <c:v>0.56302521008403361</c:v>
                </c:pt>
                <c:pt idx="1">
                  <c:v>0.40163934426229508</c:v>
                </c:pt>
                <c:pt idx="2">
                  <c:v>0.25301204819277101</c:v>
                </c:pt>
                <c:pt idx="3">
                  <c:v>0.33333333333333326</c:v>
                </c:pt>
                <c:pt idx="4">
                  <c:v>0.27272727272727271</c:v>
                </c:pt>
                <c:pt idx="5">
                  <c:v>0.24809160305343511</c:v>
                </c:pt>
                <c:pt idx="6">
                  <c:v>0.20622568093385218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7-45F0-AA59-11CBA5C87087}"/>
            </c:ext>
          </c:extLst>
        </c:ser>
        <c:ser>
          <c:idx val="2"/>
          <c:order val="1"/>
          <c:tx>
            <c:strRef>
              <c:f>'Data fits Heller Ebbingh. Data'!$J$14</c:f>
              <c:strCache>
                <c:ptCount val="1"/>
                <c:pt idx="0">
                  <c:v>Mack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Heller Ebbingh. Data'!$J$24:$J$30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plus>
            <c:minus>
              <c:numRef>
                <c:f>'Data fits Heller Ebbingh. Data'!$J$24:$J$30</c:f>
                <c:numCache>
                  <c:formatCode>General</c:formatCode>
                  <c:ptCount val="7"/>
                  <c:pt idx="0">
                    <c:v>2.134870994206501E-2</c:v>
                  </c:pt>
                  <c:pt idx="1">
                    <c:v>1.9687331736456839E-2</c:v>
                  </c:pt>
                  <c:pt idx="2">
                    <c:v>2.352107350538464E-2</c:v>
                  </c:pt>
                  <c:pt idx="3">
                    <c:v>3.0564765488616304E-2</c:v>
                  </c:pt>
                  <c:pt idx="4">
                    <c:v>2.2845351917566235E-2</c:v>
                  </c:pt>
                  <c:pt idx="5">
                    <c:v>1.7996702131039554E-2</c:v>
                  </c:pt>
                  <c:pt idx="6">
                    <c:v>2.7240594076356824E-2</c:v>
                  </c:pt>
                </c:numCache>
              </c:numRef>
            </c:minus>
          </c:errBars>
          <c:xVal>
            <c:numRef>
              <c:f>'Data fits Heller Ebbingh. Data'!$H$24:$H$30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Heller Ebbingh. Data'!$J$15:$J$21</c:f>
              <c:numCache>
                <c:formatCode>General</c:formatCode>
                <c:ptCount val="7"/>
                <c:pt idx="0">
                  <c:v>0.54430379746835433</c:v>
                </c:pt>
                <c:pt idx="1">
                  <c:v>0.43190661478599224</c:v>
                </c:pt>
                <c:pt idx="2">
                  <c:v>0.2851239669421487</c:v>
                </c:pt>
                <c:pt idx="3">
                  <c:v>0.31598513011152418</c:v>
                </c:pt>
                <c:pt idx="4">
                  <c:v>0.36501901140684417</c:v>
                </c:pt>
                <c:pt idx="5">
                  <c:v>0.30894308943089432</c:v>
                </c:pt>
                <c:pt idx="6">
                  <c:v>0.2584269662921348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7-45F0-AA59-11CBA5C87087}"/>
            </c:ext>
          </c:extLst>
        </c:ser>
        <c:ser>
          <c:idx val="3"/>
          <c:order val="2"/>
          <c:tx>
            <c:strRef>
              <c:f>'Data fits Heller Ebbingh. Data'!$K$14</c:f>
              <c:strCache>
                <c:ptCount val="1"/>
                <c:pt idx="0">
                  <c:v>Seitz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fits Heller Ebbingh. Data'!$K$24:$K$30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plus>
            <c:minus>
              <c:numRef>
                <c:f>'Data fits Heller Ebbingh. Data'!$K$24:$K$30</c:f>
                <c:numCache>
                  <c:formatCode>General</c:formatCode>
                  <c:ptCount val="7"/>
                  <c:pt idx="0">
                    <c:v>2.3072412112816496E-2</c:v>
                  </c:pt>
                  <c:pt idx="1">
                    <c:v>3.7360242398613762E-2</c:v>
                  </c:pt>
                  <c:pt idx="2">
                    <c:v>2.941653637365934E-2</c:v>
                  </c:pt>
                  <c:pt idx="3">
                    <c:v>2.9354476170339386E-2</c:v>
                  </c:pt>
                  <c:pt idx="4">
                    <c:v>2.9231138035169892E-2</c:v>
                  </c:pt>
                  <c:pt idx="5">
                    <c:v>4.1427218255480951E-2</c:v>
                  </c:pt>
                  <c:pt idx="6">
                    <c:v>4.5719677014482596E-2</c:v>
                  </c:pt>
                </c:numCache>
              </c:numRef>
            </c:minus>
          </c:errBars>
          <c:xVal>
            <c:numRef>
              <c:f>'Data fits Heller Ebbingh. Data'!$H$24:$H$30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Heller Ebbingh. Data'!$K$15:$K$21</c:f>
              <c:numCache>
                <c:formatCode>General</c:formatCode>
                <c:ptCount val="7"/>
                <c:pt idx="0">
                  <c:v>0.44206008583690987</c:v>
                </c:pt>
                <c:pt idx="1">
                  <c:v>0.32489451476793252</c:v>
                </c:pt>
                <c:pt idx="2">
                  <c:v>0.26976744186046514</c:v>
                </c:pt>
                <c:pt idx="3">
                  <c:v>0.27004219409282693</c:v>
                </c:pt>
                <c:pt idx="4">
                  <c:v>0.28571428571428575</c:v>
                </c:pt>
                <c:pt idx="5">
                  <c:v>0.20524017467248906</c:v>
                </c:pt>
                <c:pt idx="6">
                  <c:v>0.20080321285140562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7-45F0-AA59-11CBA5C87087}"/>
            </c:ext>
          </c:extLst>
        </c:ser>
        <c:ser>
          <c:idx val="1"/>
          <c:order val="3"/>
          <c:tx>
            <c:strRef>
              <c:f>'Data fits Heller Ebbingh. Data'!$L$14</c:f>
              <c:strCache>
                <c:ptCount val="1"/>
                <c:pt idx="0">
                  <c:v>Drost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</a:ln>
            </c:spPr>
          </c:marker>
          <c:errBars>
            <c:errDir val="y"/>
            <c:errBarType val="both"/>
            <c:errValType val="stdErr"/>
            <c:noEndCap val="0"/>
          </c:errBars>
          <c:xVal>
            <c:numRef>
              <c:f>'Data fits Heller Ebbingh. Data'!$H$24:$H$30</c:f>
              <c:numCache>
                <c:formatCode>General</c:formatCode>
                <c:ptCount val="7"/>
                <c:pt idx="0">
                  <c:v>1.3888888888888888E-2</c:v>
                </c:pt>
                <c:pt idx="1">
                  <c:v>4.1666666666666664E-2</c:v>
                </c:pt>
                <c:pt idx="2">
                  <c:v>0.375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31</c:v>
                </c:pt>
              </c:numCache>
            </c:numRef>
          </c:xVal>
          <c:yVal>
            <c:numRef>
              <c:f>'Data fits Heller Ebbingh. Data'!$L$15:$L$21</c:f>
              <c:numCache>
                <c:formatCode>General</c:formatCode>
                <c:ptCount val="7"/>
                <c:pt idx="0">
                  <c:v>0.47167729999999997</c:v>
                </c:pt>
                <c:pt idx="1">
                  <c:v>0.37290899999999999</c:v>
                </c:pt>
                <c:pt idx="2">
                  <c:v>0.27644489999999999</c:v>
                </c:pt>
                <c:pt idx="3">
                  <c:v>0.31678010000000001</c:v>
                </c:pt>
                <c:pt idx="4">
                  <c:v>0.23000399999999999</c:v>
                </c:pt>
                <c:pt idx="5">
                  <c:v>0.16820180000000001</c:v>
                </c:pt>
                <c:pt idx="6">
                  <c:v>4.0969850000000002E-2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7-45F0-AA59-11CBA5C8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3840"/>
        <c:axId val="179845760"/>
      </c:scatterChart>
      <c:valAx>
        <c:axId val="17984384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Inverval 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5760"/>
        <c:crosses val="autoZero"/>
        <c:crossBetween val="midCat"/>
      </c:valAx>
      <c:valAx>
        <c:axId val="179845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3840"/>
        <c:crossesAt val="1.0000000000000005E-2"/>
        <c:crossBetween val="midCat"/>
      </c:valAx>
    </c:plotArea>
    <c:legend>
      <c:legendPos val="tr"/>
      <c:overlay val="1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8283027121609802E-2"/>
                  <c:y val="0.61526611256926222"/>
                </c:manualLayout>
              </c:layout>
              <c:numFmt formatCode="General" sourceLinked="0"/>
            </c:trendlineLbl>
          </c:trendline>
          <c:xVal>
            <c:numRef>
              <c:f>'Schema Time'!$AD$20:$AD$29</c:f>
              <c:numCache>
                <c:formatCode>General</c:formatCode>
                <c:ptCount val="10"/>
                <c:pt idx="0">
                  <c:v>7</c:v>
                </c:pt>
                <c:pt idx="1">
                  <c:v>21</c:v>
                </c:pt>
                <c:pt idx="2">
                  <c:v>32</c:v>
                </c:pt>
                <c:pt idx="3">
                  <c:v>39</c:v>
                </c:pt>
                <c:pt idx="4">
                  <c:v>44</c:v>
                </c:pt>
                <c:pt idx="5">
                  <c:v>53</c:v>
                </c:pt>
                <c:pt idx="6">
                  <c:v>60</c:v>
                </c:pt>
                <c:pt idx="7">
                  <c:v>64</c:v>
                </c:pt>
                <c:pt idx="8">
                  <c:v>66</c:v>
                </c:pt>
                <c:pt idx="9">
                  <c:v>71</c:v>
                </c:pt>
              </c:numCache>
            </c:numRef>
          </c:xVal>
          <c:yVal>
            <c:numRef>
              <c:f>'Schema Time'!$AE$20:$AE$29</c:f>
              <c:numCache>
                <c:formatCode>General</c:formatCode>
                <c:ptCount val="10"/>
                <c:pt idx="0">
                  <c:v>1653.5714285714287</c:v>
                </c:pt>
                <c:pt idx="1">
                  <c:v>1769.6428571428571</c:v>
                </c:pt>
                <c:pt idx="2">
                  <c:v>1915</c:v>
                </c:pt>
                <c:pt idx="3">
                  <c:v>1791.4285714285713</c:v>
                </c:pt>
                <c:pt idx="4">
                  <c:v>1737</c:v>
                </c:pt>
                <c:pt idx="5">
                  <c:v>1847.7777777777778</c:v>
                </c:pt>
                <c:pt idx="6">
                  <c:v>1898.5714285714287</c:v>
                </c:pt>
                <c:pt idx="7">
                  <c:v>1856.25</c:v>
                </c:pt>
                <c:pt idx="8">
                  <c:v>1870</c:v>
                </c:pt>
                <c:pt idx="9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B-4908-A2F6-CDF50AA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040"/>
        <c:axId val="180152576"/>
      </c:scatterChart>
      <c:valAx>
        <c:axId val="1801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52576"/>
        <c:crosses val="autoZero"/>
        <c:crossBetween val="midCat"/>
      </c:valAx>
      <c:valAx>
        <c:axId val="18015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15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8283027121609802E-2"/>
                  <c:y val="0.61526611256926222"/>
                </c:manualLayout>
              </c:layout>
              <c:numFmt formatCode="General" sourceLinked="0"/>
            </c:trendlineLbl>
          </c:trendline>
          <c:xVal>
            <c:numRef>
              <c:f>'Schema Time'!$AC$20:$AC$29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'Schema Time'!$AE$20:$AE$29</c:f>
              <c:numCache>
                <c:formatCode>General</c:formatCode>
                <c:ptCount val="10"/>
                <c:pt idx="0">
                  <c:v>1653.5714285714287</c:v>
                </c:pt>
                <c:pt idx="1">
                  <c:v>1769.6428571428571</c:v>
                </c:pt>
                <c:pt idx="2">
                  <c:v>1915</c:v>
                </c:pt>
                <c:pt idx="3">
                  <c:v>1791.4285714285713</c:v>
                </c:pt>
                <c:pt idx="4">
                  <c:v>1737</c:v>
                </c:pt>
                <c:pt idx="5">
                  <c:v>1847.7777777777778</c:v>
                </c:pt>
                <c:pt idx="6">
                  <c:v>1898.5714285714287</c:v>
                </c:pt>
                <c:pt idx="7">
                  <c:v>1856.25</c:v>
                </c:pt>
                <c:pt idx="8">
                  <c:v>1870</c:v>
                </c:pt>
                <c:pt idx="9">
                  <c:v>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5-41D1-A750-36D19EC2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8736"/>
        <c:axId val="179990528"/>
      </c:scatterChart>
      <c:valAx>
        <c:axId val="179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90528"/>
        <c:crosses val="autoZero"/>
        <c:crossBetween val="midCat"/>
      </c:valAx>
      <c:valAx>
        <c:axId val="17999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98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128175282437572"/>
                  <c:y val="0.36074074074074081"/>
                </c:manualLayout>
              </c:layout>
              <c:numFmt formatCode="General" sourceLinked="0"/>
            </c:trendlineLbl>
          </c:trendline>
          <c:xVal>
            <c:numRef>
              <c:f>'Schema Time'!$AD$38:$AD$47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  <c:pt idx="5">
                  <c:v>41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59</c:v>
                </c:pt>
              </c:numCache>
            </c:numRef>
          </c:xVal>
          <c:yVal>
            <c:numRef>
              <c:f>('Schema Time'!$AE$38:$AE$47,'Schema Time'!$Z$62)</c:f>
              <c:numCache>
                <c:formatCode>General</c:formatCode>
                <c:ptCount val="11"/>
                <c:pt idx="0">
                  <c:v>1682.5</c:v>
                </c:pt>
                <c:pt idx="1">
                  <c:v>1816.1111111111111</c:v>
                </c:pt>
                <c:pt idx="2">
                  <c:v>1994.2857142857142</c:v>
                </c:pt>
                <c:pt idx="3">
                  <c:v>1868</c:v>
                </c:pt>
                <c:pt idx="4">
                  <c:v>1737</c:v>
                </c:pt>
                <c:pt idx="5">
                  <c:v>1847.7777777777778</c:v>
                </c:pt>
                <c:pt idx="6">
                  <c:v>1898.5714285714287</c:v>
                </c:pt>
                <c:pt idx="7">
                  <c:v>1856.25</c:v>
                </c:pt>
                <c:pt idx="8">
                  <c:v>1870</c:v>
                </c:pt>
                <c:pt idx="9">
                  <c:v>1925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4B-4CCC-895F-5F4D619FB372}"/>
            </c:ext>
          </c:extLst>
        </c:ser>
        <c:ser>
          <c:idx val="1"/>
          <c:order val="1"/>
          <c:tx>
            <c:strRef>
              <c:f>'Schema Time'!$Y$62</c:f>
              <c:strCache>
                <c:ptCount val="1"/>
                <c:pt idx="0">
                  <c:v>31 Day Lists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'Schema Time'!$Z$62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'Schema Time'!$AA$62</c:f>
              <c:numCache>
                <c:formatCode>General</c:formatCode>
                <c:ptCount val="1"/>
                <c:pt idx="0">
                  <c:v>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B-4CCC-895F-5F4D619F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20"/>
        <c:axId val="180054656"/>
      </c:scatterChart>
      <c:valAx>
        <c:axId val="1800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54656"/>
        <c:crosses val="autoZero"/>
        <c:crossBetween val="midCat"/>
      </c:valAx>
      <c:valAx>
        <c:axId val="18005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05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237801825852"/>
          <c:y val="1.8377852022228566E-2"/>
          <c:w val="0.83391426071741037"/>
          <c:h val="0.8971194961991312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Results!$C$46:$I$46</c:f>
                <c:numCache>
                  <c:formatCode>General</c:formatCode>
                  <c:ptCount val="7"/>
                  <c:pt idx="0">
                    <c:v>1.4857651330388992E-2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plus>
            <c:minus>
              <c:numRef>
                <c:f>Results!$C$46:$I$46</c:f>
                <c:numCache>
                  <c:formatCode>General</c:formatCode>
                  <c:ptCount val="7"/>
                  <c:pt idx="0">
                    <c:v>1.4857651330388992E-2</c:v>
                  </c:pt>
                  <c:pt idx="1">
                    <c:v>1.4966561096825315E-2</c:v>
                  </c:pt>
                  <c:pt idx="2">
                    <c:v>1.8164261923614457E-2</c:v>
                  </c:pt>
                  <c:pt idx="3">
                    <c:v>1.8940863010474297E-2</c:v>
                  </c:pt>
                  <c:pt idx="4">
                    <c:v>1.5583721649750108E-2</c:v>
                  </c:pt>
                  <c:pt idx="5">
                    <c:v>2.8937431318601426E-2</c:v>
                  </c:pt>
                  <c:pt idx="6">
                    <c:v>4.1037183868082971E-2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Results!$C$39:$I$39</c:f>
              <c:strCache>
                <c:ptCount val="7"/>
                <c:pt idx="0">
                  <c:v>20min</c:v>
                </c:pt>
                <c:pt idx="1">
                  <c:v>1hour</c:v>
                </c:pt>
                <c:pt idx="2">
                  <c:v>9hours</c:v>
                </c:pt>
                <c:pt idx="3">
                  <c:v>1day</c:v>
                </c:pt>
                <c:pt idx="4">
                  <c:v>2days</c:v>
                </c:pt>
                <c:pt idx="5">
                  <c:v>6days</c:v>
                </c:pt>
                <c:pt idx="6">
                  <c:v>31days</c:v>
                </c:pt>
              </c:strCache>
            </c:strRef>
          </c:cat>
          <c:val>
            <c:numRef>
              <c:f>Results!$C$40:$I$40</c:f>
              <c:numCache>
                <c:formatCode>0.00%</c:formatCode>
                <c:ptCount val="7"/>
                <c:pt idx="0">
                  <c:v>0.47256416265343404</c:v>
                </c:pt>
                <c:pt idx="1">
                  <c:v>0.37158012454061468</c:v>
                </c:pt>
                <c:pt idx="2">
                  <c:v>0.27748561949653144</c:v>
                </c:pt>
                <c:pt idx="3">
                  <c:v>0.31596156004582826</c:v>
                </c:pt>
                <c:pt idx="4">
                  <c:v>0.22973439788125352</c:v>
                </c:pt>
                <c:pt idx="5">
                  <c:v>0.16585899233528861</c:v>
                </c:pt>
                <c:pt idx="6">
                  <c:v>3.5721361825226033E-2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5-4E4B-A0AF-F8F0C7F9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2192"/>
        <c:axId val="178090368"/>
      </c:lineChart>
      <c:catAx>
        <c:axId val="178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90368"/>
        <c:crosses val="autoZero"/>
        <c:auto val="1"/>
        <c:lblAlgn val="ctr"/>
        <c:lblOffset val="100"/>
        <c:noMultiLvlLbl val="0"/>
      </c:catAx>
      <c:valAx>
        <c:axId val="17809036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7807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Results!$T$19</c:f>
              <c:strCache>
                <c:ptCount val="1"/>
                <c:pt idx="0">
                  <c:v>20min1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Results!$S$20:$S$29</c:f>
              <c:numCache>
                <c:formatCode>d\-mmm</c:formatCode>
                <c:ptCount val="10"/>
                <c:pt idx="0">
                  <c:v>40879</c:v>
                </c:pt>
                <c:pt idx="1">
                  <c:v>40884</c:v>
                </c:pt>
                <c:pt idx="2">
                  <c:v>40891</c:v>
                </c:pt>
                <c:pt idx="3">
                  <c:v>40892</c:v>
                </c:pt>
                <c:pt idx="4">
                  <c:v>40905</c:v>
                </c:pt>
                <c:pt idx="5">
                  <c:v>40915</c:v>
                </c:pt>
                <c:pt idx="6">
                  <c:v>40926</c:v>
                </c:pt>
                <c:pt idx="7">
                  <c:v>40933</c:v>
                </c:pt>
                <c:pt idx="8">
                  <c:v>40938</c:v>
                </c:pt>
                <c:pt idx="9">
                  <c:v>40951</c:v>
                </c:pt>
              </c:numCache>
            </c:numRef>
          </c:xVal>
          <c:yVal>
            <c:numRef>
              <c:f>Results!$AG$20:$AG$29</c:f>
              <c:numCache>
                <c:formatCode>General</c:formatCode>
                <c:ptCount val="10"/>
                <c:pt idx="0">
                  <c:v>1380</c:v>
                </c:pt>
                <c:pt idx="1">
                  <c:v>1450</c:v>
                </c:pt>
                <c:pt idx="2">
                  <c:v>1530</c:v>
                </c:pt>
                <c:pt idx="3">
                  <c:v>1510</c:v>
                </c:pt>
                <c:pt idx="4">
                  <c:v>1760</c:v>
                </c:pt>
                <c:pt idx="5">
                  <c:v>1785</c:v>
                </c:pt>
                <c:pt idx="6">
                  <c:v>1745</c:v>
                </c:pt>
                <c:pt idx="7">
                  <c:v>1505</c:v>
                </c:pt>
                <c:pt idx="8">
                  <c:v>1260</c:v>
                </c:pt>
                <c:pt idx="9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96A-8306-5D0CC2851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7632"/>
        <c:axId val="178119424"/>
      </c:scatterChart>
      <c:valAx>
        <c:axId val="17811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78119424"/>
        <c:crosses val="autoZero"/>
        <c:crossBetween val="midCat"/>
      </c:valAx>
      <c:valAx>
        <c:axId val="1781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1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045531496062992"/>
                  <c:y val="-4.7462817147856669E-4"/>
                </c:manualLayout>
              </c:layout>
              <c:numFmt formatCode="General" sourceLinked="0"/>
            </c:trendlineLbl>
          </c:trendline>
          <c:yVal>
            <c:numRef>
              <c:f>'Schema Table'!$AK$22:$AK$96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38</c:v>
                </c:pt>
                <c:pt idx="35">
                  <c:v>40</c:v>
                </c:pt>
                <c:pt idx="36">
                  <c:v>41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51</c:v>
                </c:pt>
                <c:pt idx="48">
                  <c:v>53</c:v>
                </c:pt>
                <c:pt idx="49">
                  <c:v>53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57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67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5-4DA5-AB50-854EA8C7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1344"/>
        <c:axId val="100842880"/>
      </c:scatterChart>
      <c:valAx>
        <c:axId val="1008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842880"/>
        <c:crosses val="autoZero"/>
        <c:crossBetween val="midCat"/>
      </c:valAx>
      <c:valAx>
        <c:axId val="1008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84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Results!$D$188:$R$188</c:f>
              <c:numCache>
                <c:formatCode>General</c:formatCode>
                <c:ptCount val="15"/>
                <c:pt idx="0">
                  <c:v>0.5</c:v>
                </c:pt>
                <c:pt idx="2">
                  <c:v>0.51724137931034486</c:v>
                </c:pt>
                <c:pt idx="4">
                  <c:v>0.47058823529411764</c:v>
                </c:pt>
                <c:pt idx="6">
                  <c:v>0.41379310344827586</c:v>
                </c:pt>
                <c:pt idx="8">
                  <c:v>0.34482758620689657</c:v>
                </c:pt>
                <c:pt idx="10">
                  <c:v>0.52941176470588236</c:v>
                </c:pt>
                <c:pt idx="12">
                  <c:v>0.21428571428571427</c:v>
                </c:pt>
                <c:pt idx="14">
                  <c:v>0.56666666666666665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6A7-94B4-73754441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5072"/>
        <c:axId val="179316608"/>
      </c:scatterChart>
      <c:valAx>
        <c:axId val="1793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16608"/>
        <c:crosses val="autoZero"/>
        <c:crossBetween val="midCat"/>
      </c:valAx>
      <c:valAx>
        <c:axId val="1793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1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Results!$D$272:$R$272</c:f>
              <c:numCache>
                <c:formatCode>General</c:formatCode>
                <c:ptCount val="15"/>
                <c:pt idx="0">
                  <c:v>0.27877737142831338</c:v>
                </c:pt>
                <c:pt idx="2">
                  <c:v>0.29165882891197864</c:v>
                </c:pt>
                <c:pt idx="4">
                  <c:v>0.26570416920051876</c:v>
                </c:pt>
                <c:pt idx="6">
                  <c:v>0.22248218052494367</c:v>
                </c:pt>
                <c:pt idx="8">
                  <c:v>0.23148688127126363</c:v>
                </c:pt>
                <c:pt idx="10">
                  <c:v>0.18152355595446937</c:v>
                </c:pt>
                <c:pt idx="12">
                  <c:v>0.24671792528103928</c:v>
                </c:pt>
                <c:pt idx="14">
                  <c:v>0.29096588658964867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F-4D4B-B674-C94B86EC2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0688"/>
        <c:axId val="180292224"/>
      </c:scatterChart>
      <c:valAx>
        <c:axId val="1802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92224"/>
        <c:crosses val="autoZero"/>
        <c:crossBetween val="midCat"/>
      </c:valAx>
      <c:valAx>
        <c:axId val="1802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9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repetitions'!$D$28</c:f>
              <c:strCache>
                <c:ptCount val="1"/>
                <c:pt idx="0">
                  <c:v>Learning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('Number of repetitions'!$C$21,'Number of repetitions'!$E$21,'Number of repetitions'!$G$21,'Number of repetitions'!$I$21,'Number of repetitions'!$K$21,'Number of repetitions'!$M$21,'Number of repetitions'!$O$21)</c:f>
                <c:numCache>
                  <c:formatCode>General</c:formatCode>
                  <c:ptCount val="7"/>
                  <c:pt idx="0">
                    <c:v>1.7963328873839417</c:v>
                  </c:pt>
                  <c:pt idx="1">
                    <c:v>1.4151488391951383</c:v>
                  </c:pt>
                  <c:pt idx="2">
                    <c:v>1.3563611600000001</c:v>
                  </c:pt>
                  <c:pt idx="3">
                    <c:v>1.4522417742898237</c:v>
                  </c:pt>
                  <c:pt idx="4">
                    <c:v>1.5462794243499915</c:v>
                  </c:pt>
                  <c:pt idx="5">
                    <c:v>1.9768081211651558</c:v>
                  </c:pt>
                  <c:pt idx="6">
                    <c:v>1.3986309980650147</c:v>
                  </c:pt>
                </c:numCache>
              </c:numRef>
            </c:plus>
            <c:minus>
              <c:numRef>
                <c:f>('Number of repetitions'!$C$21,'Number of repetitions'!$E$21,'Number of repetitions'!$G$21,'Number of repetitions'!$I$21,'Number of repetitions'!$K$21,'Number of repetitions'!$M$21,'Number of repetitions'!$O$21)</c:f>
                <c:numCache>
                  <c:formatCode>General</c:formatCode>
                  <c:ptCount val="7"/>
                  <c:pt idx="0">
                    <c:v>1.7963328873839417</c:v>
                  </c:pt>
                  <c:pt idx="1">
                    <c:v>1.4151488391951383</c:v>
                  </c:pt>
                  <c:pt idx="2">
                    <c:v>1.3563611600000001</c:v>
                  </c:pt>
                  <c:pt idx="3">
                    <c:v>1.4522417742898237</c:v>
                  </c:pt>
                  <c:pt idx="4">
                    <c:v>1.5462794243499915</c:v>
                  </c:pt>
                  <c:pt idx="5">
                    <c:v>1.9768081211651558</c:v>
                  </c:pt>
                  <c:pt idx="6">
                    <c:v>1.3986309980650147</c:v>
                  </c:pt>
                </c:numCache>
              </c:numRef>
            </c:minus>
          </c:errBars>
          <c:cat>
            <c:strRef>
              <c:f>'Number of repetitions'!$C$30:$C$36</c:f>
              <c:strCache>
                <c:ptCount val="7"/>
                <c:pt idx="0">
                  <c:v>20min</c:v>
                </c:pt>
                <c:pt idx="1">
                  <c:v>1hour</c:v>
                </c:pt>
                <c:pt idx="2">
                  <c:v>9hours</c:v>
                </c:pt>
                <c:pt idx="3">
                  <c:v>1day</c:v>
                </c:pt>
                <c:pt idx="4">
                  <c:v>2days</c:v>
                </c:pt>
                <c:pt idx="5">
                  <c:v>6days</c:v>
                </c:pt>
                <c:pt idx="6">
                  <c:v>31days</c:v>
                </c:pt>
              </c:strCache>
            </c:strRef>
          </c:cat>
          <c:val>
            <c:numRef>
              <c:f>'Number of repetitions'!$E$30:$E$36</c:f>
              <c:numCache>
                <c:formatCode>General</c:formatCode>
                <c:ptCount val="7"/>
                <c:pt idx="0">
                  <c:v>30.771000000000001</c:v>
                </c:pt>
                <c:pt idx="1">
                  <c:v>30.638999999999999</c:v>
                </c:pt>
                <c:pt idx="2">
                  <c:v>31.071110000000001</c:v>
                </c:pt>
                <c:pt idx="3">
                  <c:v>31.216000000000001</c:v>
                </c:pt>
                <c:pt idx="4">
                  <c:v>31.416</c:v>
                </c:pt>
                <c:pt idx="5">
                  <c:v>31.213999999999999</c:v>
                </c:pt>
                <c:pt idx="6">
                  <c:v>29.437000000000001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AF7-9DF3-961B46D3248E}"/>
            </c:ext>
          </c:extLst>
        </c:ser>
        <c:ser>
          <c:idx val="1"/>
          <c:order val="1"/>
          <c:tx>
            <c:strRef>
              <c:f>'Number of repetitions'!$G$28</c:f>
              <c:strCache>
                <c:ptCount val="1"/>
                <c:pt idx="0">
                  <c:v>Relearning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('Number of repetitions'!$D$21,'Number of repetitions'!$F$21,'Number of repetitions'!$H$21,'Number of repetitions'!$J$21,'Number of repetitions'!$L$21,'Number of repetitions'!$N$21,'Number of repetitions'!$P$21)</c:f>
                <c:numCache>
                  <c:formatCode>General</c:formatCode>
                  <c:ptCount val="7"/>
                  <c:pt idx="0">
                    <c:v>1.4073801855093984</c:v>
                  </c:pt>
                  <c:pt idx="1">
                    <c:v>0.96738022676892732</c:v>
                  </c:pt>
                  <c:pt idx="2">
                    <c:v>1.74741448</c:v>
                  </c:pt>
                  <c:pt idx="3">
                    <c:v>1.3048778391522664</c:v>
                  </c:pt>
                  <c:pt idx="4">
                    <c:v>1.4239971956669446</c:v>
                  </c:pt>
                  <c:pt idx="5">
                    <c:v>2.0866533141965307</c:v>
                  </c:pt>
                  <c:pt idx="6">
                    <c:v>2.1554406704555693</c:v>
                  </c:pt>
                </c:numCache>
              </c:numRef>
            </c:plus>
            <c:minus>
              <c:numRef>
                <c:f>('Number of repetitions'!$D$21,'Number of repetitions'!$F$21,'Number of repetitions'!$H$21,'Number of repetitions'!$J$21,'Number of repetitions'!$L$21,'Number of repetitions'!$N$21,'Number of repetitions'!$P$21)</c:f>
                <c:numCache>
                  <c:formatCode>General</c:formatCode>
                  <c:ptCount val="7"/>
                  <c:pt idx="0">
                    <c:v>1.4073801855093984</c:v>
                  </c:pt>
                  <c:pt idx="1">
                    <c:v>0.96738022676892732</c:v>
                  </c:pt>
                  <c:pt idx="2">
                    <c:v>1.74741448</c:v>
                  </c:pt>
                  <c:pt idx="3">
                    <c:v>1.3048778391522664</c:v>
                  </c:pt>
                  <c:pt idx="4">
                    <c:v>1.4239971956669446</c:v>
                  </c:pt>
                  <c:pt idx="5">
                    <c:v>2.0866533141965307</c:v>
                  </c:pt>
                  <c:pt idx="6">
                    <c:v>2.1554406704555693</c:v>
                  </c:pt>
                </c:numCache>
              </c:numRef>
            </c:minus>
          </c:errBars>
          <c:cat>
            <c:strRef>
              <c:f>'Number of repetitions'!$C$30:$C$36</c:f>
              <c:strCache>
                <c:ptCount val="7"/>
                <c:pt idx="0">
                  <c:v>20min</c:v>
                </c:pt>
                <c:pt idx="1">
                  <c:v>1hour</c:v>
                </c:pt>
                <c:pt idx="2">
                  <c:v>9hours</c:v>
                </c:pt>
                <c:pt idx="3">
                  <c:v>1day</c:v>
                </c:pt>
                <c:pt idx="4">
                  <c:v>2days</c:v>
                </c:pt>
                <c:pt idx="5">
                  <c:v>6days</c:v>
                </c:pt>
                <c:pt idx="6">
                  <c:v>31days</c:v>
                </c:pt>
              </c:strCache>
            </c:strRef>
          </c:cat>
          <c:val>
            <c:numRef>
              <c:f>'Number of repetitions'!$H$30:$H$36</c:f>
              <c:numCache>
                <c:formatCode>General</c:formatCode>
                <c:ptCount val="7"/>
                <c:pt idx="0">
                  <c:v>16.257999999999999</c:v>
                </c:pt>
                <c:pt idx="1">
                  <c:v>19.216000000000001</c:v>
                </c:pt>
                <c:pt idx="2">
                  <c:v>22.481110000000001</c:v>
                </c:pt>
                <c:pt idx="3">
                  <c:v>21.327999999999999</c:v>
                </c:pt>
                <c:pt idx="4">
                  <c:v>24.19</c:v>
                </c:pt>
                <c:pt idx="5">
                  <c:v>25.965</c:v>
                </c:pt>
                <c:pt idx="6">
                  <c:v>28.231000000000002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AF7-9DF3-961B46D3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41472"/>
        <c:axId val="180443008"/>
      </c:barChart>
      <c:catAx>
        <c:axId val="1804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43008"/>
        <c:crosses val="autoZero"/>
        <c:auto val="1"/>
        <c:lblAlgn val="ctr"/>
        <c:lblOffset val="100"/>
        <c:noMultiLvlLbl val="0"/>
      </c:catAx>
      <c:valAx>
        <c:axId val="1804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4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6119259602369"/>
          <c:y val="0.40406976744186113"/>
          <c:w val="0.16339912167841764"/>
          <c:h val="0.171511627906976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and Relearning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'Schema Table'!$Z$1</c:f>
              <c:strCache>
                <c:ptCount val="1"/>
                <c:pt idx="0">
                  <c:v>6days1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'Schema Table'!$D$2:$D$11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'Schema Table'!$AD$2:$AD$12</c:f>
              <c:numCache>
                <c:formatCode>General</c:formatCode>
                <c:ptCount val="11"/>
                <c:pt idx="0">
                  <c:v>1480</c:v>
                </c:pt>
                <c:pt idx="1">
                  <c:v>1680</c:v>
                </c:pt>
                <c:pt idx="2">
                  <c:v>1770</c:v>
                </c:pt>
                <c:pt idx="3">
                  <c:v>1440</c:v>
                </c:pt>
                <c:pt idx="4">
                  <c:v>1650</c:v>
                </c:pt>
                <c:pt idx="5">
                  <c:v>1890</c:v>
                </c:pt>
                <c:pt idx="6">
                  <c:v>1815</c:v>
                </c:pt>
                <c:pt idx="7">
                  <c:v>1910</c:v>
                </c:pt>
                <c:pt idx="8">
                  <c:v>1490</c:v>
                </c:pt>
                <c:pt idx="9">
                  <c:v>1710</c:v>
                </c:pt>
                <c:pt idx="10">
                  <c:v>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4CF5-9C93-F2B811C33BD2}"/>
            </c:ext>
          </c:extLst>
        </c:ser>
        <c:ser>
          <c:idx val="1"/>
          <c:order val="1"/>
          <c:tx>
            <c:strRef>
              <c:f>'Schema Table'!$AB$1</c:f>
              <c:strCache>
                <c:ptCount val="1"/>
                <c:pt idx="0">
                  <c:v>6days2</c:v>
                </c:pt>
              </c:strCache>
            </c:strRef>
          </c:tx>
          <c:spPr>
            <a:ln w="28575">
              <a:noFill/>
            </a:ln>
          </c:spPr>
          <c:xVal>
            <c:numRef>
              <c:f>'Schema Table'!$D$2:$D$11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'Schema Table'!$AF$2:$AF$12</c:f>
              <c:numCache>
                <c:formatCode>General</c:formatCode>
                <c:ptCount val="11"/>
                <c:pt idx="0">
                  <c:v>1380</c:v>
                </c:pt>
                <c:pt idx="1">
                  <c:v>1450</c:v>
                </c:pt>
                <c:pt idx="2">
                  <c:v>1530</c:v>
                </c:pt>
                <c:pt idx="3">
                  <c:v>1510</c:v>
                </c:pt>
                <c:pt idx="4">
                  <c:v>1760</c:v>
                </c:pt>
                <c:pt idx="5">
                  <c:v>1785</c:v>
                </c:pt>
                <c:pt idx="6">
                  <c:v>1745</c:v>
                </c:pt>
                <c:pt idx="7">
                  <c:v>1505</c:v>
                </c:pt>
                <c:pt idx="8">
                  <c:v>1260</c:v>
                </c:pt>
                <c:pt idx="9">
                  <c:v>1395</c:v>
                </c:pt>
                <c:pt idx="10">
                  <c:v>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7-4CF5-9C93-F2B811C3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0224"/>
        <c:axId val="77907072"/>
      </c:scatterChart>
      <c:valAx>
        <c:axId val="778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07072"/>
        <c:crosses val="autoZero"/>
        <c:crossBetween val="midCat"/>
      </c:valAx>
      <c:valAx>
        <c:axId val="7790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86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'Schema Table'!$Z$1</c:f>
              <c:strCache>
                <c:ptCount val="1"/>
                <c:pt idx="0">
                  <c:v>6days1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4962292213473319"/>
                  <c:y val="-0.13884587343248783"/>
                </c:manualLayout>
              </c:layout>
              <c:numFmt formatCode="General" sourceLinked="0"/>
            </c:trendlineLbl>
          </c:trendline>
          <c:xVal>
            <c:numRef>
              <c:f>'Schema Table'!$D$2:$D$11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'Schema Table'!$I$2:$I$12</c:f>
              <c:numCache>
                <c:formatCode>General</c:formatCode>
                <c:ptCount val="11"/>
                <c:pt idx="0">
                  <c:v>0.52313167259786475</c:v>
                </c:pt>
                <c:pt idx="1">
                  <c:v>0.34239130434782611</c:v>
                </c:pt>
                <c:pt idx="2">
                  <c:v>0.39890710382513661</c:v>
                </c:pt>
                <c:pt idx="3">
                  <c:v>0.55963302752293576</c:v>
                </c:pt>
                <c:pt idx="4">
                  <c:v>0.53333333333333333</c:v>
                </c:pt>
                <c:pt idx="5">
                  <c:v>0.25895316804407714</c:v>
                </c:pt>
                <c:pt idx="6">
                  <c:v>0.45588235294117646</c:v>
                </c:pt>
                <c:pt idx="7">
                  <c:v>0.49855072463768119</c:v>
                </c:pt>
                <c:pt idx="8">
                  <c:v>0.31782945736434109</c:v>
                </c:pt>
                <c:pt idx="9">
                  <c:v>0.3251366120218579</c:v>
                </c:pt>
                <c:pt idx="10">
                  <c:v>0.42092391304347826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B-4246-8B4D-9291F069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9744"/>
        <c:axId val="77921280"/>
      </c:scatterChart>
      <c:valAx>
        <c:axId val="779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21280"/>
        <c:crosses val="autoZero"/>
        <c:crossBetween val="midCat"/>
      </c:valAx>
      <c:valAx>
        <c:axId val="7792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91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'Schema Table'!$AV$21</c:f>
              <c:strCache>
                <c:ptCount val="1"/>
                <c:pt idx="0">
                  <c:v>Learning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7387751531058675"/>
                  <c:y val="-9.5299650043744494E-2"/>
                </c:manualLayout>
              </c:layout>
              <c:numFmt formatCode="General" sourceLinked="0"/>
            </c:trendlineLbl>
          </c:trendline>
          <c:xVal>
            <c:numRef>
              <c:f>'Schema Table'!$AT$22:$AT$29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'Schema Table'!$AV$22:$AV$29</c:f>
              <c:numCache>
                <c:formatCode>General</c:formatCode>
                <c:ptCount val="8"/>
                <c:pt idx="0">
                  <c:v>1668.6111111111111</c:v>
                </c:pt>
                <c:pt idx="1">
                  <c:v>1851.5740740740741</c:v>
                </c:pt>
                <c:pt idx="2">
                  <c:v>1779.5833333333333</c:v>
                </c:pt>
                <c:pt idx="3">
                  <c:v>1736</c:v>
                </c:pt>
                <c:pt idx="4">
                  <c:v>1857.1428571428571</c:v>
                </c:pt>
                <c:pt idx="5">
                  <c:v>1831.25</c:v>
                </c:pt>
                <c:pt idx="6">
                  <c:v>1943</c:v>
                </c:pt>
                <c:pt idx="7">
                  <c:v>1884.5833333333333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6-4938-9E2A-E3FA7C3C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9888"/>
        <c:axId val="100635776"/>
      </c:scatterChart>
      <c:valAx>
        <c:axId val="1006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5776"/>
        <c:crosses val="autoZero"/>
        <c:crossBetween val="midCat"/>
      </c:valAx>
      <c:valAx>
        <c:axId val="100635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62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'Schema Table'!$AV$21</c:f>
              <c:strCache>
                <c:ptCount val="1"/>
                <c:pt idx="0">
                  <c:v>Learning Time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</c:spPr>
          </c:marker>
          <c:trendline>
            <c:spPr>
              <a:ln w="19050"/>
            </c:spPr>
            <c:trendlineType val="linear"/>
            <c:dispRSqr val="0"/>
            <c:dispEq val="0"/>
          </c:trendline>
          <c:xVal>
            <c:numRef>
              <c:f>'Schema Table'!$AT$22:$AT$29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'Schema Table'!$AV$22:$AV$29</c:f>
              <c:numCache>
                <c:formatCode>General</c:formatCode>
                <c:ptCount val="8"/>
                <c:pt idx="0">
                  <c:v>1668.6111111111111</c:v>
                </c:pt>
                <c:pt idx="1">
                  <c:v>1851.5740740740741</c:v>
                </c:pt>
                <c:pt idx="2">
                  <c:v>1779.5833333333333</c:v>
                </c:pt>
                <c:pt idx="3">
                  <c:v>1736</c:v>
                </c:pt>
                <c:pt idx="4">
                  <c:v>1857.1428571428571</c:v>
                </c:pt>
                <c:pt idx="5">
                  <c:v>1831.25</c:v>
                </c:pt>
                <c:pt idx="6">
                  <c:v>1943</c:v>
                </c:pt>
                <c:pt idx="7">
                  <c:v>1884.5833333333333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7-4EA9-A480-5255B0A55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56"/>
        <c:axId val="101090816"/>
      </c:scatterChart>
      <c:valAx>
        <c:axId val="174425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 baseline="0"/>
                  <a:t>Experiment Day Count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01090816"/>
        <c:crosses val="autoZero"/>
        <c:crossBetween val="midCat"/>
        <c:majorUnit val="10"/>
      </c:valAx>
      <c:valAx>
        <c:axId val="10109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Learning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1744256"/>
        <c:crosses val="autoZero"/>
        <c:crossBetween val="midCat"/>
        <c:majorUnit val="100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FF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FF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>
    <tabColor rgb="FFFFFF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6">
    <tabColor rgb="FFFFFF00"/>
  </sheetPr>
  <sheetViews>
    <sheetView zoomScale="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7"/>
  <sheetViews>
    <sheetView zoomScale="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1.png"/><Relationship Id="rId1" Type="http://schemas.openxmlformats.org/officeDocument/2006/relationships/chart" Target="../charts/chart48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171450</xdr:colOff>
      <xdr:row>0</xdr:row>
      <xdr:rowOff>0</xdr:rowOff>
    </xdr:from>
    <xdr:to>
      <xdr:col>56</xdr:col>
      <xdr:colOff>476250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400050</xdr:colOff>
      <xdr:row>20</xdr:row>
      <xdr:rowOff>123825</xdr:rowOff>
    </xdr:from>
    <xdr:to>
      <xdr:col>41</xdr:col>
      <xdr:colOff>209550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30</xdr:row>
      <xdr:rowOff>137160</xdr:rowOff>
    </xdr:from>
    <xdr:to>
      <xdr:col>13</xdr:col>
      <xdr:colOff>106680</xdr:colOff>
      <xdr:row>46</xdr:row>
      <xdr:rowOff>15240</xdr:rowOff>
    </xdr:to>
    <xdr:graphicFrame macro="">
      <xdr:nvGraphicFramePr>
        <xdr:cNvPr id="570411" name="Chart 11">
          <a:extLst>
            <a:ext uri="{FF2B5EF4-FFF2-40B4-BE49-F238E27FC236}">
              <a16:creationId xmlns:a16="http://schemas.microsoft.com/office/drawing/2014/main" id="{00000000-0008-0000-0800-00002BB4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49</xdr:row>
      <xdr:rowOff>15240</xdr:rowOff>
    </xdr:from>
    <xdr:to>
      <xdr:col>18</xdr:col>
      <xdr:colOff>434340</xdr:colOff>
      <xdr:row>59</xdr:row>
      <xdr:rowOff>160020</xdr:rowOff>
    </xdr:to>
    <xdr:graphicFrame macro="">
      <xdr:nvGraphicFramePr>
        <xdr:cNvPr id="570412" name="Grafiek 10">
          <a:extLst>
            <a:ext uri="{FF2B5EF4-FFF2-40B4-BE49-F238E27FC236}">
              <a16:creationId xmlns:a16="http://schemas.microsoft.com/office/drawing/2014/main" id="{00000000-0008-0000-0800-00002CB4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312420</xdr:colOff>
      <xdr:row>3</xdr:row>
      <xdr:rowOff>144780</xdr:rowOff>
    </xdr:from>
    <xdr:to>
      <xdr:col>23</xdr:col>
      <xdr:colOff>182880</xdr:colOff>
      <xdr:row>20</xdr:row>
      <xdr:rowOff>15240</xdr:rowOff>
    </xdr:to>
    <xdr:graphicFrame macro="">
      <xdr:nvGraphicFramePr>
        <xdr:cNvPr id="570413" name="Grafiek 2">
          <a:extLst>
            <a:ext uri="{FF2B5EF4-FFF2-40B4-BE49-F238E27FC236}">
              <a16:creationId xmlns:a16="http://schemas.microsoft.com/office/drawing/2014/main" id="{00000000-0008-0000-0800-00002DB4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243228</xdr:colOff>
      <xdr:row>54</xdr:row>
      <xdr:rowOff>78508</xdr:rowOff>
    </xdr:from>
    <xdr:to>
      <xdr:col>33</xdr:col>
      <xdr:colOff>217827</xdr:colOff>
      <xdr:row>64</xdr:row>
      <xdr:rowOff>177029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484291</xdr:colOff>
      <xdr:row>33</xdr:row>
      <xdr:rowOff>82050</xdr:rowOff>
    </xdr:from>
    <xdr:to>
      <xdr:col>20</xdr:col>
      <xdr:colOff>592665</xdr:colOff>
      <xdr:row>45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243228</xdr:colOff>
      <xdr:row>54</xdr:row>
      <xdr:rowOff>78508</xdr:rowOff>
    </xdr:from>
    <xdr:to>
      <xdr:col>33</xdr:col>
      <xdr:colOff>217827</xdr:colOff>
      <xdr:row>64</xdr:row>
      <xdr:rowOff>177029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484291</xdr:colOff>
      <xdr:row>33</xdr:row>
      <xdr:rowOff>82050</xdr:rowOff>
    </xdr:from>
    <xdr:to>
      <xdr:col>20</xdr:col>
      <xdr:colOff>592665</xdr:colOff>
      <xdr:row>45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160020</xdr:colOff>
      <xdr:row>21</xdr:row>
      <xdr:rowOff>0</xdr:rowOff>
    </xdr:from>
    <xdr:to>
      <xdr:col>53</xdr:col>
      <xdr:colOff>464820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198120</xdr:colOff>
      <xdr:row>35</xdr:row>
      <xdr:rowOff>7620</xdr:rowOff>
    </xdr:from>
    <xdr:to>
      <xdr:col>38</xdr:col>
      <xdr:colOff>99060</xdr:colOff>
      <xdr:row>50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30</xdr:row>
      <xdr:rowOff>178300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609600" y="184150"/>
          <a:ext cx="9753600" cy="5518650"/>
          <a:chOff x="609600" y="186267"/>
          <a:chExt cx="9753600" cy="558003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aphicFramePr/>
        </xdr:nvGraphicFramePr>
        <xdr:xfrm>
          <a:off x="609600" y="194234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aphicFramePr/>
        </xdr:nvGraphicFramePr>
        <xdr:xfrm>
          <a:off x="5486400" y="186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GraphicFramePr/>
        </xdr:nvGraphicFramePr>
        <xdr:xfrm>
          <a:off x="609600" y="2980267"/>
          <a:ext cx="4876800" cy="27826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GraphicFramePr/>
        </xdr:nvGraphicFramePr>
        <xdr:xfrm>
          <a:off x="5486400" y="2980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30</xdr:row>
      <xdr:rowOff>178300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622300" y="184150"/>
          <a:ext cx="9956800" cy="5518650"/>
          <a:chOff x="609600" y="186267"/>
          <a:chExt cx="9753600" cy="558003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GraphicFramePr/>
        </xdr:nvGraphicFramePr>
        <xdr:xfrm>
          <a:off x="609600" y="194234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GraphicFramePr/>
        </xdr:nvGraphicFramePr>
        <xdr:xfrm>
          <a:off x="5486400" y="186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GraphicFramePr/>
        </xdr:nvGraphicFramePr>
        <xdr:xfrm>
          <a:off x="609600" y="2980267"/>
          <a:ext cx="4876800" cy="27826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GraphicFramePr/>
        </xdr:nvGraphicFramePr>
        <xdr:xfrm>
          <a:off x="5486400" y="2980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0</xdr:colOff>
      <xdr:row>30</xdr:row>
      <xdr:rowOff>178300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pSpPr/>
      </xdr:nvGrpSpPr>
      <xdr:grpSpPr>
        <a:xfrm>
          <a:off x="609600" y="184150"/>
          <a:ext cx="9753600" cy="5518650"/>
          <a:chOff x="609600" y="186267"/>
          <a:chExt cx="9753600" cy="558003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GraphicFramePr/>
        </xdr:nvGraphicFramePr>
        <xdr:xfrm>
          <a:off x="609600" y="194234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GraphicFramePr/>
        </xdr:nvGraphicFramePr>
        <xdr:xfrm>
          <a:off x="5486400" y="186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GraphicFramePr/>
        </xdr:nvGraphicFramePr>
        <xdr:xfrm>
          <a:off x="609600" y="2980267"/>
          <a:ext cx="4876800" cy="27826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GraphicFramePr/>
        </xdr:nvGraphicFramePr>
        <xdr:xfrm>
          <a:off x="5486400" y="2980267"/>
          <a:ext cx="4876800" cy="2786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-23327" y="-7776"/>
    <xdr:ext cx="9291735" cy="6064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171450</xdr:colOff>
      <xdr:row>0</xdr:row>
      <xdr:rowOff>0</xdr:rowOff>
    </xdr:from>
    <xdr:to>
      <xdr:col>56</xdr:col>
      <xdr:colOff>476250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55</xdr:row>
      <xdr:rowOff>76200</xdr:rowOff>
    </xdr:from>
    <xdr:to>
      <xdr:col>33</xdr:col>
      <xdr:colOff>66675</xdr:colOff>
      <xdr:row>70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626918</xdr:colOff>
      <xdr:row>36</xdr:row>
      <xdr:rowOff>137159</xdr:rowOff>
    </xdr:from>
    <xdr:to>
      <xdr:col>9</xdr:col>
      <xdr:colOff>279861</xdr:colOff>
      <xdr:row>52</xdr:row>
      <xdr:rowOff>15240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48</xdr:row>
      <xdr:rowOff>167640</xdr:rowOff>
    </xdr:from>
    <xdr:to>
      <xdr:col>12</xdr:col>
      <xdr:colOff>266700</xdr:colOff>
      <xdr:row>59</xdr:row>
      <xdr:rowOff>129540</xdr:rowOff>
    </xdr:to>
    <xdr:graphicFrame macro="">
      <xdr:nvGraphicFramePr>
        <xdr:cNvPr id="3" name="Grafiek 10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540326</xdr:colOff>
      <xdr:row>4</xdr:row>
      <xdr:rowOff>138542</xdr:rowOff>
    </xdr:from>
    <xdr:to>
      <xdr:col>40</xdr:col>
      <xdr:colOff>20781</xdr:colOff>
      <xdr:row>19</xdr:row>
      <xdr:rowOff>124687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294027</xdr:colOff>
      <xdr:row>2</xdr:row>
      <xdr:rowOff>129305</xdr:rowOff>
    </xdr:from>
    <xdr:to>
      <xdr:col>28</xdr:col>
      <xdr:colOff>387160</xdr:colOff>
      <xdr:row>17</xdr:row>
      <xdr:rowOff>66959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340358</xdr:colOff>
      <xdr:row>25</xdr:row>
      <xdr:rowOff>22784</xdr:rowOff>
    </xdr:from>
    <xdr:to>
      <xdr:col>19</xdr:col>
      <xdr:colOff>448732</xdr:colOff>
      <xdr:row>37</xdr:row>
      <xdr:rowOff>254001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487680</xdr:colOff>
      <xdr:row>14</xdr:row>
      <xdr:rowOff>99060</xdr:rowOff>
    </xdr:from>
    <xdr:to>
      <xdr:col>38</xdr:col>
      <xdr:colOff>601980</xdr:colOff>
      <xdr:row>29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236220</xdr:colOff>
      <xdr:row>13</xdr:row>
      <xdr:rowOff>137160</xdr:rowOff>
    </xdr:from>
    <xdr:to>
      <xdr:col>44</xdr:col>
      <xdr:colOff>350520</xdr:colOff>
      <xdr:row>28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414867</xdr:colOff>
      <xdr:row>48</xdr:row>
      <xdr:rowOff>42334</xdr:rowOff>
    </xdr:from>
    <xdr:to>
      <xdr:col>37</xdr:col>
      <xdr:colOff>317500</xdr:colOff>
      <xdr:row>63</xdr:row>
      <xdr:rowOff>42334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25</xdr:row>
      <xdr:rowOff>83820</xdr:rowOff>
    </xdr:from>
    <xdr:to>
      <xdr:col>16</xdr:col>
      <xdr:colOff>121920</xdr:colOff>
      <xdr:row>46</xdr:row>
      <xdr:rowOff>91440</xdr:rowOff>
    </xdr:to>
    <xdr:graphicFrame macro="">
      <xdr:nvGraphicFramePr>
        <xdr:cNvPr id="3115" name="Chart 3">
          <a:extLst>
            <a:ext uri="{FF2B5EF4-FFF2-40B4-BE49-F238E27FC236}">
              <a16:creationId xmlns:a16="http://schemas.microsoft.com/office/drawing/2014/main" id="{00000000-0008-0000-1700-00002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56</xdr:row>
      <xdr:rowOff>38100</xdr:rowOff>
    </xdr:from>
    <xdr:to>
      <xdr:col>17</xdr:col>
      <xdr:colOff>22860</xdr:colOff>
      <xdr:row>74</xdr:row>
      <xdr:rowOff>175260</xdr:rowOff>
    </xdr:to>
    <xdr:pic>
      <xdr:nvPicPr>
        <xdr:cNvPr id="3116" name="Chart 1">
          <a:extLst>
            <a:ext uri="{FF2B5EF4-FFF2-40B4-BE49-F238E27FC236}">
              <a16:creationId xmlns:a16="http://schemas.microsoft.com/office/drawing/2014/main" id="{00000000-0008-0000-1700-00002C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 b="-15"/>
        <a:stretch>
          <a:fillRect/>
        </a:stretch>
      </xdr:blipFill>
      <xdr:spPr bwMode="auto">
        <a:xfrm>
          <a:off x="7231380" y="10370820"/>
          <a:ext cx="5913120" cy="3429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211667</xdr:colOff>
      <xdr:row>16</xdr:row>
      <xdr:rowOff>127000</xdr:rowOff>
    </xdr:from>
    <xdr:to>
      <xdr:col>16</xdr:col>
      <xdr:colOff>414867</xdr:colOff>
      <xdr:row>31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67733</xdr:colOff>
      <xdr:row>168</xdr:row>
      <xdr:rowOff>186266</xdr:rowOff>
    </xdr:from>
    <xdr:to>
      <xdr:col>13</xdr:col>
      <xdr:colOff>270933</xdr:colOff>
      <xdr:row>183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270934</xdr:colOff>
      <xdr:row>273</xdr:row>
      <xdr:rowOff>42334</xdr:rowOff>
    </xdr:from>
    <xdr:to>
      <xdr:col>14</xdr:col>
      <xdr:colOff>474134</xdr:colOff>
      <xdr:row>287</xdr:row>
      <xdr:rowOff>177801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708660</xdr:colOff>
      <xdr:row>23</xdr:row>
      <xdr:rowOff>45720</xdr:rowOff>
    </xdr:from>
    <xdr:to>
      <xdr:col>17</xdr:col>
      <xdr:colOff>373380</xdr:colOff>
      <xdr:row>37</xdr:row>
      <xdr:rowOff>106680</xdr:rowOff>
    </xdr:to>
    <xdr:graphicFrame macro="">
      <xdr:nvGraphicFramePr>
        <xdr:cNvPr id="1604" name="Chart 10">
          <a:extLst>
            <a:ext uri="{FF2B5EF4-FFF2-40B4-BE49-F238E27FC236}">
              <a16:creationId xmlns:a16="http://schemas.microsoft.com/office/drawing/2014/main" id="{00000000-0008-0000-1800-000044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561975</xdr:colOff>
      <xdr:row>0</xdr:row>
      <xdr:rowOff>0</xdr:rowOff>
    </xdr:from>
    <xdr:to>
      <xdr:col>49</xdr:col>
      <xdr:colOff>257175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171450</xdr:colOff>
      <xdr:row>0</xdr:row>
      <xdr:rowOff>0</xdr:rowOff>
    </xdr:from>
    <xdr:to>
      <xdr:col>57</xdr:col>
      <xdr:colOff>476250</xdr:colOff>
      <xdr:row>18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228599</xdr:colOff>
      <xdr:row>0</xdr:row>
      <xdr:rowOff>0</xdr:rowOff>
    </xdr:from>
    <xdr:to>
      <xdr:col>41</xdr:col>
      <xdr:colOff>390524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304800</xdr:colOff>
      <xdr:row>20</xdr:row>
      <xdr:rowOff>0</xdr:rowOff>
    </xdr:from>
    <xdr:to>
      <xdr:col>57</xdr:col>
      <xdr:colOff>0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171450</xdr:colOff>
      <xdr:row>0</xdr:row>
      <xdr:rowOff>0</xdr:rowOff>
    </xdr:from>
    <xdr:to>
      <xdr:col>63</xdr:col>
      <xdr:colOff>476250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133350</xdr:rowOff>
    </xdr:from>
    <xdr:to>
      <xdr:col>47</xdr:col>
      <xdr:colOff>723900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38100</xdr:colOff>
      <xdr:row>2</xdr:row>
      <xdr:rowOff>142875</xdr:rowOff>
    </xdr:from>
    <xdr:to>
      <xdr:col>49</xdr:col>
      <xdr:colOff>285750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371474</xdr:colOff>
      <xdr:row>19</xdr:row>
      <xdr:rowOff>76199</xdr:rowOff>
    </xdr:from>
    <xdr:to>
      <xdr:col>47</xdr:col>
      <xdr:colOff>781049</xdr:colOff>
      <xdr:row>42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0.33975</cdr:x>
      <cdr:y>0.92563</cdr:y>
    </cdr:from>
    <cdr:to>
      <cdr:x>0.67782</cdr:x>
      <cdr:y>0.98731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538565" y="4289750"/>
          <a:ext cx="377893" cy="3141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ctr"/>
        <a:lstStyle xmlns:a="http://schemas.openxmlformats.org/drawingml/2006/main"/>
        <a:p xmlns:a="http://schemas.openxmlformats.org/drawingml/2006/main">
          <a:r>
            <a:rPr lang="nl-NL" sz="1600" b="1"/>
            <a:t>Day Count</a:t>
          </a:r>
          <a:r>
            <a:rPr lang="nl-NL" sz="1600" b="1" baseline="0"/>
            <a:t> (Day 1 =</a:t>
          </a:r>
          <a:r>
            <a:rPr lang="nl-NL" sz="1600" b="1"/>
            <a:t> 1 Dec 2011)</a:t>
          </a:r>
        </a:p>
      </cdr:txBody>
    </cdr:sp>
  </cdr:relSizeAnchor>
  <cdr:relSizeAnchor xmlns:cdr="http://schemas.openxmlformats.org/drawingml/2006/chartDrawing">
    <cdr:from>
      <cdr:x>0.04937</cdr:x>
      <cdr:y>0.00888</cdr:y>
    </cdr:from>
    <cdr:to>
      <cdr:x>0.13138</cdr:x>
      <cdr:y>0.05076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8757" y="54429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20</a:t>
          </a:r>
          <a:r>
            <a:rPr lang="nl-NL" sz="1400" baseline="0"/>
            <a:t> min</a:t>
          </a:r>
          <a:endParaRPr lang="nl-NL" sz="1400"/>
        </a:p>
      </cdr:txBody>
    </cdr:sp>
  </cdr:relSizeAnchor>
  <cdr:relSizeAnchor xmlns:cdr="http://schemas.openxmlformats.org/drawingml/2006/chartDrawing">
    <cdr:from>
      <cdr:x>0.04686</cdr:x>
      <cdr:y>0.14213</cdr:y>
    </cdr:from>
    <cdr:to>
      <cdr:x>0.12887</cdr:x>
      <cdr:y>0.18401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5429" y="870857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1 hour</a:t>
          </a:r>
        </a:p>
      </cdr:txBody>
    </cdr:sp>
  </cdr:relSizeAnchor>
  <cdr:relSizeAnchor xmlns:cdr="http://schemas.openxmlformats.org/drawingml/2006/chartDrawing">
    <cdr:from>
      <cdr:x>0.04686</cdr:x>
      <cdr:y>0.27538</cdr:y>
    </cdr:from>
    <cdr:to>
      <cdr:x>0.12887</cdr:x>
      <cdr:y>0.31726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5428" y="1687285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9 hours</a:t>
          </a:r>
        </a:p>
      </cdr:txBody>
    </cdr:sp>
  </cdr:relSizeAnchor>
  <cdr:relSizeAnchor xmlns:cdr="http://schemas.openxmlformats.org/drawingml/2006/chartDrawing">
    <cdr:from>
      <cdr:x>0.04937</cdr:x>
      <cdr:y>0.41371</cdr:y>
    </cdr:from>
    <cdr:to>
      <cdr:x>0.13138</cdr:x>
      <cdr:y>0.45558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58756" y="2534818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1 day</a:t>
          </a:r>
        </a:p>
      </cdr:txBody>
    </cdr:sp>
  </cdr:relSizeAnchor>
  <cdr:relSizeAnchor xmlns:cdr="http://schemas.openxmlformats.org/drawingml/2006/chartDrawing">
    <cdr:from>
      <cdr:x>0.04854</cdr:x>
      <cdr:y>0.54822</cdr:y>
    </cdr:from>
    <cdr:to>
      <cdr:x>0.13054</cdr:x>
      <cdr:y>0.5901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50981" y="3359022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2 days</a:t>
          </a:r>
        </a:p>
      </cdr:txBody>
    </cdr:sp>
  </cdr:relSizeAnchor>
  <cdr:relSizeAnchor xmlns:cdr="http://schemas.openxmlformats.org/drawingml/2006/chartDrawing">
    <cdr:from>
      <cdr:x>0.04854</cdr:x>
      <cdr:y>0.6802</cdr:y>
    </cdr:from>
    <cdr:to>
      <cdr:x>0.13054</cdr:x>
      <cdr:y>0.72208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0981" y="4167676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6 days</a:t>
          </a:r>
        </a:p>
      </cdr:txBody>
    </cdr:sp>
  </cdr:relSizeAnchor>
  <cdr:relSizeAnchor xmlns:cdr="http://schemas.openxmlformats.org/drawingml/2006/chartDrawing">
    <cdr:from>
      <cdr:x>0.04937</cdr:x>
      <cdr:y>0.81726</cdr:y>
    </cdr:from>
    <cdr:to>
      <cdr:x>0.13138</cdr:x>
      <cdr:y>0.85914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58756" y="5007431"/>
          <a:ext cx="762000" cy="25659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nl-NL" sz="1400"/>
            <a:t>31 days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0.33975</cdr:x>
      <cdr:y>0.92563</cdr:y>
    </cdr:from>
    <cdr:to>
      <cdr:x>0.67782</cdr:x>
      <cdr:y>0.98731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538565" y="4289750"/>
          <a:ext cx="377893" cy="3141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 anchor="ctr"/>
        <a:lstStyle xmlns:a="http://schemas.openxmlformats.org/drawingml/2006/main"/>
        <a:p xmlns:a="http://schemas.openxmlformats.org/drawingml/2006/main">
          <a:r>
            <a:rPr lang="nl-NL" sz="1600" b="1"/>
            <a:t>Day Count</a:t>
          </a:r>
          <a:r>
            <a:rPr lang="nl-NL" sz="1600" b="1" baseline="0"/>
            <a:t> (Day 1 =</a:t>
          </a:r>
          <a:r>
            <a:rPr lang="nl-NL" sz="1600" b="1"/>
            <a:t> 1 Dec 2011)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1290.955099305553" createdVersion="3" refreshedVersion="3" minRefreshableVersion="3" recordCount="75" xr:uid="{00000000-000A-0000-FFFF-FFFF01000000}">
  <cacheSource type="worksheet">
    <worksheetSource ref="T18:V93" sheet="Schema Time"/>
  </cacheSource>
  <cacheFields count="3">
    <cacheField name="Week" numFmtId="0">
      <sharedItems containsString="0" containsBlank="1" containsNumber="1" minValue="1" maxValue="10.5" count="12">
        <m/>
        <n v="1"/>
        <n v="2"/>
        <n v="3"/>
        <n v="4"/>
        <n v="5"/>
        <n v="6"/>
        <n v="7"/>
        <n v="8"/>
        <n v="9"/>
        <n v="10"/>
        <n v="10.5"/>
      </sharedItems>
    </cacheField>
    <cacheField name="Count" numFmtId="0">
      <sharedItems containsString="0" containsBlank="1" containsNumber="1" containsInteger="1" minValue="2" maxValue="14"/>
    </cacheField>
    <cacheField name="Average" numFmtId="0">
      <sharedItems containsString="0" containsBlank="1" containsNumber="1" minValue="1653.5714285714287" maxValue="1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1290.968621643522" createdVersion="3" refreshedVersion="3" minRefreshableVersion="3" recordCount="75" xr:uid="{00000000-000A-0000-FFFF-FFFF02000000}">
  <cacheSource type="worksheet">
    <worksheetSource ref="T18:X93" sheet="Schema Time"/>
  </cacheSource>
  <cacheFields count="5">
    <cacheField name="Week" numFmtId="0">
      <sharedItems containsString="0" containsBlank="1" containsNumber="1" minValue="1" maxValue="10.5" count="12">
        <m/>
        <n v="1"/>
        <n v="2"/>
        <n v="3"/>
        <n v="4"/>
        <n v="5"/>
        <n v="6"/>
        <n v="7"/>
        <n v="8"/>
        <n v="9"/>
        <n v="10"/>
        <n v="10.5"/>
      </sharedItems>
    </cacheField>
    <cacheField name="Count" numFmtId="0">
      <sharedItems containsString="0" containsBlank="1" containsNumber="1" containsInteger="1" minValue="2" maxValue="14"/>
    </cacheField>
    <cacheField name="Average" numFmtId="0">
      <sharedItems containsString="0" containsBlank="1" containsNumber="1" minValue="1653.5714285714287" maxValue="1925"/>
    </cacheField>
    <cacheField name="Count9" numFmtId="0">
      <sharedItems containsString="0" containsBlank="1" containsNumber="1" containsInteger="1" minValue="2" maxValue="9"/>
    </cacheField>
    <cacheField name="Average9" numFmtId="0">
      <sharedItems containsString="0" containsBlank="1" containsNumber="1" minValue="1682.5" maxValue="1994.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ap Murre" refreshedDate="41327.034733101849" createdVersion="3" refreshedVersion="3" minRefreshableVersion="3" recordCount="75" xr:uid="{00000000-000A-0000-FFFF-FFFF03000000}">
  <cacheSource type="worksheet">
    <worksheetSource ref="AH21:AN96" sheet="Schema Table"/>
  </cacheSource>
  <cacheFields count="7">
    <cacheField name="Bin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earned" numFmtId="0">
      <sharedItems containsSemiMixedTypes="0" containsString="0" containsNumber="1" containsInteger="1" minValue="0" maxValue="3"/>
    </cacheField>
    <cacheField name="Relearned" numFmtId="0">
      <sharedItems containsSemiMixedTypes="0" containsString="0" containsNumber="1" containsInteger="1" minValue="0" maxValue="3"/>
    </cacheField>
    <cacheField name="LearnedCum" numFmtId="0">
      <sharedItems containsSemiMixedTypes="0" containsString="0" containsNumber="1" containsInteger="1" minValue="2" maxValue="69"/>
    </cacheField>
    <cacheField name="RelearnedCum" numFmtId="0">
      <sharedItems containsSemiMixedTypes="0" containsString="0" containsNumber="1" containsInteger="1" minValue="0" maxValue="69"/>
    </cacheField>
    <cacheField name="Learn Time" numFmtId="1">
      <sharedItems containsMixedTypes="1" containsNumber="1" minValue="1480" maxValue="2130"/>
    </cacheField>
    <cacheField name="Relearn Time" numFmtId="0">
      <sharedItems containsMixedTypes="1" containsNumber="1" minValue="865" maxValue="18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1"/>
    <n v="7"/>
    <n v="1653.5714285714287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2"/>
    <n v="14"/>
    <n v="1769.6428571428571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3"/>
    <n v="11"/>
    <n v="1915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4"/>
    <n v="7"/>
    <n v="1791.4285714285713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5"/>
    <n v="5"/>
    <n v="1737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6"/>
    <n v="9"/>
    <n v="1847.7777777777778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7"/>
    <n v="7"/>
    <n v="1898.5714285714287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8"/>
    <n v="4"/>
    <n v="1856.25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9"/>
    <n v="2"/>
    <n v="1870"/>
  </r>
  <r>
    <x v="0"/>
    <m/>
    <m/>
  </r>
  <r>
    <x v="0"/>
    <m/>
    <m/>
  </r>
  <r>
    <x v="0"/>
    <m/>
    <m/>
  </r>
  <r>
    <x v="0"/>
    <m/>
    <m/>
  </r>
  <r>
    <x v="0"/>
    <m/>
    <m/>
  </r>
  <r>
    <x v="0"/>
    <m/>
    <m/>
  </r>
  <r>
    <x v="10"/>
    <n v="5"/>
    <n v="1925"/>
  </r>
  <r>
    <x v="0"/>
    <m/>
    <m/>
  </r>
  <r>
    <x v="0"/>
    <m/>
    <m/>
  </r>
  <r>
    <x v="0"/>
    <m/>
    <m/>
  </r>
  <r>
    <x v="11"/>
    <n v="8"/>
    <n v="19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1"/>
    <n v="7"/>
    <n v="1653.5714285714287"/>
    <n v="6"/>
    <n v="1682.5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2"/>
    <n v="14"/>
    <n v="1769.6428571428571"/>
    <n v="9"/>
    <n v="1816.1111111111111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3"/>
    <n v="11"/>
    <n v="1915"/>
    <n v="7"/>
    <n v="1994.2857142857142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4"/>
    <n v="7"/>
    <n v="1791.4285714285713"/>
    <n v="5"/>
    <n v="1868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5"/>
    <n v="5"/>
    <n v="1737"/>
    <n v="5"/>
    <n v="1737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6"/>
    <n v="9"/>
    <n v="1847.7777777777778"/>
    <n v="9"/>
    <n v="1847.7777777777778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7"/>
    <n v="7"/>
    <n v="1898.5714285714287"/>
    <n v="7"/>
    <n v="1898.5714285714287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8"/>
    <n v="4"/>
    <n v="1856.25"/>
    <n v="4"/>
    <n v="1856.25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9"/>
    <n v="2"/>
    <n v="1870"/>
    <n v="2"/>
    <n v="1870"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0"/>
    <m/>
    <m/>
    <m/>
    <m/>
  </r>
  <r>
    <x v="10"/>
    <n v="5"/>
    <n v="1925"/>
    <n v="5"/>
    <n v="1925"/>
  </r>
  <r>
    <x v="0"/>
    <m/>
    <m/>
    <m/>
    <m/>
  </r>
  <r>
    <x v="0"/>
    <m/>
    <m/>
    <m/>
    <m/>
  </r>
  <r>
    <x v="0"/>
    <m/>
    <m/>
    <m/>
    <m/>
  </r>
  <r>
    <x v="11"/>
    <n v="8"/>
    <n v="1915"/>
    <n v="8"/>
    <n v="19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">
  <r>
    <x v="0"/>
    <n v="2"/>
    <n v="0"/>
    <n v="2"/>
    <n v="0"/>
    <n v="1725"/>
    <s v=""/>
  </r>
  <r>
    <x v="0"/>
    <n v="2"/>
    <n v="2"/>
    <n v="4"/>
    <n v="2"/>
    <n v="1557.5"/>
    <n v="887.5"/>
  </r>
  <r>
    <x v="0"/>
    <n v="1"/>
    <n v="1"/>
    <n v="5"/>
    <n v="3"/>
    <n v="1480"/>
    <s v=""/>
  </r>
  <r>
    <x v="0"/>
    <n v="0"/>
    <n v="1"/>
    <n v="5"/>
    <n v="4"/>
    <s v=""/>
    <n v="1195"/>
  </r>
  <r>
    <x v="0"/>
    <n v="0"/>
    <n v="0"/>
    <n v="5"/>
    <n v="4"/>
    <s v=""/>
    <s v=""/>
  </r>
  <r>
    <x v="0"/>
    <n v="0"/>
    <n v="0"/>
    <n v="5"/>
    <n v="4"/>
    <s v=""/>
    <s v=""/>
  </r>
  <r>
    <x v="0"/>
    <n v="2"/>
    <n v="2"/>
    <n v="7"/>
    <n v="6"/>
    <n v="1765"/>
    <n v="1286.6666666666667"/>
  </r>
  <r>
    <x v="0"/>
    <n v="0"/>
    <n v="0"/>
    <n v="7"/>
    <n v="6"/>
    <s v=""/>
    <s v=""/>
  </r>
  <r>
    <x v="0"/>
    <n v="3"/>
    <n v="2"/>
    <n v="10"/>
    <n v="8"/>
    <n v="1691.6666666666667"/>
    <n v="1330"/>
  </r>
  <r>
    <x v="0"/>
    <n v="2"/>
    <n v="2"/>
    <n v="12"/>
    <n v="10"/>
    <n v="1792.5"/>
    <n v="1240"/>
  </r>
  <r>
    <x v="1"/>
    <n v="2"/>
    <n v="1"/>
    <n v="14"/>
    <n v="11"/>
    <n v="1640"/>
    <s v=""/>
  </r>
  <r>
    <x v="1"/>
    <n v="2"/>
    <n v="1"/>
    <n v="16"/>
    <n v="12"/>
    <n v="1752.5"/>
    <n v="1325"/>
  </r>
  <r>
    <x v="1"/>
    <n v="1"/>
    <n v="1"/>
    <n v="17"/>
    <n v="13"/>
    <n v="1780"/>
    <n v="1350"/>
  </r>
  <r>
    <x v="1"/>
    <n v="2"/>
    <n v="3"/>
    <n v="19"/>
    <n v="16"/>
    <n v="1740"/>
    <n v="1220"/>
  </r>
  <r>
    <x v="1"/>
    <n v="2"/>
    <n v="2"/>
    <n v="21"/>
    <n v="18"/>
    <n v="2035"/>
    <n v="1260"/>
  </r>
  <r>
    <x v="1"/>
    <n v="1"/>
    <n v="0"/>
    <n v="22"/>
    <n v="18"/>
    <n v="1950"/>
    <s v=""/>
  </r>
  <r>
    <x v="1"/>
    <n v="1"/>
    <n v="1"/>
    <n v="23"/>
    <n v="19"/>
    <n v="1815"/>
    <s v=""/>
  </r>
  <r>
    <x v="1"/>
    <n v="0"/>
    <n v="1"/>
    <n v="23"/>
    <n v="20"/>
    <s v=""/>
    <n v="1562.5"/>
  </r>
  <r>
    <x v="1"/>
    <n v="2"/>
    <n v="2"/>
    <n v="25"/>
    <n v="22"/>
    <n v="1990"/>
    <n v="1235"/>
  </r>
  <r>
    <x v="1"/>
    <n v="3"/>
    <n v="1"/>
    <n v="28"/>
    <n v="23"/>
    <n v="1961.6666666666667"/>
    <n v="1350"/>
  </r>
  <r>
    <x v="2"/>
    <n v="1"/>
    <n v="2"/>
    <n v="29"/>
    <n v="25"/>
    <n v="1875"/>
    <n v="1167.5"/>
  </r>
  <r>
    <x v="2"/>
    <n v="1"/>
    <n v="1"/>
    <n v="30"/>
    <n v="26"/>
    <n v="1490"/>
    <s v=""/>
  </r>
  <r>
    <x v="2"/>
    <n v="2"/>
    <n v="1"/>
    <n v="32"/>
    <n v="27"/>
    <n v="1900"/>
    <s v=""/>
  </r>
  <r>
    <x v="2"/>
    <n v="0"/>
    <n v="0"/>
    <n v="32"/>
    <n v="27"/>
    <s v=""/>
    <s v=""/>
  </r>
  <r>
    <x v="2"/>
    <n v="0"/>
    <n v="0"/>
    <n v="32"/>
    <n v="27"/>
    <s v=""/>
    <s v=""/>
  </r>
  <r>
    <x v="2"/>
    <n v="0"/>
    <n v="0"/>
    <n v="32"/>
    <n v="27"/>
    <s v=""/>
    <n v="1805"/>
  </r>
  <r>
    <x v="2"/>
    <n v="2"/>
    <n v="0"/>
    <n v="34"/>
    <n v="27"/>
    <n v="1837.5"/>
    <s v=""/>
  </r>
  <r>
    <x v="2"/>
    <n v="1"/>
    <n v="2"/>
    <n v="35"/>
    <n v="29"/>
    <n v="1800"/>
    <n v="1102.5"/>
  </r>
  <r>
    <x v="2"/>
    <n v="1"/>
    <n v="2"/>
    <n v="36"/>
    <n v="31"/>
    <n v="1775"/>
    <n v="1490"/>
  </r>
  <r>
    <x v="2"/>
    <n v="0"/>
    <n v="0"/>
    <n v="36"/>
    <n v="31"/>
    <s v=""/>
    <s v=""/>
  </r>
  <r>
    <x v="3"/>
    <n v="1"/>
    <n v="1"/>
    <n v="37"/>
    <n v="32"/>
    <n v="1525"/>
    <n v="975"/>
  </r>
  <r>
    <x v="3"/>
    <n v="0"/>
    <n v="0"/>
    <n v="37"/>
    <n v="32"/>
    <s v=""/>
    <s v=""/>
  </r>
  <r>
    <x v="3"/>
    <n v="0"/>
    <n v="0"/>
    <n v="37"/>
    <n v="32"/>
    <s v=""/>
    <s v=""/>
  </r>
  <r>
    <x v="3"/>
    <n v="1"/>
    <n v="0"/>
    <n v="38"/>
    <n v="32"/>
    <n v="1740"/>
    <s v=""/>
  </r>
  <r>
    <x v="3"/>
    <n v="0"/>
    <n v="0"/>
    <n v="38"/>
    <n v="32"/>
    <s v=""/>
    <s v=""/>
  </r>
  <r>
    <x v="3"/>
    <n v="2"/>
    <n v="2"/>
    <n v="40"/>
    <n v="34"/>
    <n v="1822.5"/>
    <n v="1327.5"/>
  </r>
  <r>
    <x v="3"/>
    <n v="1"/>
    <n v="1"/>
    <n v="41"/>
    <n v="35"/>
    <n v="1830"/>
    <n v="1410"/>
  </r>
  <r>
    <x v="3"/>
    <n v="2"/>
    <n v="1"/>
    <n v="43"/>
    <n v="36"/>
    <n v="1762.5"/>
    <n v="1345"/>
  </r>
  <r>
    <x v="3"/>
    <n v="0"/>
    <n v="1"/>
    <n v="43"/>
    <n v="37"/>
    <s v=""/>
    <n v="1500"/>
  </r>
  <r>
    <x v="3"/>
    <n v="0"/>
    <n v="1"/>
    <n v="43"/>
    <n v="38"/>
    <s v=""/>
    <n v="1517.5"/>
  </r>
  <r>
    <x v="4"/>
    <n v="1"/>
    <n v="2"/>
    <n v="44"/>
    <n v="40"/>
    <n v="1765"/>
    <n v="1350"/>
  </r>
  <r>
    <x v="4"/>
    <n v="2"/>
    <n v="1"/>
    <n v="46"/>
    <n v="41"/>
    <n v="1867.5"/>
    <n v="1510"/>
  </r>
  <r>
    <x v="4"/>
    <n v="1"/>
    <n v="1"/>
    <n v="47"/>
    <n v="42"/>
    <n v="2130"/>
    <n v="1215"/>
  </r>
  <r>
    <x v="4"/>
    <n v="1"/>
    <n v="2"/>
    <n v="48"/>
    <n v="44"/>
    <n v="1680"/>
    <n v="1411.6666666666667"/>
  </r>
  <r>
    <x v="4"/>
    <n v="2"/>
    <n v="2"/>
    <n v="50"/>
    <n v="46"/>
    <n v="1852.5"/>
    <n v="1410"/>
  </r>
  <r>
    <x v="4"/>
    <n v="0"/>
    <n v="1"/>
    <n v="50"/>
    <n v="47"/>
    <s v=""/>
    <n v="1785"/>
  </r>
  <r>
    <x v="4"/>
    <n v="1"/>
    <n v="2"/>
    <n v="51"/>
    <n v="49"/>
    <n v="1635"/>
    <n v="1330"/>
  </r>
  <r>
    <x v="4"/>
    <n v="0"/>
    <n v="1"/>
    <n v="51"/>
    <n v="50"/>
    <s v=""/>
    <n v="1705"/>
  </r>
  <r>
    <x v="4"/>
    <n v="2"/>
    <n v="1"/>
    <n v="53"/>
    <n v="51"/>
    <n v="2070"/>
    <n v="1110"/>
  </r>
  <r>
    <x v="4"/>
    <n v="0"/>
    <n v="1"/>
    <n v="53"/>
    <n v="52"/>
    <s v=""/>
    <n v="1505"/>
  </r>
  <r>
    <x v="5"/>
    <n v="2"/>
    <n v="1"/>
    <n v="55"/>
    <n v="53"/>
    <n v="1905"/>
    <n v="1250"/>
  </r>
  <r>
    <x v="5"/>
    <n v="0"/>
    <n v="1"/>
    <n v="55"/>
    <n v="54"/>
    <s v=""/>
    <n v="1325"/>
  </r>
  <r>
    <x v="5"/>
    <n v="0"/>
    <n v="1"/>
    <n v="55"/>
    <n v="55"/>
    <s v=""/>
    <n v="1260"/>
  </r>
  <r>
    <x v="5"/>
    <n v="0"/>
    <n v="1"/>
    <n v="55"/>
    <n v="56"/>
    <s v=""/>
    <n v="1395"/>
  </r>
  <r>
    <x v="5"/>
    <n v="1"/>
    <n v="0"/>
    <n v="56"/>
    <n v="56"/>
    <n v="1890"/>
    <n v="1415"/>
  </r>
  <r>
    <x v="5"/>
    <n v="1"/>
    <n v="1"/>
    <n v="57"/>
    <n v="57"/>
    <n v="1725"/>
    <n v="865"/>
  </r>
  <r>
    <x v="5"/>
    <n v="0"/>
    <n v="0"/>
    <n v="57"/>
    <n v="57"/>
    <s v=""/>
    <s v=""/>
  </r>
  <r>
    <x v="5"/>
    <n v="1"/>
    <n v="1"/>
    <n v="58"/>
    <n v="58"/>
    <n v="1805"/>
    <n v="1155"/>
  </r>
  <r>
    <x v="5"/>
    <n v="0"/>
    <n v="0"/>
    <n v="58"/>
    <n v="58"/>
    <s v=""/>
    <s v=""/>
  </r>
  <r>
    <x v="5"/>
    <n v="0"/>
    <n v="0"/>
    <n v="58"/>
    <n v="58"/>
    <s v=""/>
    <s v=""/>
  </r>
  <r>
    <x v="6"/>
    <n v="1"/>
    <n v="1"/>
    <n v="59"/>
    <n v="59"/>
    <n v="1935"/>
    <n v="1297.5"/>
  </r>
  <r>
    <x v="6"/>
    <n v="0"/>
    <n v="0"/>
    <n v="59"/>
    <n v="59"/>
    <s v=""/>
    <s v=""/>
  </r>
  <r>
    <x v="6"/>
    <n v="0"/>
    <n v="0"/>
    <n v="59"/>
    <n v="59"/>
    <s v=""/>
    <s v=""/>
  </r>
  <r>
    <x v="6"/>
    <n v="0"/>
    <n v="0"/>
    <n v="59"/>
    <n v="59"/>
    <s v=""/>
    <s v=""/>
  </r>
  <r>
    <x v="6"/>
    <n v="1"/>
    <n v="0"/>
    <n v="60"/>
    <n v="59"/>
    <n v="2085"/>
    <s v=""/>
  </r>
  <r>
    <x v="6"/>
    <n v="0"/>
    <n v="0"/>
    <n v="60"/>
    <n v="59"/>
    <s v=""/>
    <s v=""/>
  </r>
  <r>
    <x v="6"/>
    <n v="1"/>
    <n v="1"/>
    <n v="61"/>
    <n v="60"/>
    <n v="1740"/>
    <n v="1460"/>
  </r>
  <r>
    <x v="6"/>
    <n v="0"/>
    <n v="0"/>
    <n v="61"/>
    <n v="60"/>
    <s v=""/>
    <s v=""/>
  </r>
  <r>
    <x v="6"/>
    <n v="1"/>
    <n v="1"/>
    <n v="62"/>
    <n v="61"/>
    <n v="2095"/>
    <n v="1335"/>
  </r>
  <r>
    <x v="6"/>
    <n v="1"/>
    <n v="1"/>
    <n v="63"/>
    <n v="62"/>
    <n v="1860"/>
    <n v="1235"/>
  </r>
  <r>
    <x v="7"/>
    <n v="1"/>
    <n v="2"/>
    <n v="64"/>
    <n v="64"/>
    <n v="1845"/>
    <n v="1335"/>
  </r>
  <r>
    <x v="7"/>
    <n v="3"/>
    <n v="1"/>
    <n v="67"/>
    <n v="65"/>
    <n v="1913.3333333333333"/>
    <n v="1325"/>
  </r>
  <r>
    <x v="7"/>
    <n v="0"/>
    <n v="1"/>
    <n v="67"/>
    <n v="66"/>
    <s v=""/>
    <n v="1275"/>
  </r>
  <r>
    <x v="7"/>
    <n v="1"/>
    <n v="2"/>
    <n v="68"/>
    <n v="68"/>
    <n v="1830"/>
    <n v="1305"/>
  </r>
  <r>
    <x v="7"/>
    <n v="1"/>
    <n v="1"/>
    <n v="69"/>
    <n v="69"/>
    <n v="1950"/>
    <n v="1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Q21:AR30" firstHeaderRow="1" firstDataRow="1" firstDataCol="1"/>
  <pivotFields count="7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Learn Time" fld="5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Z18:AB32" firstHeaderRow="1" firstDataRow="2" firstDataCol="1"/>
  <pivotFields count="3"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Sum of Averag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1000000}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Z36:AB50" firstHeaderRow="1" firstDataRow="2" firstDataCol="1"/>
  <pivotFields count="5"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9" fld="3" baseField="0" baseItem="0"/>
    <dataField name="Sum of Average9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F11" totalsRowShown="0" headerRowDxfId="15" dataDxfId="14">
  <autoFilter ref="B4:F11" xr:uid="{00000000-0009-0000-0100-000001000000}"/>
  <tableColumns count="5">
    <tableColumn id="1" xr3:uid="{00000000-0010-0000-0000-000001000000}" name="Column1" dataDxfId="13"/>
    <tableColumn id="2" xr3:uid="{00000000-0010-0000-0000-000002000000}" name="Ebbinghaus" dataDxfId="12"/>
    <tableColumn id="3" xr3:uid="{00000000-0010-0000-0000-000003000000}" name="Mack" dataDxfId="11"/>
    <tableColumn id="4" xr3:uid="{00000000-0010-0000-0000-000004000000}" name="Seitz" dataDxfId="10"/>
    <tableColumn id="5" xr3:uid="{00000000-0010-0000-0000-000005000000}" name="Drost" dataDxfId="9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H4:N11" totalsRowShown="0" headerRowDxfId="8" dataDxfId="7">
  <autoFilter ref="H4:N11" xr:uid="{00000000-0009-0000-0100-000002000000}"/>
  <tableColumns count="7">
    <tableColumn id="1" xr3:uid="{00000000-0010-0000-0100-000001000000}" name="Column1" dataDxfId="6"/>
    <tableColumn id="2" xr3:uid="{00000000-0010-0000-0100-000002000000}" name="n" dataDxfId="5"/>
    <tableColumn id="3" xr3:uid="{00000000-0010-0000-0100-000003000000}" name="Learning" dataDxfId="4"/>
    <tableColumn id="4" xr3:uid="{00000000-0010-0000-0100-000004000000}" name="SD" dataDxfId="3"/>
    <tableColumn id="5" xr3:uid="{00000000-0010-0000-0100-000005000000}" name="n2" dataDxfId="2"/>
    <tableColumn id="6" xr3:uid="{00000000-0010-0000-0100-000006000000}" name="Relearning" dataDxfId="1"/>
    <tableColumn id="7" xr3:uid="{00000000-0010-0000-0100-000007000000}" name="SD4" dataDxfId="0"/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workbookViewId="0">
      <selection activeCell="B7" sqref="B7"/>
    </sheetView>
  </sheetViews>
  <sheetFormatPr defaultRowHeight="14.5" x14ac:dyDescent="0.35"/>
  <cols>
    <col min="1" max="1" width="8.08984375" customWidth="1"/>
    <col min="2" max="2" width="26.6328125" style="317" customWidth="1"/>
  </cols>
  <sheetData>
    <row r="1" spans="1:2" x14ac:dyDescent="0.35">
      <c r="A1" s="61" t="s">
        <v>241</v>
      </c>
    </row>
    <row r="2" spans="1:2" ht="29" x14ac:dyDescent="0.35">
      <c r="A2" s="318">
        <v>1.1000000000000001</v>
      </c>
      <c r="B2" s="317" t="s">
        <v>242</v>
      </c>
    </row>
    <row r="3" spans="1:2" x14ac:dyDescent="0.35">
      <c r="A3">
        <v>1.2</v>
      </c>
      <c r="B3" s="317" t="s">
        <v>252</v>
      </c>
    </row>
    <row r="4" spans="1:2" x14ac:dyDescent="0.35">
      <c r="A4">
        <v>1.3</v>
      </c>
      <c r="B4" s="317" t="s">
        <v>252</v>
      </c>
    </row>
    <row r="5" spans="1:2" ht="72.5" x14ac:dyDescent="0.35">
      <c r="A5" s="318">
        <v>1.4</v>
      </c>
      <c r="B5" s="317" t="s">
        <v>253</v>
      </c>
    </row>
    <row r="6" spans="1:2" ht="58" x14ac:dyDescent="0.35">
      <c r="A6" s="337">
        <v>1.5</v>
      </c>
      <c r="B6" s="317" t="s">
        <v>271</v>
      </c>
    </row>
    <row r="7" spans="1:2" ht="87" x14ac:dyDescent="0.35">
      <c r="A7" s="337">
        <v>1.7</v>
      </c>
      <c r="B7" s="317" t="s">
        <v>272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B1:CA35"/>
  <sheetViews>
    <sheetView topLeftCell="BF1" workbookViewId="0">
      <selection activeCell="BL23" sqref="BL23"/>
    </sheetView>
  </sheetViews>
  <sheetFormatPr defaultRowHeight="14.5" x14ac:dyDescent="0.35"/>
  <cols>
    <col min="2" max="2" width="11.1796875" customWidth="1"/>
    <col min="3" max="3" width="13.6328125" customWidth="1"/>
    <col min="8" max="8" width="10.08984375" customWidth="1"/>
    <col min="16" max="16" width="9.90625" bestFit="1" customWidth="1"/>
    <col min="17" max="17" width="7.54296875" customWidth="1"/>
    <col min="18" max="19" width="5" customWidth="1"/>
    <col min="20" max="20" width="5.54296875" customWidth="1"/>
    <col min="21" max="22" width="5" customWidth="1"/>
    <col min="23" max="23" width="5.54296875" customWidth="1"/>
    <col min="24" max="25" width="5" customWidth="1"/>
    <col min="26" max="26" width="5.54296875" customWidth="1"/>
    <col min="27" max="28" width="5" customWidth="1"/>
    <col min="29" max="29" width="5.54296875" customWidth="1"/>
    <col min="30" max="31" width="5" customWidth="1"/>
    <col min="32" max="32" width="5.54296875" customWidth="1"/>
    <col min="33" max="34" width="5" customWidth="1"/>
    <col min="35" max="35" width="12.36328125" customWidth="1"/>
    <col min="36" max="36" width="5" customWidth="1"/>
    <col min="37" max="37" width="8.453125" customWidth="1"/>
    <col min="38" max="38" width="6.1796875" customWidth="1"/>
    <col min="41" max="41" width="10.54296875" customWidth="1"/>
    <col min="58" max="58" width="7.453125" customWidth="1"/>
    <col min="59" max="59" width="12.6328125" customWidth="1"/>
    <col min="60" max="60" width="12.54296875" customWidth="1"/>
    <col min="61" max="61" width="13.1796875" customWidth="1"/>
    <col min="62" max="62" width="12.54296875" customWidth="1"/>
    <col min="63" max="63" width="9.54296875" bestFit="1" customWidth="1"/>
    <col min="66" max="66" width="10.1796875" customWidth="1"/>
    <col min="67" max="68" width="12.453125" customWidth="1"/>
    <col min="69" max="70" width="12.90625" customWidth="1"/>
    <col min="71" max="71" width="9.90625" customWidth="1"/>
    <col min="75" max="75" width="10.08984375" customWidth="1"/>
  </cols>
  <sheetData>
    <row r="1" spans="2:79" x14ac:dyDescent="0.35">
      <c r="BV1" s="61" t="s">
        <v>236</v>
      </c>
      <c r="BW1" s="61"/>
      <c r="BX1" s="61"/>
      <c r="BY1" s="61"/>
      <c r="BZ1" s="61"/>
      <c r="CA1" s="61"/>
    </row>
    <row r="2" spans="2:79" x14ac:dyDescent="0.35">
      <c r="B2" s="61" t="s">
        <v>218</v>
      </c>
      <c r="H2" s="61" t="s">
        <v>219</v>
      </c>
    </row>
    <row r="3" spans="2:79" ht="15.5" x14ac:dyDescent="0.35">
      <c r="H3" s="25"/>
      <c r="I3" s="395"/>
      <c r="J3" s="395"/>
      <c r="K3" s="395"/>
      <c r="L3" s="395"/>
      <c r="M3" s="395"/>
      <c r="N3" s="395"/>
      <c r="R3" s="390" t="s">
        <v>133</v>
      </c>
      <c r="S3" s="390"/>
      <c r="T3" s="390"/>
      <c r="U3" s="390" t="s">
        <v>43</v>
      </c>
      <c r="V3" s="390"/>
      <c r="W3" s="390"/>
      <c r="X3" s="390" t="s">
        <v>44</v>
      </c>
      <c r="Y3" s="390"/>
      <c r="Z3" s="390"/>
      <c r="AA3" s="390" t="s">
        <v>45</v>
      </c>
      <c r="AB3" s="390"/>
      <c r="AC3" s="390"/>
      <c r="AD3" s="390" t="s">
        <v>46</v>
      </c>
      <c r="AE3" s="390"/>
      <c r="AF3" s="390"/>
      <c r="AG3" s="390" t="s">
        <v>48</v>
      </c>
      <c r="AH3" s="390"/>
      <c r="AI3" s="390"/>
      <c r="AJ3" s="390" t="s">
        <v>49</v>
      </c>
      <c r="AK3" s="390"/>
      <c r="AL3" s="390"/>
      <c r="AO3" s="390" t="s">
        <v>133</v>
      </c>
      <c r="AP3" s="390"/>
      <c r="AQ3" s="390" t="s">
        <v>43</v>
      </c>
      <c r="AR3" s="390"/>
      <c r="AS3" s="390" t="s">
        <v>44</v>
      </c>
      <c r="AT3" s="390"/>
      <c r="AU3" s="390" t="s">
        <v>45</v>
      </c>
      <c r="AV3" s="390"/>
      <c r="AW3" s="390" t="s">
        <v>46</v>
      </c>
      <c r="AX3" s="390"/>
      <c r="AY3" s="390" t="s">
        <v>48</v>
      </c>
      <c r="AZ3" s="390"/>
      <c r="BA3" s="390" t="s">
        <v>49</v>
      </c>
      <c r="BB3" s="390"/>
      <c r="BF3" s="28"/>
      <c r="BG3" s="28" t="s">
        <v>62</v>
      </c>
      <c r="BH3" s="28" t="s">
        <v>24</v>
      </c>
      <c r="BI3" s="28" t="s">
        <v>25</v>
      </c>
      <c r="BJ3" s="28" t="s">
        <v>143</v>
      </c>
      <c r="BK3" s="28" t="s">
        <v>167</v>
      </c>
      <c r="BN3" s="328"/>
      <c r="BO3" s="328" t="s">
        <v>62</v>
      </c>
      <c r="BP3" s="328" t="s">
        <v>24</v>
      </c>
      <c r="BQ3" s="328" t="s">
        <v>25</v>
      </c>
      <c r="BR3" s="328" t="s">
        <v>143</v>
      </c>
      <c r="BS3" s="328" t="s">
        <v>167</v>
      </c>
      <c r="BV3" s="28"/>
      <c r="BW3" s="28" t="s">
        <v>62</v>
      </c>
      <c r="BX3" s="28" t="s">
        <v>24</v>
      </c>
      <c r="BY3" s="28" t="s">
        <v>25</v>
      </c>
      <c r="BZ3" s="28" t="s">
        <v>143</v>
      </c>
      <c r="CA3" s="28" t="s">
        <v>167</v>
      </c>
    </row>
    <row r="4" spans="2:79" ht="15.5" x14ac:dyDescent="0.35">
      <c r="B4" s="303" t="s">
        <v>214</v>
      </c>
      <c r="C4" s="303" t="s">
        <v>62</v>
      </c>
      <c r="D4" s="303" t="s">
        <v>24</v>
      </c>
      <c r="E4" s="303" t="s">
        <v>25</v>
      </c>
      <c r="F4" s="303" t="s">
        <v>143</v>
      </c>
      <c r="H4" s="25" t="s">
        <v>214</v>
      </c>
      <c r="I4" s="305" t="s">
        <v>216</v>
      </c>
      <c r="J4" s="25" t="s">
        <v>121</v>
      </c>
      <c r="K4" s="25" t="s">
        <v>123</v>
      </c>
      <c r="L4" s="25" t="s">
        <v>217</v>
      </c>
      <c r="M4" s="25" t="s">
        <v>122</v>
      </c>
      <c r="N4" s="25" t="s">
        <v>215</v>
      </c>
      <c r="P4" s="14" t="s">
        <v>186</v>
      </c>
      <c r="R4" t="s">
        <v>220</v>
      </c>
      <c r="S4" t="s">
        <v>221</v>
      </c>
      <c r="T4" t="s">
        <v>222</v>
      </c>
      <c r="U4" s="1" t="s">
        <v>220</v>
      </c>
      <c r="V4" t="s">
        <v>221</v>
      </c>
      <c r="W4" t="s">
        <v>222</v>
      </c>
      <c r="X4" t="s">
        <v>220</v>
      </c>
      <c r="Y4" t="s">
        <v>221</v>
      </c>
      <c r="Z4" t="s">
        <v>222</v>
      </c>
      <c r="AA4" t="s">
        <v>220</v>
      </c>
      <c r="AB4" t="s">
        <v>221</v>
      </c>
      <c r="AC4" t="s">
        <v>222</v>
      </c>
      <c r="AD4" t="s">
        <v>220</v>
      </c>
      <c r="AE4" t="s">
        <v>221</v>
      </c>
      <c r="AF4" t="s">
        <v>222</v>
      </c>
      <c r="AG4" t="s">
        <v>220</v>
      </c>
      <c r="AH4" t="s">
        <v>221</v>
      </c>
      <c r="AI4" t="s">
        <v>222</v>
      </c>
      <c r="AJ4" t="s">
        <v>220</v>
      </c>
      <c r="AK4" t="s">
        <v>221</v>
      </c>
      <c r="AL4" t="s">
        <v>222</v>
      </c>
      <c r="AP4" t="s">
        <v>122</v>
      </c>
      <c r="AQ4" t="s">
        <v>121</v>
      </c>
      <c r="AR4" t="s">
        <v>122</v>
      </c>
      <c r="AS4" t="s">
        <v>121</v>
      </c>
      <c r="AT4" t="s">
        <v>122</v>
      </c>
      <c r="AU4" t="s">
        <v>121</v>
      </c>
      <c r="AV4" t="s">
        <v>122</v>
      </c>
      <c r="AW4" t="s">
        <v>121</v>
      </c>
      <c r="AX4" t="s">
        <v>122</v>
      </c>
      <c r="AY4" t="s">
        <v>121</v>
      </c>
      <c r="AZ4" t="s">
        <v>122</v>
      </c>
      <c r="BA4" t="s">
        <v>121</v>
      </c>
      <c r="BB4" t="s">
        <v>122</v>
      </c>
      <c r="BF4" s="393" t="s">
        <v>211</v>
      </c>
      <c r="BG4" s="393"/>
      <c r="BH4" s="393"/>
      <c r="BI4" s="393"/>
      <c r="BJ4" s="393"/>
      <c r="BK4" s="393"/>
      <c r="BN4" s="329" t="s">
        <v>211</v>
      </c>
      <c r="BO4" s="329"/>
      <c r="BP4" s="329"/>
      <c r="BQ4" s="329"/>
      <c r="BR4" s="329"/>
      <c r="BS4" s="329"/>
      <c r="BV4" s="385" t="s">
        <v>237</v>
      </c>
      <c r="BW4" s="385"/>
      <c r="BX4" s="385"/>
      <c r="BY4" s="385"/>
      <c r="BZ4" s="385"/>
      <c r="CA4" s="385"/>
    </row>
    <row r="5" spans="2:79" ht="17.5" x14ac:dyDescent="0.45">
      <c r="B5" s="303" t="s">
        <v>133</v>
      </c>
      <c r="C5" s="303">
        <v>0.58200000000000007</v>
      </c>
      <c r="D5" s="304">
        <v>0.54430379746835433</v>
      </c>
      <c r="E5" s="304">
        <v>0.44206008583690987</v>
      </c>
      <c r="F5" s="316">
        <v>0.47167729999999997</v>
      </c>
      <c r="H5" s="25" t="s">
        <v>133</v>
      </c>
      <c r="I5" s="279">
        <v>10</v>
      </c>
      <c r="J5" s="25">
        <v>30.771000000000001</v>
      </c>
      <c r="K5" s="25">
        <v>2.8982160000000001</v>
      </c>
      <c r="L5" s="279">
        <v>10</v>
      </c>
      <c r="M5" s="25">
        <v>16.257999999999999</v>
      </c>
      <c r="N5" s="25">
        <v>2.2706770000000001</v>
      </c>
      <c r="P5">
        <v>1</v>
      </c>
      <c r="Q5">
        <v>1</v>
      </c>
      <c r="R5">
        <v>1405</v>
      </c>
      <c r="S5">
        <v>670</v>
      </c>
      <c r="T5" s="271">
        <v>0.52313167259786475</v>
      </c>
      <c r="U5">
        <v>1690</v>
      </c>
      <c r="V5">
        <v>1280</v>
      </c>
      <c r="W5" s="271">
        <v>0.24260355029585798</v>
      </c>
      <c r="X5">
        <v>1815</v>
      </c>
      <c r="Y5">
        <v>1240</v>
      </c>
      <c r="Z5" s="271">
        <v>0.3168044077134986</v>
      </c>
      <c r="AA5">
        <v>1670</v>
      </c>
      <c r="AB5">
        <v>1105</v>
      </c>
      <c r="AC5" s="271">
        <v>0.33832335329341318</v>
      </c>
      <c r="AD5">
        <v>1710</v>
      </c>
      <c r="AE5">
        <v>1195</v>
      </c>
      <c r="AF5" s="271">
        <v>0.30116959064327486</v>
      </c>
      <c r="AG5">
        <v>1780</v>
      </c>
      <c r="AH5">
        <v>1370</v>
      </c>
      <c r="AI5" s="271">
        <v>0.2303370786516854</v>
      </c>
      <c r="AJ5">
        <v>1480</v>
      </c>
      <c r="AK5">
        <v>1380</v>
      </c>
      <c r="AL5" s="271">
        <v>6.7567567567567571E-2</v>
      </c>
      <c r="AN5">
        <v>1</v>
      </c>
      <c r="AO5">
        <v>1405</v>
      </c>
      <c r="AP5">
        <v>670</v>
      </c>
      <c r="AQ5">
        <v>1690</v>
      </c>
      <c r="AR5">
        <v>1280</v>
      </c>
      <c r="AS5">
        <v>1815</v>
      </c>
      <c r="AT5">
        <v>1240</v>
      </c>
      <c r="AU5">
        <v>1670</v>
      </c>
      <c r="AV5">
        <v>1105</v>
      </c>
      <c r="AW5">
        <v>1710</v>
      </c>
      <c r="AX5">
        <v>1195</v>
      </c>
      <c r="AY5">
        <v>1780</v>
      </c>
      <c r="AZ5">
        <v>1370</v>
      </c>
      <c r="BA5">
        <v>1480</v>
      </c>
      <c r="BB5">
        <v>1380</v>
      </c>
      <c r="BF5" s="330" t="s">
        <v>247</v>
      </c>
      <c r="BG5" s="331">
        <f>'Data fits from Mathematica'!P10</f>
        <v>1.4</v>
      </c>
      <c r="BH5" s="331">
        <f>'Data fits from Mathematica'!Q10</f>
        <v>0.96499999999999997</v>
      </c>
      <c r="BI5" s="331">
        <f>'Data fits from Mathematica'!R10</f>
        <v>0.82199999999999995</v>
      </c>
      <c r="BJ5" s="331">
        <f>'Data fits from Mathematica'!S10</f>
        <v>1.56</v>
      </c>
      <c r="BK5" s="331"/>
      <c r="BN5" s="330" t="s">
        <v>223</v>
      </c>
      <c r="BO5" s="331">
        <v>1.3983105974858652</v>
      </c>
      <c r="BP5" s="331">
        <v>0.9651441259204292</v>
      </c>
      <c r="BQ5" s="331">
        <v>0.82200785301843549</v>
      </c>
      <c r="BR5" s="331">
        <v>1.5557888278516183</v>
      </c>
      <c r="BS5" s="331"/>
      <c r="BV5" s="306" t="s">
        <v>226</v>
      </c>
      <c r="BW5" s="271">
        <f>'Data fits from Mathematica'!BM10</f>
        <v>0.52300000000000002</v>
      </c>
      <c r="BX5" s="271">
        <f>'Data fits from Mathematica'!BN10</f>
        <v>0.32500000000000001</v>
      </c>
      <c r="BY5" s="271">
        <f>'Data fits from Mathematica'!BO10</f>
        <v>0.248</v>
      </c>
      <c r="BZ5" s="271">
        <f>'Data fits from Mathematica'!BP10</f>
        <v>0.51600000000000001</v>
      </c>
      <c r="CA5" s="271"/>
    </row>
    <row r="6" spans="2:79" ht="17.5" x14ac:dyDescent="0.45">
      <c r="B6" s="303" t="s">
        <v>43</v>
      </c>
      <c r="C6" s="303">
        <v>0.442</v>
      </c>
      <c r="D6" s="304">
        <v>0.43190661478599224</v>
      </c>
      <c r="E6" s="304">
        <v>0.32489451476793252</v>
      </c>
      <c r="F6" s="316">
        <v>0.37290899999999999</v>
      </c>
      <c r="H6" s="25" t="s">
        <v>43</v>
      </c>
      <c r="I6" s="279">
        <v>10</v>
      </c>
      <c r="J6" s="25">
        <v>30.638999999999999</v>
      </c>
      <c r="K6" s="25">
        <v>2.2832110000000001</v>
      </c>
      <c r="L6" s="279">
        <v>10</v>
      </c>
      <c r="M6" s="25">
        <v>19.216000000000001</v>
      </c>
      <c r="N6" s="25">
        <v>1.560778</v>
      </c>
      <c r="P6">
        <v>2</v>
      </c>
      <c r="Q6">
        <v>2</v>
      </c>
      <c r="R6">
        <v>1840</v>
      </c>
      <c r="S6">
        <v>1210</v>
      </c>
      <c r="T6" s="271">
        <v>0.34239130434782611</v>
      </c>
      <c r="U6">
        <v>1790</v>
      </c>
      <c r="V6">
        <v>1330</v>
      </c>
      <c r="W6" s="271">
        <v>0.25698324022346369</v>
      </c>
      <c r="X6">
        <v>1780</v>
      </c>
      <c r="Y6">
        <v>1350</v>
      </c>
      <c r="Z6" s="271">
        <v>0.24157303370786518</v>
      </c>
      <c r="AA6">
        <v>1840</v>
      </c>
      <c r="AB6">
        <v>1325</v>
      </c>
      <c r="AC6" s="271">
        <v>0.27989130434782611</v>
      </c>
      <c r="AD6">
        <v>1635</v>
      </c>
      <c r="AE6">
        <v>1340</v>
      </c>
      <c r="AF6" s="271">
        <v>0.18042813455657492</v>
      </c>
      <c r="AG6">
        <v>1605</v>
      </c>
      <c r="AH6">
        <v>1560</v>
      </c>
      <c r="AI6" s="271">
        <v>2.8037383177570093E-2</v>
      </c>
      <c r="AJ6">
        <v>1680</v>
      </c>
      <c r="AK6">
        <v>1450</v>
      </c>
      <c r="AL6" s="271">
        <v>0.13690476190476192</v>
      </c>
      <c r="AN6">
        <v>2</v>
      </c>
      <c r="AO6">
        <v>1840</v>
      </c>
      <c r="AP6">
        <v>1210</v>
      </c>
      <c r="AQ6">
        <v>1790</v>
      </c>
      <c r="AR6">
        <v>1330</v>
      </c>
      <c r="AS6">
        <v>1780</v>
      </c>
      <c r="AT6">
        <v>1350</v>
      </c>
      <c r="AU6">
        <v>1840</v>
      </c>
      <c r="AV6">
        <v>1325</v>
      </c>
      <c r="AW6">
        <v>1635</v>
      </c>
      <c r="AX6">
        <v>1340</v>
      </c>
      <c r="AY6">
        <v>1605</v>
      </c>
      <c r="AZ6">
        <v>1560</v>
      </c>
      <c r="BA6">
        <v>1680</v>
      </c>
      <c r="BB6">
        <v>1450</v>
      </c>
      <c r="BF6" s="330" t="s">
        <v>248</v>
      </c>
      <c r="BG6" s="331">
        <f>'Data fits from Mathematica'!P11</f>
        <v>0.13</v>
      </c>
      <c r="BH6" s="331">
        <f>'Data fits from Mathematica'!Q11</f>
        <v>9.2600000000000002E-2</v>
      </c>
      <c r="BI6" s="331">
        <f>'Data fits from Mathematica'!R11</f>
        <v>9.9000000000000005E-2</v>
      </c>
      <c r="BJ6" s="331">
        <f>'Data fits from Mathematica'!S11</f>
        <v>0.16700000000000001</v>
      </c>
      <c r="BK6" s="331"/>
      <c r="BN6" s="330" t="s">
        <v>147</v>
      </c>
      <c r="BO6" s="331">
        <v>0.13035244926811415</v>
      </c>
      <c r="BP6" s="331">
        <v>9.2565903632240321E-2</v>
      </c>
      <c r="BQ6" s="331">
        <v>9.8966415387985396E-2</v>
      </c>
      <c r="BR6" s="331">
        <v>0.16688561097233134</v>
      </c>
      <c r="BS6" s="331"/>
      <c r="BV6" t="s">
        <v>227</v>
      </c>
      <c r="BW6" s="271">
        <f>'Data fits from Mathematica'!BM11</f>
        <v>0.10100000000000001</v>
      </c>
      <c r="BX6" s="271">
        <f>'Data fits from Mathematica'!BN11</f>
        <v>5.1799999999999999E-2</v>
      </c>
      <c r="BY6" s="271">
        <f>'Data fits from Mathematica'!BO11</f>
        <v>5.2499999999999998E-2</v>
      </c>
      <c r="BZ6" s="271">
        <f>'Data fits from Mathematica'!BP11</f>
        <v>0.14000000000000001</v>
      </c>
      <c r="CA6" s="271"/>
    </row>
    <row r="7" spans="2:79" ht="15.5" x14ac:dyDescent="0.35">
      <c r="B7" s="303" t="s">
        <v>44</v>
      </c>
      <c r="C7" s="303">
        <v>0.35799999999999998</v>
      </c>
      <c r="D7" s="304">
        <v>0.2851239669421487</v>
      </c>
      <c r="E7" s="304">
        <v>0.26976744186046514</v>
      </c>
      <c r="F7" s="316">
        <v>0.27644489999999999</v>
      </c>
      <c r="H7" s="25" t="s">
        <v>44</v>
      </c>
      <c r="I7" s="279">
        <v>9</v>
      </c>
      <c r="J7" s="25">
        <v>31.071110000000001</v>
      </c>
      <c r="K7" s="25">
        <v>2.076063</v>
      </c>
      <c r="L7" s="279">
        <v>9</v>
      </c>
      <c r="M7" s="25">
        <v>22.481110000000001</v>
      </c>
      <c r="N7" s="25">
        <v>2.674614</v>
      </c>
      <c r="P7">
        <v>3</v>
      </c>
      <c r="Q7">
        <v>3</v>
      </c>
      <c r="R7">
        <v>1830</v>
      </c>
      <c r="S7">
        <v>1100</v>
      </c>
      <c r="T7" s="271">
        <v>0.39890710382513661</v>
      </c>
      <c r="U7">
        <v>2070</v>
      </c>
      <c r="V7">
        <v>1235</v>
      </c>
      <c r="W7" s="271">
        <v>0.40338164251207731</v>
      </c>
      <c r="X7">
        <v>1935</v>
      </c>
      <c r="Y7">
        <v>1350</v>
      </c>
      <c r="Z7" s="271">
        <v>0.30232558139534882</v>
      </c>
      <c r="AA7">
        <v>1930</v>
      </c>
      <c r="AB7">
        <v>1205</v>
      </c>
      <c r="AC7" s="271">
        <v>0.37564766839378239</v>
      </c>
      <c r="AD7">
        <v>1950</v>
      </c>
      <c r="AE7">
        <v>1580</v>
      </c>
      <c r="AF7" s="271">
        <v>0.18974358974358974</v>
      </c>
      <c r="AG7">
        <v>1870</v>
      </c>
      <c r="AH7">
        <v>1545</v>
      </c>
      <c r="AI7" s="271">
        <v>0.17379679144385027</v>
      </c>
      <c r="AJ7">
        <v>1770</v>
      </c>
      <c r="AK7">
        <v>1530</v>
      </c>
      <c r="AL7" s="271">
        <v>0.13559322033898305</v>
      </c>
      <c r="AN7">
        <v>3</v>
      </c>
      <c r="AO7">
        <v>1830</v>
      </c>
      <c r="AP7">
        <v>1100</v>
      </c>
      <c r="AQ7">
        <v>2070</v>
      </c>
      <c r="AR7">
        <v>1235</v>
      </c>
      <c r="AS7">
        <v>1935</v>
      </c>
      <c r="AT7">
        <v>1350</v>
      </c>
      <c r="AU7">
        <v>1930</v>
      </c>
      <c r="AV7">
        <v>1205</v>
      </c>
      <c r="AW7">
        <v>1950</v>
      </c>
      <c r="AX7">
        <v>1580</v>
      </c>
      <c r="AY7">
        <v>1870</v>
      </c>
      <c r="AZ7">
        <v>1545</v>
      </c>
      <c r="BA7">
        <v>1770</v>
      </c>
      <c r="BB7">
        <v>1530</v>
      </c>
      <c r="BF7" s="328" t="s">
        <v>148</v>
      </c>
      <c r="BG7" s="332">
        <f>'Data fits from Mathematica'!P28</f>
        <v>2.4683380047850552E-3</v>
      </c>
      <c r="BH7" s="332">
        <f>'Data fits from Mathematica'!Q28</f>
        <v>1.292358967747397E-2</v>
      </c>
      <c r="BI7" s="332">
        <f>'Data fits from Mathematica'!R28</f>
        <v>5.2327957781045965E-3</v>
      </c>
      <c r="BJ7" s="332">
        <f>'Data fits from Mathematica'!S28</f>
        <v>1.6266824032753285E-2</v>
      </c>
      <c r="BK7" s="333">
        <f>'Data fits from Mathematica'!P30</f>
        <v>3.6891547493116905E-2</v>
      </c>
      <c r="BN7" s="328" t="s">
        <v>148</v>
      </c>
      <c r="BO7" s="332">
        <v>2.8461488816745053E-3</v>
      </c>
      <c r="BP7" s="332">
        <v>1.2923361011669863E-2</v>
      </c>
      <c r="BQ7" s="332">
        <v>5.2327228100148612E-3</v>
      </c>
      <c r="BR7" s="332">
        <v>1.6265098715652196E-2</v>
      </c>
      <c r="BS7" s="333">
        <v>3.7267331419011424E-2</v>
      </c>
      <c r="BV7" s="28" t="s">
        <v>148</v>
      </c>
      <c r="BW7" s="307">
        <f>'Data fits from Mathematica'!BM28</f>
        <v>1.8488205355112774E-3</v>
      </c>
      <c r="BX7" s="307">
        <f>'Data fits from Mathematica'!BN28</f>
        <v>1.0655259030861402E-2</v>
      </c>
      <c r="BY7" s="307">
        <f>'Data fits from Mathematica'!BO28</f>
        <v>4.2656556828649462E-3</v>
      </c>
      <c r="BZ7" s="307">
        <f>'Data fits from Mathematica'!BP28</f>
        <v>1.7692225274434599E-2</v>
      </c>
      <c r="CA7" s="270">
        <f>'Data fits from Mathematica'!BM30</f>
        <v>3.4461960523672223E-2</v>
      </c>
    </row>
    <row r="8" spans="2:79" ht="18.5" x14ac:dyDescent="0.35">
      <c r="B8" s="303" t="s">
        <v>45</v>
      </c>
      <c r="C8" s="303">
        <v>0.33700000000000002</v>
      </c>
      <c r="D8" s="304">
        <v>0.31598513011152418</v>
      </c>
      <c r="E8" s="304">
        <v>0.27004219409282693</v>
      </c>
      <c r="F8" s="316">
        <v>0.31678010000000001</v>
      </c>
      <c r="H8" s="25" t="s">
        <v>45</v>
      </c>
      <c r="I8" s="279">
        <v>10</v>
      </c>
      <c r="J8" s="25">
        <v>31.216000000000001</v>
      </c>
      <c r="K8" s="25">
        <v>2.3430569999999999</v>
      </c>
      <c r="L8" s="279">
        <v>10</v>
      </c>
      <c r="M8" s="25">
        <v>21.327999999999999</v>
      </c>
      <c r="N8" s="25">
        <v>2.105299</v>
      </c>
      <c r="P8">
        <v>4</v>
      </c>
      <c r="Q8">
        <v>4</v>
      </c>
      <c r="R8">
        <v>2180</v>
      </c>
      <c r="S8">
        <v>960</v>
      </c>
      <c r="T8" s="271">
        <v>0.55963302752293576</v>
      </c>
      <c r="U8">
        <v>1875</v>
      </c>
      <c r="V8">
        <v>1130</v>
      </c>
      <c r="W8" s="271">
        <v>0.39733333333333332</v>
      </c>
      <c r="X8">
        <v>1525</v>
      </c>
      <c r="Y8">
        <v>975</v>
      </c>
      <c r="Z8" s="271">
        <v>0.36065573770491804</v>
      </c>
      <c r="AA8">
        <v>1740</v>
      </c>
      <c r="AB8">
        <v>1365</v>
      </c>
      <c r="AC8" s="271">
        <v>0.21551724137931033</v>
      </c>
      <c r="AD8">
        <v>1935</v>
      </c>
      <c r="AE8">
        <v>1440</v>
      </c>
      <c r="AF8" s="271">
        <v>0.2558139534883721</v>
      </c>
      <c r="AG8">
        <v>2020</v>
      </c>
      <c r="AH8">
        <v>1805</v>
      </c>
      <c r="AI8" s="271">
        <v>0.10643564356435643</v>
      </c>
      <c r="AJ8">
        <v>1440</v>
      </c>
      <c r="AK8">
        <v>1510</v>
      </c>
      <c r="AL8" s="271">
        <v>-4.8611111111111112E-2</v>
      </c>
      <c r="AN8">
        <v>4</v>
      </c>
      <c r="AO8">
        <v>2180</v>
      </c>
      <c r="AP8">
        <v>960</v>
      </c>
      <c r="AQ8">
        <v>1875</v>
      </c>
      <c r="AR8">
        <v>1130</v>
      </c>
      <c r="AS8">
        <v>1525</v>
      </c>
      <c r="AT8">
        <v>975</v>
      </c>
      <c r="AU8">
        <v>1740</v>
      </c>
      <c r="AV8">
        <v>1365</v>
      </c>
      <c r="AW8">
        <v>1935</v>
      </c>
      <c r="AX8">
        <v>1440</v>
      </c>
      <c r="AY8">
        <v>2020</v>
      </c>
      <c r="AZ8">
        <v>1805</v>
      </c>
      <c r="BA8">
        <v>1440</v>
      </c>
      <c r="BB8">
        <v>1510</v>
      </c>
      <c r="BF8" s="330" t="s">
        <v>249</v>
      </c>
      <c r="BG8" s="331">
        <f>'Data fits from Mathematica'!P29</f>
        <v>0.97470514793733865</v>
      </c>
      <c r="BH8" s="331">
        <f>'Data fits from Mathematica'!Q29</f>
        <v>0.7839566382003873</v>
      </c>
      <c r="BI8" s="331">
        <f>'Data fits from Mathematica'!R29</f>
        <v>0.86993025781261735</v>
      </c>
      <c r="BJ8" s="331">
        <f>'Data fits from Mathematica'!S29</f>
        <v>0.8642787351827752</v>
      </c>
      <c r="BK8" s="331">
        <f>'Data fits from Mathematica'!P31</f>
        <v>0.8732176947832796</v>
      </c>
      <c r="BN8" s="330" t="s">
        <v>224</v>
      </c>
      <c r="BO8" s="331">
        <v>0.97050720484382291</v>
      </c>
      <c r="BP8" s="331">
        <v>0.78393950404057577</v>
      </c>
      <c r="BQ8" s="331">
        <v>0.86992142961076335</v>
      </c>
      <c r="BR8" s="331">
        <v>0.864334846577547</v>
      </c>
      <c r="BS8" s="331">
        <v>0.87217574626817729</v>
      </c>
      <c r="BV8" t="s">
        <v>225</v>
      </c>
      <c r="BW8" s="271">
        <f>'Data fits from Mathematica'!BM29</f>
        <v>0.98079688178550128</v>
      </c>
      <c r="BX8" s="271">
        <f>'Data fits from Mathematica'!BN29</f>
        <v>0.82131741130317448</v>
      </c>
      <c r="BY8" s="271">
        <f>'Data fits from Mathematica'!BO29</f>
        <v>0.89383632150513836</v>
      </c>
      <c r="BZ8" s="271">
        <f>'Data fits from Mathematica'!BP29</f>
        <v>0.85105938181684682</v>
      </c>
      <c r="CA8" s="271">
        <f>'Data fits from Mathematica'!BM31</f>
        <v>0.88675249910266518</v>
      </c>
    </row>
    <row r="9" spans="2:79" ht="15.5" x14ac:dyDescent="0.35">
      <c r="B9" s="303" t="s">
        <v>46</v>
      </c>
      <c r="C9" s="303">
        <v>0.27800000000000002</v>
      </c>
      <c r="D9" s="304">
        <v>0.36501901140684417</v>
      </c>
      <c r="E9" s="304">
        <v>0.28571428571428575</v>
      </c>
      <c r="F9" s="316">
        <v>0.23000399999999999</v>
      </c>
      <c r="H9" s="25" t="s">
        <v>46</v>
      </c>
      <c r="I9" s="279">
        <v>10</v>
      </c>
      <c r="J9" s="25">
        <v>31.416</v>
      </c>
      <c r="K9" s="25">
        <v>2.4947780000000002</v>
      </c>
      <c r="L9" s="279">
        <v>10</v>
      </c>
      <c r="M9" s="25">
        <v>24.19</v>
      </c>
      <c r="N9" s="25">
        <v>2.2974869999999998</v>
      </c>
      <c r="P9">
        <v>5</v>
      </c>
      <c r="Q9">
        <v>5</v>
      </c>
      <c r="R9">
        <v>1800</v>
      </c>
      <c r="S9">
        <v>840</v>
      </c>
      <c r="T9" s="271">
        <v>0.53333333333333333</v>
      </c>
      <c r="U9">
        <v>1775</v>
      </c>
      <c r="V9">
        <v>1245</v>
      </c>
      <c r="W9" s="271">
        <v>0.29859154929577464</v>
      </c>
      <c r="X9">
        <v>1770</v>
      </c>
      <c r="Y9">
        <v>1275</v>
      </c>
      <c r="Z9" s="271">
        <v>0.27966101694915252</v>
      </c>
      <c r="AA9">
        <v>1875</v>
      </c>
      <c r="AB9">
        <v>1410</v>
      </c>
      <c r="AC9" s="271">
        <v>0.248</v>
      </c>
      <c r="AD9">
        <v>1830</v>
      </c>
      <c r="AE9">
        <v>1500</v>
      </c>
      <c r="AF9" s="271">
        <v>0.18032786885245902</v>
      </c>
      <c r="AG9">
        <v>2090</v>
      </c>
      <c r="AH9">
        <v>1785</v>
      </c>
      <c r="AI9" s="271">
        <v>0.145933014354067</v>
      </c>
      <c r="AJ9">
        <v>1650</v>
      </c>
      <c r="AK9">
        <v>1760</v>
      </c>
      <c r="AL9" s="271">
        <v>-6.6666666666666666E-2</v>
      </c>
      <c r="AN9">
        <v>5</v>
      </c>
      <c r="AO9">
        <v>1800</v>
      </c>
      <c r="AP9">
        <v>840</v>
      </c>
      <c r="AQ9">
        <v>1775</v>
      </c>
      <c r="AR9">
        <v>1245</v>
      </c>
      <c r="AS9">
        <v>1770</v>
      </c>
      <c r="AT9">
        <v>1275</v>
      </c>
      <c r="AU9">
        <v>1875</v>
      </c>
      <c r="AV9">
        <v>1410</v>
      </c>
      <c r="AW9">
        <v>1830</v>
      </c>
      <c r="AX9">
        <v>1500</v>
      </c>
      <c r="AY9">
        <v>2090</v>
      </c>
      <c r="AZ9">
        <v>1785</v>
      </c>
      <c r="BA9">
        <v>1650</v>
      </c>
      <c r="BB9">
        <v>1760</v>
      </c>
      <c r="BF9" s="393" t="s">
        <v>229</v>
      </c>
      <c r="BG9" s="393"/>
      <c r="BH9" s="393"/>
      <c r="BI9" s="393"/>
      <c r="BJ9" s="393"/>
      <c r="BK9" s="393"/>
      <c r="BN9" s="329" t="s">
        <v>229</v>
      </c>
      <c r="BO9" s="329"/>
      <c r="BP9" s="329"/>
      <c r="BQ9" s="329"/>
      <c r="BR9" s="329"/>
      <c r="BS9" s="329"/>
      <c r="BV9" s="385" t="s">
        <v>238</v>
      </c>
      <c r="BW9" s="385"/>
      <c r="BX9" s="385"/>
      <c r="BY9" s="385"/>
      <c r="BZ9" s="385"/>
      <c r="CA9" s="385"/>
    </row>
    <row r="10" spans="2:79" ht="17.5" x14ac:dyDescent="0.45">
      <c r="B10" s="303" t="s">
        <v>48</v>
      </c>
      <c r="C10" s="303">
        <v>0.254</v>
      </c>
      <c r="D10" s="304">
        <v>0.30894308943089432</v>
      </c>
      <c r="E10" s="304">
        <v>0.20524017467248906</v>
      </c>
      <c r="F10" s="316">
        <v>0.16820180000000001</v>
      </c>
      <c r="H10" s="25" t="s">
        <v>48</v>
      </c>
      <c r="I10" s="279">
        <v>10</v>
      </c>
      <c r="J10" s="25">
        <v>31.213999999999999</v>
      </c>
      <c r="K10" s="25">
        <v>3.1893959999999999</v>
      </c>
      <c r="L10" s="279">
        <v>10</v>
      </c>
      <c r="M10" s="25">
        <v>25.965</v>
      </c>
      <c r="N10" s="25">
        <v>3.3666209999999999</v>
      </c>
      <c r="P10">
        <v>6</v>
      </c>
      <c r="Q10">
        <v>6</v>
      </c>
      <c r="R10">
        <v>1815</v>
      </c>
      <c r="S10">
        <v>1345</v>
      </c>
      <c r="T10" s="271">
        <v>0.25895316804407714</v>
      </c>
      <c r="U10">
        <v>1765</v>
      </c>
      <c r="V10">
        <v>1170</v>
      </c>
      <c r="W10" s="271">
        <v>0.33711048158640228</v>
      </c>
      <c r="X10">
        <v>1815</v>
      </c>
      <c r="Y10">
        <v>1335</v>
      </c>
      <c r="Z10" s="271">
        <v>0.26446280991735538</v>
      </c>
      <c r="AA10">
        <v>1710</v>
      </c>
      <c r="AB10">
        <v>1215</v>
      </c>
      <c r="AC10" s="271">
        <v>0.28947368421052633</v>
      </c>
      <c r="AD10">
        <v>2130</v>
      </c>
      <c r="AE10">
        <v>1485</v>
      </c>
      <c r="AF10" s="271">
        <v>0.30281690140845069</v>
      </c>
      <c r="AG10">
        <v>1740</v>
      </c>
      <c r="AH10">
        <v>1585</v>
      </c>
      <c r="AI10" s="271">
        <v>8.9080459770114945E-2</v>
      </c>
      <c r="AJ10">
        <v>1890</v>
      </c>
      <c r="AK10">
        <v>1785</v>
      </c>
      <c r="AL10" s="271">
        <v>5.5555555555555552E-2</v>
      </c>
      <c r="AN10">
        <v>6</v>
      </c>
      <c r="AO10">
        <v>1815</v>
      </c>
      <c r="AP10">
        <v>1345</v>
      </c>
      <c r="AQ10">
        <v>1765</v>
      </c>
      <c r="AR10">
        <v>1170</v>
      </c>
      <c r="AS10">
        <v>1815</v>
      </c>
      <c r="AT10">
        <v>1335</v>
      </c>
      <c r="AU10">
        <v>1710</v>
      </c>
      <c r="AV10">
        <v>1215</v>
      </c>
      <c r="AW10">
        <v>2130</v>
      </c>
      <c r="AX10">
        <v>1485</v>
      </c>
      <c r="AY10">
        <v>1740</v>
      </c>
      <c r="AZ10">
        <v>1585</v>
      </c>
      <c r="BA10">
        <v>1890</v>
      </c>
      <c r="BB10">
        <v>1785</v>
      </c>
      <c r="BF10" s="330" t="s">
        <v>247</v>
      </c>
      <c r="BG10" s="331">
        <f>'Data fits from Mathematica'!W10</f>
        <v>1.65</v>
      </c>
      <c r="BH10" s="331">
        <f>'Data fits from Mathematica'!X10</f>
        <v>2.13</v>
      </c>
      <c r="BI10" s="331">
        <f>'Data fits from Mathematica'!Y10</f>
        <v>1.27</v>
      </c>
      <c r="BJ10" s="331">
        <f>'Data fits from Mathematica'!Z10</f>
        <v>1.67</v>
      </c>
      <c r="BK10" s="331"/>
      <c r="BN10" s="330" t="s">
        <v>223</v>
      </c>
      <c r="BO10" s="331">
        <v>1.647685362762807</v>
      </c>
      <c r="BP10" s="331">
        <v>2.1348045732571617</v>
      </c>
      <c r="BQ10" s="331">
        <v>1.266414346169435</v>
      </c>
      <c r="BR10" s="331">
        <v>1.6689094117071439</v>
      </c>
      <c r="BS10" s="331"/>
      <c r="BV10" s="306" t="s">
        <v>226</v>
      </c>
      <c r="BW10" s="271">
        <f>'Data fits from Mathematica'!BU10</f>
        <v>1.8</v>
      </c>
      <c r="BX10" s="271">
        <f>'Data fits from Mathematica'!BV10</f>
        <v>1.34</v>
      </c>
      <c r="BY10" s="271">
        <f>'Data fits from Mathematica'!BW10</f>
        <v>0.9</v>
      </c>
      <c r="BZ10" s="271">
        <f>'Data fits from Mathematica'!BX10</f>
        <v>1.36</v>
      </c>
      <c r="CA10" s="271"/>
    </row>
    <row r="11" spans="2:79" ht="17.5" x14ac:dyDescent="0.45">
      <c r="B11" s="303" t="s">
        <v>49</v>
      </c>
      <c r="C11" s="303">
        <v>0.21100000000000002</v>
      </c>
      <c r="D11" s="304">
        <v>0.2584269662921348</v>
      </c>
      <c r="E11" s="304">
        <v>0.20080321285140562</v>
      </c>
      <c r="F11" s="316">
        <v>4.0969850000000002E-2</v>
      </c>
      <c r="H11" s="25" t="s">
        <v>49</v>
      </c>
      <c r="I11" s="279">
        <v>10</v>
      </c>
      <c r="J11" s="25">
        <v>29.437000000000001</v>
      </c>
      <c r="K11" s="25">
        <v>2.256561</v>
      </c>
      <c r="L11" s="279">
        <v>10</v>
      </c>
      <c r="M11" s="25">
        <v>28.231000000000002</v>
      </c>
      <c r="N11" s="25">
        <v>3.4776030000000002</v>
      </c>
      <c r="P11">
        <v>7</v>
      </c>
      <c r="Q11">
        <v>7</v>
      </c>
      <c r="R11">
        <v>2040</v>
      </c>
      <c r="S11">
        <v>1110</v>
      </c>
      <c r="T11" s="271">
        <v>0.45588235294117646</v>
      </c>
      <c r="U11">
        <v>1680</v>
      </c>
      <c r="V11">
        <v>1125</v>
      </c>
      <c r="W11" s="271">
        <v>0.33035714285714285</v>
      </c>
      <c r="X11">
        <v>1635</v>
      </c>
      <c r="Y11">
        <v>1220</v>
      </c>
      <c r="Z11" s="271">
        <v>0.25382262996941896</v>
      </c>
      <c r="AA11">
        <v>1905</v>
      </c>
      <c r="AB11">
        <v>1325</v>
      </c>
      <c r="AC11" s="271">
        <v>0.30446194225721784</v>
      </c>
      <c r="AD11">
        <v>1890</v>
      </c>
      <c r="AE11">
        <v>1440</v>
      </c>
      <c r="AF11" s="271">
        <v>0.23809523809523808</v>
      </c>
      <c r="AG11">
        <v>1710</v>
      </c>
      <c r="AH11">
        <v>1350</v>
      </c>
      <c r="AI11" s="271">
        <v>0.21052631578947367</v>
      </c>
      <c r="AJ11">
        <v>1815</v>
      </c>
      <c r="AK11">
        <v>1745</v>
      </c>
      <c r="AL11" s="271">
        <v>3.8567493112947659E-2</v>
      </c>
      <c r="AN11">
        <v>7</v>
      </c>
      <c r="AO11">
        <v>2040</v>
      </c>
      <c r="AP11">
        <v>1110</v>
      </c>
      <c r="AQ11">
        <v>1680</v>
      </c>
      <c r="AR11">
        <v>1125</v>
      </c>
      <c r="AS11">
        <v>1635</v>
      </c>
      <c r="AT11">
        <v>1220</v>
      </c>
      <c r="AU11">
        <v>1905</v>
      </c>
      <c r="AV11">
        <v>1325</v>
      </c>
      <c r="AW11">
        <v>1890</v>
      </c>
      <c r="AX11">
        <v>1440</v>
      </c>
      <c r="AY11">
        <v>1710</v>
      </c>
      <c r="AZ11">
        <v>1350</v>
      </c>
      <c r="BA11">
        <v>1815</v>
      </c>
      <c r="BB11">
        <v>1745</v>
      </c>
      <c r="BF11" s="330" t="s">
        <v>248</v>
      </c>
      <c r="BG11" s="331">
        <f>'Data fits from Mathematica'!W11</f>
        <v>0.152</v>
      </c>
      <c r="BH11" s="331">
        <f>'Data fits from Mathematica'!X11</f>
        <v>0.19400000000000001</v>
      </c>
      <c r="BI11" s="331">
        <f>'Data fits from Mathematica'!Y11</f>
        <v>0.155</v>
      </c>
      <c r="BJ11" s="331">
        <f>'Data fits from Mathematica'!Z11</f>
        <v>0.17599999999999999</v>
      </c>
      <c r="BK11" s="331"/>
      <c r="BN11" s="330" t="s">
        <v>147</v>
      </c>
      <c r="BO11" s="331">
        <v>0.1515288799767403</v>
      </c>
      <c r="BP11" s="331">
        <v>0.19435300864038782</v>
      </c>
      <c r="BQ11" s="331">
        <v>0.15448743830392209</v>
      </c>
      <c r="BR11" s="331">
        <v>0.17616248130814283</v>
      </c>
      <c r="BS11" s="331"/>
      <c r="BV11" t="s">
        <v>227</v>
      </c>
      <c r="BW11" s="271">
        <f>'Data fits from Mathematica'!BU11</f>
        <v>1.21</v>
      </c>
      <c r="BX11" s="271">
        <f>'Data fits from Mathematica'!BV11</f>
        <v>0.873</v>
      </c>
      <c r="BY11" s="271">
        <f>'Data fits from Mathematica'!BW11</f>
        <v>0.82</v>
      </c>
      <c r="BZ11" s="271">
        <f>'Data fits from Mathematica'!BX11</f>
        <v>1.34</v>
      </c>
      <c r="CA11" s="271"/>
    </row>
    <row r="12" spans="2:79" ht="15.5" x14ac:dyDescent="0.35">
      <c r="P12">
        <v>8</v>
      </c>
      <c r="Q12">
        <v>8</v>
      </c>
      <c r="R12">
        <v>1725</v>
      </c>
      <c r="S12">
        <v>865</v>
      </c>
      <c r="T12" s="271">
        <v>0.49855072463768119</v>
      </c>
      <c r="U12">
        <v>1905</v>
      </c>
      <c r="V12">
        <v>1250</v>
      </c>
      <c r="W12" s="271">
        <v>0.34383202099737531</v>
      </c>
      <c r="X12">
        <v>1845</v>
      </c>
      <c r="Y12">
        <v>1380</v>
      </c>
      <c r="Z12" s="271">
        <v>0.25203252032520324</v>
      </c>
      <c r="AA12">
        <v>2095</v>
      </c>
      <c r="AB12">
        <v>1235</v>
      </c>
      <c r="AC12" s="271">
        <v>0.41050119331742241</v>
      </c>
      <c r="AD12">
        <v>2085</v>
      </c>
      <c r="AE12">
        <v>1460</v>
      </c>
      <c r="AF12" s="271">
        <v>0.29976019184652281</v>
      </c>
      <c r="AG12">
        <v>2025</v>
      </c>
      <c r="AH12">
        <v>1665</v>
      </c>
      <c r="AI12" s="271">
        <v>0.17777777777777778</v>
      </c>
      <c r="AJ12">
        <v>1910</v>
      </c>
      <c r="AK12">
        <v>1505</v>
      </c>
      <c r="AL12" s="271">
        <v>0.21204188481675393</v>
      </c>
      <c r="AN12">
        <v>8</v>
      </c>
      <c r="AO12">
        <v>1725</v>
      </c>
      <c r="AP12">
        <v>865</v>
      </c>
      <c r="AQ12">
        <v>1905</v>
      </c>
      <c r="AR12">
        <v>1250</v>
      </c>
      <c r="AS12">
        <v>1845</v>
      </c>
      <c r="AT12">
        <v>1380</v>
      </c>
      <c r="AU12">
        <v>2095</v>
      </c>
      <c r="AV12">
        <v>1235</v>
      </c>
      <c r="AW12">
        <v>2085</v>
      </c>
      <c r="AX12">
        <v>1460</v>
      </c>
      <c r="AY12">
        <v>2025</v>
      </c>
      <c r="AZ12">
        <v>1665</v>
      </c>
      <c r="BA12">
        <v>1910</v>
      </c>
      <c r="BB12">
        <v>1505</v>
      </c>
      <c r="BF12" s="328" t="s">
        <v>153</v>
      </c>
      <c r="BG12" s="331">
        <f>'Data fits from Mathematica'!W12</f>
        <v>3.0300000000000001E-2</v>
      </c>
      <c r="BH12" s="331">
        <f>'Data fits from Mathematica'!X12</f>
        <v>0.13100000000000001</v>
      </c>
      <c r="BI12" s="331">
        <f>'Data fits from Mathematica'!Y12</f>
        <v>6.3100000000000003E-2</v>
      </c>
      <c r="BJ12" s="331">
        <f>'Data fits from Mathematica'!Z12</f>
        <v>1.0999999999999999E-2</v>
      </c>
      <c r="BK12" s="331"/>
      <c r="BN12" s="328" t="s">
        <v>153</v>
      </c>
      <c r="BO12" s="331">
        <v>3.0352252456056317E-2</v>
      </c>
      <c r="BP12" s="331">
        <v>0.13083372024566073</v>
      </c>
      <c r="BQ12" s="331">
        <v>6.2994431812119084E-2</v>
      </c>
      <c r="BR12" s="331">
        <v>1.0967745394771364E-2</v>
      </c>
      <c r="BS12" s="331"/>
      <c r="BV12" s="28" t="s">
        <v>148</v>
      </c>
      <c r="BW12" s="307">
        <f>'Data fits from Mathematica'!BU28</f>
        <v>1.827143815814031E-3</v>
      </c>
      <c r="BX12" s="307">
        <f>'Data fits from Mathematica'!BV28</f>
        <v>9.7670868331091697E-3</v>
      </c>
      <c r="BY12" s="307">
        <f>'Data fits from Mathematica'!BW28</f>
        <v>4.029775272758958E-3</v>
      </c>
      <c r="BZ12" s="307">
        <f>'Data fits from Mathematica'!BX28</f>
        <v>2.1159724971839877E-2</v>
      </c>
      <c r="CA12" s="270">
        <f>'Data fits from Mathematica'!BU30</f>
        <v>3.6783730893522035E-2</v>
      </c>
    </row>
    <row r="13" spans="2:79" ht="16.5" x14ac:dyDescent="0.35">
      <c r="P13">
        <v>9</v>
      </c>
      <c r="Q13">
        <v>9</v>
      </c>
      <c r="R13">
        <v>1935</v>
      </c>
      <c r="S13">
        <v>1320</v>
      </c>
      <c r="T13" s="271">
        <v>0.31782945736434109</v>
      </c>
      <c r="U13">
        <v>1805</v>
      </c>
      <c r="V13">
        <v>1155</v>
      </c>
      <c r="W13" s="271">
        <v>0.36011080332409973</v>
      </c>
      <c r="X13">
        <v>1950</v>
      </c>
      <c r="Y13">
        <v>1585</v>
      </c>
      <c r="Z13" s="271">
        <v>0.18717948717948718</v>
      </c>
      <c r="AA13">
        <v>1860</v>
      </c>
      <c r="AB13">
        <v>1290</v>
      </c>
      <c r="AC13" s="271">
        <v>0.30645161290322581</v>
      </c>
      <c r="AD13">
        <v>1740</v>
      </c>
      <c r="AE13">
        <v>1335</v>
      </c>
      <c r="AF13" s="271">
        <v>0.23275862068965517</v>
      </c>
      <c r="AG13">
        <v>2100</v>
      </c>
      <c r="AH13">
        <v>1415</v>
      </c>
      <c r="AI13" s="271">
        <v>0.3261904761904762</v>
      </c>
      <c r="AJ13">
        <v>1490</v>
      </c>
      <c r="AK13">
        <v>1260</v>
      </c>
      <c r="AL13" s="271">
        <v>0.15436241610738255</v>
      </c>
      <c r="AN13">
        <v>9</v>
      </c>
      <c r="AO13">
        <v>1935</v>
      </c>
      <c r="AP13">
        <v>1320</v>
      </c>
      <c r="AQ13">
        <v>1805</v>
      </c>
      <c r="AR13">
        <v>1155</v>
      </c>
      <c r="AS13">
        <v>1950</v>
      </c>
      <c r="AT13">
        <v>1585</v>
      </c>
      <c r="AU13">
        <v>1860</v>
      </c>
      <c r="AV13">
        <v>1290</v>
      </c>
      <c r="AW13">
        <v>1740</v>
      </c>
      <c r="AX13">
        <v>1335</v>
      </c>
      <c r="AY13">
        <v>2100</v>
      </c>
      <c r="AZ13">
        <v>1415</v>
      </c>
      <c r="BA13">
        <v>1490</v>
      </c>
      <c r="BB13">
        <v>1260</v>
      </c>
      <c r="BF13" s="328" t="s">
        <v>148</v>
      </c>
      <c r="BG13" s="332">
        <f>'Data fits from Mathematica'!W28</f>
        <v>1.8941003452575332E-3</v>
      </c>
      <c r="BH13" s="332">
        <f>'Data fits from Mathematica'!X28</f>
        <v>3.5489108239625412E-3</v>
      </c>
      <c r="BI13" s="332">
        <f>'Data fits from Mathematica'!Y28</f>
        <v>3.098912123443607E-3</v>
      </c>
      <c r="BJ13" s="332">
        <f>'Data fits from Mathematica'!Z28</f>
        <v>1.6157786123657727E-2</v>
      </c>
      <c r="BK13" s="333">
        <f>'Data fits from Mathematica'!AA28</f>
        <v>2.4699709416321408E-2</v>
      </c>
      <c r="BN13" s="328" t="s">
        <v>148</v>
      </c>
      <c r="BO13" s="332">
        <v>2.3157909255997946E-3</v>
      </c>
      <c r="BP13" s="332">
        <v>3.547543605522232E-3</v>
      </c>
      <c r="BQ13" s="332">
        <v>3.0971146273019632E-3</v>
      </c>
      <c r="BR13" s="332">
        <v>1.6154853125454442E-2</v>
      </c>
      <c r="BS13" s="333">
        <v>2.5115302283878434E-2</v>
      </c>
      <c r="BV13" t="s">
        <v>225</v>
      </c>
      <c r="BW13" s="271">
        <f>'Data fits from Mathematica'!BU29</f>
        <v>0.98104315568545741</v>
      </c>
      <c r="BX13" s="271">
        <f>'Data fits from Mathematica'!BV29</f>
        <v>0.83619719610394561</v>
      </c>
      <c r="BY13" s="271">
        <f>'Data fits from Mathematica'!BW29</f>
        <v>0.89967260531728654</v>
      </c>
      <c r="BZ13" s="271">
        <f>'Data fits from Mathematica'!BX29</f>
        <v>0.82158942184901118</v>
      </c>
      <c r="CA13" s="271">
        <f>'Data fits from Mathematica'!BU31</f>
        <v>0.88462559473892521</v>
      </c>
    </row>
    <row r="14" spans="2:79" ht="18.5" x14ac:dyDescent="0.35">
      <c r="P14">
        <v>10</v>
      </c>
      <c r="Q14">
        <v>10</v>
      </c>
      <c r="R14">
        <v>1830</v>
      </c>
      <c r="S14">
        <v>1235</v>
      </c>
      <c r="T14" s="271">
        <v>0.3251366120218579</v>
      </c>
      <c r="U14">
        <v>2065</v>
      </c>
      <c r="V14">
        <v>1325</v>
      </c>
      <c r="W14" s="271">
        <v>0.3583535108958838</v>
      </c>
      <c r="Z14" s="271"/>
      <c r="AA14">
        <v>1980</v>
      </c>
      <c r="AB14">
        <v>1275</v>
      </c>
      <c r="AC14" s="271">
        <v>0.35606060606060608</v>
      </c>
      <c r="AD14">
        <v>1695</v>
      </c>
      <c r="AE14">
        <v>1375</v>
      </c>
      <c r="AF14" s="271">
        <v>0.1887905604719764</v>
      </c>
      <c r="AG14">
        <v>1890</v>
      </c>
      <c r="AH14">
        <v>1275</v>
      </c>
      <c r="AI14" s="271">
        <v>0.32539682539682541</v>
      </c>
      <c r="AJ14">
        <v>1710</v>
      </c>
      <c r="AK14">
        <v>1395</v>
      </c>
      <c r="AL14" s="271">
        <v>0.18421052631578946</v>
      </c>
      <c r="AN14">
        <v>10</v>
      </c>
      <c r="AO14">
        <v>1830</v>
      </c>
      <c r="AP14">
        <v>1235</v>
      </c>
      <c r="AQ14">
        <v>2065</v>
      </c>
      <c r="AR14">
        <v>1325</v>
      </c>
      <c r="AU14">
        <v>1980</v>
      </c>
      <c r="AV14">
        <v>1275</v>
      </c>
      <c r="AW14">
        <v>1695</v>
      </c>
      <c r="AX14">
        <v>1375</v>
      </c>
      <c r="AY14">
        <v>1890</v>
      </c>
      <c r="AZ14">
        <v>1275</v>
      </c>
      <c r="BA14">
        <v>1710</v>
      </c>
      <c r="BB14">
        <v>1395</v>
      </c>
      <c r="BF14" s="330" t="s">
        <v>249</v>
      </c>
      <c r="BG14" s="331">
        <f>'Data fits from Mathematica'!W29</f>
        <v>0.98045354167349141</v>
      </c>
      <c r="BH14" s="331">
        <f>'Data fits from Mathematica'!X29</f>
        <v>0.9412922543046216</v>
      </c>
      <c r="BI14" s="331">
        <f>'Data fits from Mathematica'!Y29</f>
        <v>0.92305129322748247</v>
      </c>
      <c r="BJ14" s="331">
        <f>'Data fits from Mathematica'!Z29</f>
        <v>0.86618377954610981</v>
      </c>
      <c r="BK14" s="331">
        <f>'Data fits from Mathematica'!AA29</f>
        <v>0.92774521718792635</v>
      </c>
      <c r="BN14" s="330" t="s">
        <v>224</v>
      </c>
      <c r="BO14" s="331">
        <v>0.97596289980272555</v>
      </c>
      <c r="BP14" s="331">
        <v>0.94144409121432393</v>
      </c>
      <c r="BQ14" s="331">
        <v>0.92299961152554888</v>
      </c>
      <c r="BR14" s="331">
        <v>0.86608834365151643</v>
      </c>
      <c r="BS14" s="331">
        <v>0.9266237365485287</v>
      </c>
    </row>
    <row r="15" spans="2:79" ht="15.5" x14ac:dyDescent="0.35">
      <c r="P15" t="s">
        <v>60</v>
      </c>
      <c r="Q15" t="s">
        <v>167</v>
      </c>
      <c r="R15" s="279">
        <v>1840</v>
      </c>
      <c r="S15" s="279">
        <v>1065.5</v>
      </c>
      <c r="T15" s="271">
        <v>0.42092391304347826</v>
      </c>
      <c r="U15">
        <v>1842</v>
      </c>
      <c r="V15" s="279">
        <v>1224.5</v>
      </c>
      <c r="W15" s="271">
        <v>0.33523344191096632</v>
      </c>
      <c r="X15" s="279">
        <v>1785.5555555555557</v>
      </c>
      <c r="Y15" s="279">
        <v>1301.1111111111111</v>
      </c>
      <c r="Z15" s="271">
        <v>0.27131300560049787</v>
      </c>
      <c r="AA15" s="279">
        <v>1860.5</v>
      </c>
      <c r="AB15" s="279">
        <v>1275</v>
      </c>
      <c r="AC15" s="271">
        <v>0.31470034936844932</v>
      </c>
      <c r="AD15">
        <v>1860</v>
      </c>
      <c r="AE15">
        <v>1415</v>
      </c>
      <c r="AF15" s="271">
        <v>0.239247311827957</v>
      </c>
      <c r="AG15">
        <v>1883</v>
      </c>
      <c r="AH15" s="279">
        <v>1535.5</v>
      </c>
      <c r="AI15" s="279">
        <v>0.18454593733404143</v>
      </c>
      <c r="AJ15" s="279">
        <v>1683.5</v>
      </c>
      <c r="AK15" s="279">
        <v>1532</v>
      </c>
      <c r="AL15" s="271">
        <v>8.9991089991089984E-2</v>
      </c>
      <c r="AN15" t="s">
        <v>167</v>
      </c>
      <c r="AO15" s="279">
        <v>1840</v>
      </c>
      <c r="AP15" s="279">
        <v>1065.5</v>
      </c>
      <c r="AQ15">
        <v>1842</v>
      </c>
      <c r="AR15" s="279">
        <v>1224.5</v>
      </c>
      <c r="AS15" s="279">
        <v>1785.5555555555557</v>
      </c>
      <c r="AT15" s="279">
        <v>1301.1111111111111</v>
      </c>
      <c r="AU15" s="279">
        <v>1860.5</v>
      </c>
      <c r="AV15" s="279">
        <v>1275</v>
      </c>
      <c r="AW15">
        <v>1860</v>
      </c>
      <c r="AX15">
        <v>1415</v>
      </c>
      <c r="AY15">
        <v>1883</v>
      </c>
      <c r="AZ15" s="279">
        <v>1535.5</v>
      </c>
      <c r="BA15" s="279">
        <v>1683.5</v>
      </c>
      <c r="BB15" s="279">
        <v>1532</v>
      </c>
      <c r="BF15" s="393" t="s">
        <v>228</v>
      </c>
      <c r="BG15" s="393"/>
      <c r="BH15" s="393"/>
      <c r="BI15" s="393"/>
      <c r="BJ15" s="393"/>
      <c r="BK15" s="393"/>
      <c r="BN15" s="329" t="s">
        <v>228</v>
      </c>
      <c r="BO15" s="329"/>
      <c r="BP15" s="329"/>
      <c r="BQ15" s="329"/>
      <c r="BR15" s="329"/>
      <c r="BS15" s="329"/>
    </row>
    <row r="16" spans="2:79" ht="17.5" x14ac:dyDescent="0.45">
      <c r="BF16" s="330" t="s">
        <v>247</v>
      </c>
      <c r="BG16" s="331">
        <f>'Data fits from Mathematica'!AD10</f>
        <v>0.36109082851396784</v>
      </c>
      <c r="BH16" s="331">
        <f>'Data fits from Mathematica'!AE10</f>
        <v>0.32115222064657856</v>
      </c>
      <c r="BI16" s="331">
        <f>'Data fits from Mathematica'!AF10</f>
        <v>0.43350606323091806</v>
      </c>
      <c r="BJ16" s="331">
        <f>'Data fits from Mathematica'!AG10</f>
        <v>0.28499216569706531</v>
      </c>
      <c r="BK16" s="331"/>
      <c r="BN16" s="330" t="s">
        <v>223</v>
      </c>
      <c r="BO16" s="331">
        <v>0.26801771966995774</v>
      </c>
      <c r="BP16" s="331">
        <v>0.31287704976055197</v>
      </c>
      <c r="BQ16" s="331">
        <v>0.26357757742751242</v>
      </c>
      <c r="BR16" s="331">
        <v>0.20450933788740602</v>
      </c>
      <c r="BS16" s="331"/>
    </row>
    <row r="17" spans="16:71" ht="17.5" x14ac:dyDescent="0.45">
      <c r="P17" t="s">
        <v>22</v>
      </c>
      <c r="R17">
        <v>0.42092391304347826</v>
      </c>
      <c r="U17">
        <v>0.33523344191096632</v>
      </c>
      <c r="X17">
        <v>0.27131300560049787</v>
      </c>
      <c r="AA17">
        <v>0.31470034936844932</v>
      </c>
      <c r="AD17">
        <v>0.239247311827957</v>
      </c>
      <c r="AG17">
        <v>0.18454593733404143</v>
      </c>
      <c r="AJ17">
        <v>8.9991089991089984E-2</v>
      </c>
      <c r="AO17">
        <v>0.42092391304347826</v>
      </c>
      <c r="AQ17">
        <v>0.33523344191096632</v>
      </c>
      <c r="AS17">
        <v>0.27131300560049787</v>
      </c>
      <c r="AU17">
        <v>0.31470034936844932</v>
      </c>
      <c r="AW17">
        <v>0.239247311827957</v>
      </c>
      <c r="AY17">
        <v>0.18454593733404143</v>
      </c>
      <c r="BA17">
        <v>8.9991089991089984E-2</v>
      </c>
      <c r="BF17" s="330" t="s">
        <v>248</v>
      </c>
      <c r="BG17" s="334">
        <f>'Data fits from Mathematica'!AD11</f>
        <v>2.8701129647902969E-4</v>
      </c>
      <c r="BH17" s="334">
        <f>'Data fits from Mathematica'!AE11</f>
        <v>3.0261807010704381E-4</v>
      </c>
      <c r="BI17" s="334">
        <f>'Data fits from Mathematica'!AF11</f>
        <v>7.0580668797487055E-4</v>
      </c>
      <c r="BJ17" s="334">
        <f>'Data fits from Mathematica'!AG11</f>
        <v>3.5136270369438897E-4</v>
      </c>
      <c r="BK17" s="331"/>
      <c r="BN17" s="330" t="s">
        <v>147</v>
      </c>
      <c r="BO17" s="334">
        <v>2.0886196800826134E-5</v>
      </c>
      <c r="BP17" s="334">
        <v>3.0352157593665092E-4</v>
      </c>
      <c r="BQ17" s="334">
        <v>1.8901130103436908E-7</v>
      </c>
      <c r="BR17" s="334">
        <v>1.2814586355902591E-4</v>
      </c>
      <c r="BS17" s="331"/>
    </row>
    <row r="18" spans="16:71" ht="17.5" x14ac:dyDescent="0.45">
      <c r="BF18" s="330" t="s">
        <v>250</v>
      </c>
      <c r="BG18" s="331">
        <f>'Data fits from Mathematica'!AD12</f>
        <v>0.32086642037840468</v>
      </c>
      <c r="BH18" s="331">
        <f>'Data fits from Mathematica'!AE12</f>
        <v>0.32270909344756088</v>
      </c>
      <c r="BI18" s="331">
        <f>'Data fits from Mathematica'!AF12</f>
        <v>0.26854877615386774</v>
      </c>
      <c r="BJ18" s="331">
        <f>'Data fits from Mathematica'!AG12</f>
        <v>0.28970519754868113</v>
      </c>
      <c r="BK18" s="331"/>
      <c r="BN18" s="330" t="s">
        <v>230</v>
      </c>
      <c r="BO18" s="331">
        <v>0.25379487846554649</v>
      </c>
      <c r="BP18" s="331">
        <v>0.32700905736258529</v>
      </c>
      <c r="BQ18" s="331">
        <v>0.30107654830178637</v>
      </c>
      <c r="BR18" s="331">
        <v>0.27750459580721465</v>
      </c>
      <c r="BS18" s="331"/>
    </row>
    <row r="19" spans="16:71" ht="17.5" x14ac:dyDescent="0.45">
      <c r="AQ19" t="s">
        <v>143</v>
      </c>
      <c r="BF19" s="330" t="s">
        <v>251</v>
      </c>
      <c r="BG19" s="334">
        <f>'Data fits from Mathematica'!AD13</f>
        <v>1.7875485186644554E-7</v>
      </c>
      <c r="BH19" s="334">
        <f>'Data fits from Mathematica'!AE13</f>
        <v>7.7305242914998719E-8</v>
      </c>
      <c r="BI19" s="334">
        <f>'Data fits from Mathematica'!AF13</f>
        <v>1.2204361369712591E-7</v>
      </c>
      <c r="BJ19" s="334">
        <f>'Data fits from Mathematica'!AG13</f>
        <v>8.3060021775104969E-7</v>
      </c>
      <c r="BK19" s="331"/>
      <c r="BN19" s="330" t="s">
        <v>151</v>
      </c>
      <c r="BO19" s="334">
        <v>2.3841857910156251E-8</v>
      </c>
      <c r="BP19" s="334">
        <v>8.563128487650868E-8</v>
      </c>
      <c r="BQ19" s="334">
        <v>4.3845739513059134E-4</v>
      </c>
      <c r="BR19" s="334">
        <v>7.6080758584038773E-7</v>
      </c>
      <c r="BS19" s="331"/>
    </row>
    <row r="20" spans="16:71" ht="15.5" x14ac:dyDescent="0.35">
      <c r="AC20" s="61">
        <v>1885</v>
      </c>
      <c r="AH20" t="s">
        <v>184</v>
      </c>
      <c r="AI20" s="61" t="s">
        <v>245</v>
      </c>
      <c r="AJ20" t="s">
        <v>185</v>
      </c>
      <c r="AM20" s="61" t="s">
        <v>184</v>
      </c>
      <c r="AN20" s="61" t="s">
        <v>185</v>
      </c>
      <c r="AQ20" s="61" t="s">
        <v>245</v>
      </c>
      <c r="AR20" t="s">
        <v>162</v>
      </c>
      <c r="BF20" s="328" t="s">
        <v>148</v>
      </c>
      <c r="BG20" s="332">
        <f>'Data fits from Mathematica'!AD28</f>
        <v>4.6819911156390998E-3</v>
      </c>
      <c r="BH20" s="332">
        <f>'Data fits from Mathematica'!AE28</f>
        <v>3.566850313999718E-3</v>
      </c>
      <c r="BI20" s="332">
        <f>'Data fits from Mathematica'!AF28</f>
        <v>3.4363347166990153E-3</v>
      </c>
      <c r="BJ20" s="332">
        <f>'Data fits from Mathematica'!AG28</f>
        <v>3.2265747079403442E-3</v>
      </c>
      <c r="BK20" s="333">
        <f>'Data fits from Mathematica'!AH28</f>
        <v>1.4911750854278177E-2</v>
      </c>
      <c r="BN20" s="328" t="s">
        <v>148</v>
      </c>
      <c r="BO20" s="332">
        <v>1.176361993999136E-2</v>
      </c>
      <c r="BP20" s="332">
        <v>3.605211598502986E-3</v>
      </c>
      <c r="BQ20" s="332">
        <v>4.0099217291383014E-3</v>
      </c>
      <c r="BR20" s="332">
        <v>5.2402050444890361E-3</v>
      </c>
      <c r="BS20" s="333">
        <v>2.4618958312121682E-2</v>
      </c>
    </row>
    <row r="21" spans="16:71" ht="18.5" x14ac:dyDescent="0.35">
      <c r="AC21">
        <v>1156</v>
      </c>
      <c r="AG21">
        <v>1</v>
      </c>
      <c r="AH21">
        <v>1068</v>
      </c>
      <c r="AI21">
        <f t="shared" ref="AI21:AI32" si="0">AH21*7/8</f>
        <v>934.5</v>
      </c>
      <c r="AJ21">
        <v>379</v>
      </c>
      <c r="AK21">
        <f t="shared" ref="AK21:AK33" si="1">(AH21-AJ21)/AH21</f>
        <v>0.64513108614232206</v>
      </c>
      <c r="AL21">
        <f>AC21/AH21</f>
        <v>1.0823970037453183</v>
      </c>
      <c r="AM21">
        <f>AC21-AH21</f>
        <v>88</v>
      </c>
      <c r="AP21">
        <f t="shared" ref="AP21:AP30" si="2">AN5</f>
        <v>1</v>
      </c>
      <c r="AQ21">
        <f t="shared" ref="AQ21:AQ30" si="3">AO5*7/8</f>
        <v>1229.375</v>
      </c>
      <c r="AR21">
        <f t="shared" ref="AR21:AR30" si="4">(AO5-AP5)/AO5</f>
        <v>0.52313167259786475</v>
      </c>
      <c r="BF21" s="330" t="s">
        <v>249</v>
      </c>
      <c r="BG21" s="331">
        <f>'Data fits from Mathematica'!AD29</f>
        <v>0.95134418200359983</v>
      </c>
      <c r="BH21" s="331">
        <f>'Data fits from Mathematica'!AE29</f>
        <v>0.94017676995710453</v>
      </c>
      <c r="BI21" s="331">
        <f>'Data fits from Mathematica'!AF29</f>
        <v>0.9157220777115368</v>
      </c>
      <c r="BJ21" s="331">
        <f>'Data fits from Mathematica'!AG29</f>
        <v>0.97279105247693354</v>
      </c>
      <c r="BK21" s="331">
        <f>'Data fits from Mathematica'!AH29</f>
        <v>0.94500852053729367</v>
      </c>
      <c r="BN21" s="330" t="s">
        <v>224</v>
      </c>
      <c r="BO21" s="331">
        <v>0.87787376895188163</v>
      </c>
      <c r="BP21" s="331">
        <v>0.93993430313637105</v>
      </c>
      <c r="BQ21" s="331">
        <v>0.92331543581979947</v>
      </c>
      <c r="BR21" s="331">
        <v>0.95598818345366887</v>
      </c>
      <c r="BS21" s="331">
        <v>0.9242779228404302</v>
      </c>
    </row>
    <row r="22" spans="16:71" ht="15.5" x14ac:dyDescent="0.35">
      <c r="AC22">
        <v>1089</v>
      </c>
      <c r="AG22">
        <v>2</v>
      </c>
      <c r="AH22">
        <v>1001</v>
      </c>
      <c r="AI22">
        <f t="shared" si="0"/>
        <v>875.875</v>
      </c>
      <c r="AJ22">
        <v>440</v>
      </c>
      <c r="AK22">
        <f t="shared" si="1"/>
        <v>0.56043956043956045</v>
      </c>
      <c r="AL22">
        <f t="shared" ref="AL22:AL32" si="5">AC22/AH22</f>
        <v>1.0879120879120878</v>
      </c>
      <c r="AM22">
        <f t="shared" ref="AM22:AM32" si="6">AC22-AH22</f>
        <v>88</v>
      </c>
      <c r="AP22">
        <f t="shared" si="2"/>
        <v>2</v>
      </c>
      <c r="AQ22">
        <f t="shared" si="3"/>
        <v>1610</v>
      </c>
      <c r="AR22">
        <f t="shared" si="4"/>
        <v>0.34239130434782611</v>
      </c>
      <c r="BF22" s="393" t="s">
        <v>228</v>
      </c>
      <c r="BG22" s="393"/>
      <c r="BH22" s="393"/>
      <c r="BI22" s="393"/>
      <c r="BJ22" s="393"/>
      <c r="BK22" s="393"/>
      <c r="BN22" s="329" t="s">
        <v>228</v>
      </c>
      <c r="BO22" s="329"/>
      <c r="BP22" s="329"/>
      <c r="BQ22" s="329"/>
      <c r="BR22" s="329"/>
      <c r="BS22" s="329"/>
    </row>
    <row r="23" spans="16:71" ht="17.5" x14ac:dyDescent="0.45">
      <c r="AC23">
        <v>1022</v>
      </c>
      <c r="AG23">
        <v>3</v>
      </c>
      <c r="AH23">
        <v>934</v>
      </c>
      <c r="AI23">
        <f t="shared" si="0"/>
        <v>817.25</v>
      </c>
      <c r="AJ23">
        <v>404</v>
      </c>
      <c r="AK23">
        <f t="shared" si="1"/>
        <v>0.56745182012847961</v>
      </c>
      <c r="AL23">
        <f t="shared" si="5"/>
        <v>1.0942184154175589</v>
      </c>
      <c r="AM23">
        <f t="shared" si="6"/>
        <v>88</v>
      </c>
      <c r="AP23">
        <f t="shared" si="2"/>
        <v>3</v>
      </c>
      <c r="AQ23">
        <f t="shared" si="3"/>
        <v>1601.25</v>
      </c>
      <c r="AR23">
        <f t="shared" si="4"/>
        <v>0.39890710382513661</v>
      </c>
      <c r="BF23" s="330" t="s">
        <v>247</v>
      </c>
      <c r="BG23" s="331">
        <f>'Data fits from Mathematica'!AR10</f>
        <v>0.70399999999999996</v>
      </c>
      <c r="BH23" s="331">
        <f>'Data fits from Mathematica'!AS10</f>
        <v>0.63900000000000001</v>
      </c>
      <c r="BI23" s="331">
        <f>'Data fits from Mathematica'!AT10</f>
        <v>0.56999999999999995</v>
      </c>
      <c r="BJ23" s="331">
        <f>'Data fits from Mathematica'!AU10</f>
        <v>0.56299999999999994</v>
      </c>
      <c r="BK23" s="331"/>
      <c r="BN23" s="330" t="s">
        <v>223</v>
      </c>
      <c r="BO23" s="331">
        <v>0.6905332009851014</v>
      </c>
      <c r="BP23" s="331">
        <v>0.64626589136270252</v>
      </c>
      <c r="BQ23" s="331">
        <v>0.72644323812108302</v>
      </c>
      <c r="BR23" s="331">
        <v>0.5870534985803999</v>
      </c>
      <c r="BS23" s="331"/>
    </row>
    <row r="24" spans="16:71" ht="17.5" x14ac:dyDescent="0.45">
      <c r="AC24">
        <v>1146</v>
      </c>
      <c r="AG24">
        <v>4</v>
      </c>
      <c r="AH24">
        <v>1058</v>
      </c>
      <c r="AI24">
        <f t="shared" si="0"/>
        <v>925.75</v>
      </c>
      <c r="AJ24">
        <v>395</v>
      </c>
      <c r="AK24">
        <f t="shared" si="1"/>
        <v>0.62665406427221171</v>
      </c>
      <c r="AL24">
        <f t="shared" si="5"/>
        <v>1.0831758034026464</v>
      </c>
      <c r="AM24">
        <f t="shared" si="6"/>
        <v>88</v>
      </c>
      <c r="AP24">
        <f t="shared" si="2"/>
        <v>4</v>
      </c>
      <c r="AQ24">
        <f t="shared" si="3"/>
        <v>1907.5</v>
      </c>
      <c r="AR24">
        <f t="shared" si="4"/>
        <v>0.55963302752293576</v>
      </c>
      <c r="BF24" s="330" t="s">
        <v>248</v>
      </c>
      <c r="BG24" s="335">
        <f>'Data fits from Mathematica'!AR11</f>
        <v>3.19E-4</v>
      </c>
      <c r="BH24" s="335">
        <f>'Data fits from Mathematica'!AS11</f>
        <v>2.9599999999999998E-4</v>
      </c>
      <c r="BI24" s="335">
        <f>'Data fits from Mathematica'!AT11</f>
        <v>4.57E-4</v>
      </c>
      <c r="BJ24" s="335">
        <f>'Data fits from Mathematica'!AU11</f>
        <v>3.5300000000000002E-4</v>
      </c>
      <c r="BK24" s="331"/>
      <c r="BN24" s="330" t="s">
        <v>147</v>
      </c>
      <c r="BO24" s="335">
        <v>3.0330621131612713E-4</v>
      </c>
      <c r="BP24" s="335">
        <v>3.0635091006165922E-4</v>
      </c>
      <c r="BQ24" s="335">
        <v>7.5545329583531567E-4</v>
      </c>
      <c r="BR24" s="335">
        <v>3.6741339836329393E-4</v>
      </c>
      <c r="BS24" s="331"/>
    </row>
    <row r="25" spans="16:71" ht="17.5" x14ac:dyDescent="0.45">
      <c r="AC25">
        <v>1115</v>
      </c>
      <c r="AG25">
        <v>5</v>
      </c>
      <c r="AH25">
        <v>1027</v>
      </c>
      <c r="AI25">
        <f t="shared" si="0"/>
        <v>898.625</v>
      </c>
      <c r="AJ25">
        <v>402</v>
      </c>
      <c r="AK25">
        <f t="shared" si="1"/>
        <v>0.60856864654333009</v>
      </c>
      <c r="AL25">
        <f t="shared" si="5"/>
        <v>1.0856864654333009</v>
      </c>
      <c r="AM25">
        <f t="shared" si="6"/>
        <v>88</v>
      </c>
      <c r="AP25">
        <f t="shared" si="2"/>
        <v>5</v>
      </c>
      <c r="AQ25">
        <f t="shared" si="3"/>
        <v>1575</v>
      </c>
      <c r="AR25">
        <f t="shared" si="4"/>
        <v>0.53333333333333333</v>
      </c>
      <c r="BF25" s="330" t="s">
        <v>250</v>
      </c>
      <c r="BG25" s="335">
        <f>'Data fits from Mathematica'!AR12</f>
        <v>1.45E-4</v>
      </c>
      <c r="BH25" s="335">
        <f>'Data fits from Mathematica'!AS12</f>
        <v>1.4999999999999999E-4</v>
      </c>
      <c r="BI25" s="335">
        <f>'Data fits from Mathematica'!AT12</f>
        <v>2.13E-4</v>
      </c>
      <c r="BJ25" s="335">
        <f>'Data fits from Mathematica'!AU12</f>
        <v>1.8799999999999999E-4</v>
      </c>
      <c r="BK25" s="331"/>
      <c r="BN25" s="330" t="s">
        <v>230</v>
      </c>
      <c r="BO25" s="335">
        <v>1.4186306182731396E-4</v>
      </c>
      <c r="BP25" s="335">
        <v>1.5303100273953888E-4</v>
      </c>
      <c r="BQ25" s="335">
        <v>2.8067858517873557E-4</v>
      </c>
      <c r="BR25" s="335">
        <v>1.8483502709294662E-4</v>
      </c>
      <c r="BS25" s="331"/>
    </row>
    <row r="26" spans="16:71" ht="17.5" x14ac:dyDescent="0.45">
      <c r="AC26">
        <v>1066</v>
      </c>
      <c r="AG26">
        <v>6</v>
      </c>
      <c r="AH26">
        <v>978</v>
      </c>
      <c r="AI26">
        <f t="shared" si="0"/>
        <v>855.75</v>
      </c>
      <c r="AJ26">
        <v>359</v>
      </c>
      <c r="AK26">
        <f t="shared" si="1"/>
        <v>0.63292433537832316</v>
      </c>
      <c r="AL26">
        <f t="shared" si="5"/>
        <v>1.0899795501022496</v>
      </c>
      <c r="AM26">
        <f t="shared" si="6"/>
        <v>88</v>
      </c>
      <c r="AP26">
        <f t="shared" si="2"/>
        <v>6</v>
      </c>
      <c r="AQ26">
        <f t="shared" si="3"/>
        <v>1588.125</v>
      </c>
      <c r="AR26">
        <f t="shared" si="4"/>
        <v>0.25895316804407714</v>
      </c>
      <c r="BF26" s="330" t="s">
        <v>251</v>
      </c>
      <c r="BG26" s="336">
        <f>'Data fits from Mathematica'!AR13</f>
        <v>1.79E-7</v>
      </c>
      <c r="BH26" s="336">
        <f>'Data fits from Mathematica'!AS13</f>
        <v>7.9899999999999994E-8</v>
      </c>
      <c r="BI26" s="336">
        <f>'Data fits from Mathematica'!AT13</f>
        <v>1.2200000000000001E-7</v>
      </c>
      <c r="BJ26" s="336">
        <f>'Data fits from Mathematica'!AU13</f>
        <v>9.9999999999999995E-7</v>
      </c>
      <c r="BK26" s="331"/>
      <c r="BN26" s="330" t="s">
        <v>151</v>
      </c>
      <c r="BO26" s="336">
        <v>1.8354564624833082E-7</v>
      </c>
      <c r="BP26" s="336">
        <v>7.7305242914998719E-8</v>
      </c>
      <c r="BQ26" s="336">
        <v>1.2204361369712591E-7</v>
      </c>
      <c r="BR26" s="336">
        <v>7.8179314689776015E-7</v>
      </c>
      <c r="BS26" s="331"/>
    </row>
    <row r="27" spans="16:71" ht="15.5" x14ac:dyDescent="0.35">
      <c r="AC27">
        <v>985</v>
      </c>
      <c r="AG27">
        <v>7</v>
      </c>
      <c r="AH27">
        <v>897</v>
      </c>
      <c r="AI27">
        <f t="shared" si="0"/>
        <v>784.875</v>
      </c>
      <c r="AJ27">
        <v>365</v>
      </c>
      <c r="AK27">
        <f t="shared" si="1"/>
        <v>0.59308807134894093</v>
      </c>
      <c r="AL27">
        <f t="shared" si="5"/>
        <v>1.0981047937569677</v>
      </c>
      <c r="AM27">
        <f t="shared" si="6"/>
        <v>88</v>
      </c>
      <c r="AP27">
        <f t="shared" si="2"/>
        <v>7</v>
      </c>
      <c r="AQ27">
        <f t="shared" si="3"/>
        <v>1785</v>
      </c>
      <c r="AR27">
        <f t="shared" si="4"/>
        <v>0.45588235294117646</v>
      </c>
      <c r="BF27" s="328" t="s">
        <v>148</v>
      </c>
      <c r="BG27" s="332">
        <f>'Data fits from Mathematica'!AR28</f>
        <v>4.7592982781841653E-3</v>
      </c>
      <c r="BH27" s="332">
        <f>'Data fits from Mathematica'!AS28</f>
        <v>3.5622372190123384E-3</v>
      </c>
      <c r="BI27" s="332">
        <f>'Data fits from Mathematica'!AT28</f>
        <v>2.7661109489369828E-3</v>
      </c>
      <c r="BJ27" s="332">
        <f>'Data fits from Mathematica'!AU28</f>
        <v>2.9527035622106327E-3</v>
      </c>
      <c r="BK27" s="333">
        <f>'Data fits from Mathematica'!AU30</f>
        <v>1.4040350008344121E-2</v>
      </c>
      <c r="BN27" s="328" t="s">
        <v>148</v>
      </c>
      <c r="BO27" s="332">
        <v>4.7332271660175179E-3</v>
      </c>
      <c r="BP27" s="332">
        <v>3.5712849817586064E-3</v>
      </c>
      <c r="BQ27" s="332">
        <v>3.597812601976723E-3</v>
      </c>
      <c r="BR27" s="332">
        <v>3.5718645030360799E-3</v>
      </c>
      <c r="BS27" s="333">
        <v>1.5474189252788928E-2</v>
      </c>
    </row>
    <row r="28" spans="16:71" ht="18.5" x14ac:dyDescent="0.35">
      <c r="AC28">
        <v>1066</v>
      </c>
      <c r="AG28">
        <v>8</v>
      </c>
      <c r="AH28">
        <v>978</v>
      </c>
      <c r="AI28">
        <f t="shared" si="0"/>
        <v>855.75</v>
      </c>
      <c r="AJ28">
        <v>429</v>
      </c>
      <c r="AK28">
        <f t="shared" si="1"/>
        <v>0.56134969325153372</v>
      </c>
      <c r="AL28">
        <f t="shared" si="5"/>
        <v>1.0899795501022496</v>
      </c>
      <c r="AM28">
        <f t="shared" si="6"/>
        <v>88</v>
      </c>
      <c r="AP28">
        <f t="shared" si="2"/>
        <v>8</v>
      </c>
      <c r="AQ28">
        <f t="shared" si="3"/>
        <v>1509.375</v>
      </c>
      <c r="AR28">
        <f t="shared" si="4"/>
        <v>0.49855072463768119</v>
      </c>
      <c r="BF28" s="330" t="s">
        <v>249</v>
      </c>
      <c r="BG28" s="331">
        <f>'Data fits from Mathematica'!AR29</f>
        <v>0.95070993765737777</v>
      </c>
      <c r="BH28" s="331">
        <f>'Data fits from Mathematica'!AS29</f>
        <v>0.94028449477310816</v>
      </c>
      <c r="BI28" s="331">
        <f>'Data fits from Mathematica'!AT29</f>
        <v>0.93118270330805164</v>
      </c>
      <c r="BJ28" s="331">
        <f>'Data fits from Mathematica'!AU29</f>
        <v>0.97614400178854444</v>
      </c>
      <c r="BK28" s="331">
        <f>'Data fits from Mathematica'!AU31</f>
        <v>0.94958028438177056</v>
      </c>
      <c r="BN28" s="330" t="s">
        <v>224</v>
      </c>
      <c r="BO28" s="331">
        <v>0.95088214637758861</v>
      </c>
      <c r="BP28" s="331">
        <v>0.94011300821672295</v>
      </c>
      <c r="BQ28" s="331">
        <v>0.91145470273997564</v>
      </c>
      <c r="BR28" s="331">
        <v>0.97134265576295753</v>
      </c>
      <c r="BS28" s="331">
        <v>0.94344812827431124</v>
      </c>
    </row>
    <row r="29" spans="16:71" x14ac:dyDescent="0.35">
      <c r="AC29">
        <v>1364</v>
      </c>
      <c r="AG29">
        <v>9</v>
      </c>
      <c r="AH29">
        <v>1276</v>
      </c>
      <c r="AI29">
        <f t="shared" si="0"/>
        <v>1116.5</v>
      </c>
      <c r="AJ29">
        <v>452</v>
      </c>
      <c r="AK29">
        <f t="shared" si="1"/>
        <v>0.64576802507836994</v>
      </c>
      <c r="AL29">
        <f t="shared" si="5"/>
        <v>1.0689655172413792</v>
      </c>
      <c r="AM29">
        <f t="shared" si="6"/>
        <v>88</v>
      </c>
      <c r="AP29">
        <f t="shared" si="2"/>
        <v>9</v>
      </c>
      <c r="AQ29">
        <f t="shared" si="3"/>
        <v>1693.125</v>
      </c>
      <c r="AR29">
        <f t="shared" si="4"/>
        <v>0.31782945736434109</v>
      </c>
    </row>
    <row r="30" spans="16:71" x14ac:dyDescent="0.35">
      <c r="AC30">
        <v>975</v>
      </c>
      <c r="AG30">
        <v>10</v>
      </c>
      <c r="AH30">
        <v>887</v>
      </c>
      <c r="AI30">
        <f t="shared" si="0"/>
        <v>776.125</v>
      </c>
      <c r="AJ30">
        <v>489</v>
      </c>
      <c r="AK30">
        <f t="shared" si="1"/>
        <v>0.44870349492671929</v>
      </c>
      <c r="AL30">
        <f t="shared" si="5"/>
        <v>1.0992108229988726</v>
      </c>
      <c r="AM30">
        <f t="shared" si="6"/>
        <v>88</v>
      </c>
      <c r="AP30">
        <f t="shared" si="2"/>
        <v>10</v>
      </c>
      <c r="AQ30">
        <f t="shared" si="3"/>
        <v>1601.25</v>
      </c>
      <c r="AR30">
        <f t="shared" si="4"/>
        <v>0.3251366120218579</v>
      </c>
    </row>
    <row r="31" spans="16:71" x14ac:dyDescent="0.35">
      <c r="AC31">
        <v>1039</v>
      </c>
      <c r="AG31">
        <v>11</v>
      </c>
      <c r="AH31">
        <v>951</v>
      </c>
      <c r="AI31">
        <f t="shared" si="0"/>
        <v>832.125</v>
      </c>
      <c r="AJ31">
        <v>440</v>
      </c>
      <c r="AK31">
        <f t="shared" si="1"/>
        <v>0.53732912723449</v>
      </c>
      <c r="AL31">
        <f t="shared" si="5"/>
        <v>1.0925341745531021</v>
      </c>
      <c r="AM31">
        <f t="shared" si="6"/>
        <v>88</v>
      </c>
    </row>
    <row r="32" spans="16:71" x14ac:dyDescent="0.35">
      <c r="AC32">
        <v>952</v>
      </c>
      <c r="AG32">
        <v>12</v>
      </c>
      <c r="AH32">
        <v>864</v>
      </c>
      <c r="AI32">
        <f t="shared" si="0"/>
        <v>756</v>
      </c>
      <c r="AJ32">
        <v>364</v>
      </c>
      <c r="AK32">
        <f t="shared" si="1"/>
        <v>0.57870370370370372</v>
      </c>
      <c r="AL32">
        <f t="shared" si="5"/>
        <v>1.1018518518518519</v>
      </c>
      <c r="AM32">
        <f t="shared" si="6"/>
        <v>88</v>
      </c>
    </row>
    <row r="33" spans="28:44" x14ac:dyDescent="0.35">
      <c r="AB33" t="s">
        <v>167</v>
      </c>
      <c r="AC33">
        <f>AVERAGE(AC21:AC32)</f>
        <v>1081.25</v>
      </c>
      <c r="AG33" t="s">
        <v>167</v>
      </c>
      <c r="AH33">
        <f>AVERAGE(AH21:AH30)</f>
        <v>1010.4</v>
      </c>
      <c r="AI33">
        <f>AVERAGE(AI21:AI30)</f>
        <v>884.1</v>
      </c>
      <c r="AJ33">
        <f>AVERAGE(AJ21:AJ30)</f>
        <v>411.4</v>
      </c>
      <c r="AK33">
        <f t="shared" si="1"/>
        <v>0.59283452098178946</v>
      </c>
      <c r="AP33" t="str">
        <f>AN15</f>
        <v>Average</v>
      </c>
      <c r="AQ33">
        <f>AVERAGE(AQ21:AQ30)</f>
        <v>1610</v>
      </c>
      <c r="AR33">
        <f>(AO15-AP15)/AO15</f>
        <v>0.42092391304347826</v>
      </c>
    </row>
    <row r="34" spans="28:44" x14ac:dyDescent="0.35">
      <c r="AB34" t="s">
        <v>244</v>
      </c>
      <c r="AC34">
        <f>AC33/60</f>
        <v>18.020833333333332</v>
      </c>
      <c r="AG34" t="s">
        <v>244</v>
      </c>
      <c r="AH34">
        <f>AH33/60</f>
        <v>16.84</v>
      </c>
      <c r="AI34" s="61">
        <f>AI33/60</f>
        <v>14.735000000000001</v>
      </c>
      <c r="AP34" t="s">
        <v>244</v>
      </c>
      <c r="AQ34" s="327">
        <f>AQ33/60</f>
        <v>26.833333333333332</v>
      </c>
    </row>
    <row r="35" spans="28:44" x14ac:dyDescent="0.35">
      <c r="AQ35" t="s">
        <v>246</v>
      </c>
    </row>
  </sheetData>
  <mergeCells count="22">
    <mergeCell ref="BF15:BK15"/>
    <mergeCell ref="BF22:BK22"/>
    <mergeCell ref="AA3:AC3"/>
    <mergeCell ref="AO3:AP3"/>
    <mergeCell ref="AQ3:AR3"/>
    <mergeCell ref="AS3:AT3"/>
    <mergeCell ref="AU3:AV3"/>
    <mergeCell ref="I3:K3"/>
    <mergeCell ref="L3:N3"/>
    <mergeCell ref="R3:T3"/>
    <mergeCell ref="U3:W3"/>
    <mergeCell ref="X3:Z3"/>
    <mergeCell ref="BV4:CA4"/>
    <mergeCell ref="BV9:CA9"/>
    <mergeCell ref="AY3:AZ3"/>
    <mergeCell ref="AD3:AF3"/>
    <mergeCell ref="AG3:AI3"/>
    <mergeCell ref="AJ3:AL3"/>
    <mergeCell ref="AW3:AX3"/>
    <mergeCell ref="BA3:BB3"/>
    <mergeCell ref="BF4:BK4"/>
    <mergeCell ref="BF9:BK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"/>
  <sheetViews>
    <sheetView zoomScaleNormal="100" workbookViewId="0">
      <selection activeCell="A10" sqref="A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"/>
  <sheetViews>
    <sheetView zoomScaleNormal="100" workbookViewId="0">
      <selection activeCell="U16" sqref="U16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>
    <tabColor rgb="FFFFFF00"/>
  </sheetPr>
  <dimension ref="A1"/>
  <sheetViews>
    <sheetView zoomScaleNormal="100" workbookViewId="0">
      <selection activeCell="A12" sqref="A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"/>
  <dimension ref="A2:AU58"/>
  <sheetViews>
    <sheetView zoomScale="110" zoomScaleNormal="110" workbookViewId="0">
      <selection activeCell="N11" sqref="N11"/>
    </sheetView>
  </sheetViews>
  <sheetFormatPr defaultRowHeight="14.5" x14ac:dyDescent="0.35"/>
  <cols>
    <col min="2" max="2" width="11" customWidth="1"/>
    <col min="3" max="3" width="10.81640625" customWidth="1"/>
    <col min="9" max="9" width="12.1796875" customWidth="1"/>
    <col min="11" max="11" width="11.36328125" customWidth="1"/>
    <col min="15" max="15" width="11.08984375" customWidth="1"/>
    <col min="22" max="22" width="12" bestFit="1" customWidth="1"/>
    <col min="29" max="33" width="12" bestFit="1" customWidth="1"/>
    <col min="43" max="43" width="11" bestFit="1" customWidth="1"/>
  </cols>
  <sheetData>
    <row r="2" spans="1:46" x14ac:dyDescent="0.35">
      <c r="A2" s="372" t="s">
        <v>128</v>
      </c>
      <c r="B2" s="373"/>
      <c r="C2" s="373"/>
      <c r="D2" s="373"/>
      <c r="E2" s="373"/>
      <c r="F2" s="373"/>
      <c r="G2" s="374"/>
    </row>
    <row r="3" spans="1:46" ht="18.5" x14ac:dyDescent="0.45">
      <c r="A3" s="52"/>
      <c r="B3" s="382" t="s">
        <v>62</v>
      </c>
      <c r="C3" s="384"/>
      <c r="D3" s="383" t="s">
        <v>24</v>
      </c>
      <c r="E3" s="383"/>
      <c r="F3" s="383" t="s">
        <v>25</v>
      </c>
      <c r="G3" s="384"/>
      <c r="Q3" s="378"/>
      <c r="R3" s="378"/>
      <c r="S3" s="378"/>
      <c r="T3" s="378"/>
      <c r="U3" s="378"/>
      <c r="V3" s="378"/>
      <c r="W3" s="378"/>
    </row>
    <row r="4" spans="1:46" ht="15" thickBot="1" x14ac:dyDescent="0.4">
      <c r="A4" s="54"/>
      <c r="B4" s="148" t="s">
        <v>26</v>
      </c>
      <c r="C4" s="149" t="s">
        <v>27</v>
      </c>
      <c r="D4" s="148" t="s">
        <v>26</v>
      </c>
      <c r="E4" s="150" t="s">
        <v>27</v>
      </c>
      <c r="F4" s="149" t="s">
        <v>26</v>
      </c>
      <c r="G4" s="150" t="s">
        <v>27</v>
      </c>
    </row>
    <row r="5" spans="1:46" x14ac:dyDescent="0.35">
      <c r="A5" s="10" t="s">
        <v>1</v>
      </c>
      <c r="B5" s="14">
        <v>23.8</v>
      </c>
      <c r="C5" s="14">
        <v>10.4</v>
      </c>
      <c r="D5" s="217">
        <v>23.7</v>
      </c>
      <c r="E5" s="218">
        <v>10.8</v>
      </c>
      <c r="F5" s="14">
        <v>23.3</v>
      </c>
      <c r="G5" s="218">
        <v>13</v>
      </c>
      <c r="I5" s="396" t="s">
        <v>156</v>
      </c>
      <c r="J5" s="397"/>
      <c r="K5" s="397"/>
      <c r="L5" s="398"/>
    </row>
    <row r="6" spans="1:46" ht="15" thickBot="1" x14ac:dyDescent="0.4">
      <c r="A6" s="97" t="s">
        <v>109</v>
      </c>
      <c r="B6" s="14">
        <v>24.4</v>
      </c>
      <c r="C6" s="14">
        <v>14.6</v>
      </c>
      <c r="D6" s="217">
        <v>25.7</v>
      </c>
      <c r="E6" s="218">
        <v>14.6</v>
      </c>
      <c r="F6" s="14">
        <v>23.7</v>
      </c>
      <c r="G6" s="218">
        <v>16</v>
      </c>
      <c r="I6" s="399"/>
      <c r="J6" s="400"/>
      <c r="K6" s="400"/>
      <c r="L6" s="401"/>
    </row>
    <row r="7" spans="1:46" ht="16" thickBot="1" x14ac:dyDescent="0.4">
      <c r="A7" s="97" t="s">
        <v>110</v>
      </c>
      <c r="B7" s="14">
        <v>24.9</v>
      </c>
      <c r="C7" s="14">
        <v>18.600000000000001</v>
      </c>
      <c r="D7" s="217">
        <v>24.2</v>
      </c>
      <c r="E7" s="218">
        <v>17.3</v>
      </c>
      <c r="F7" s="14">
        <v>21.5</v>
      </c>
      <c r="G7" s="218">
        <v>15.7</v>
      </c>
      <c r="I7" s="266"/>
      <c r="J7" s="266"/>
      <c r="K7" s="266"/>
      <c r="L7" s="266"/>
      <c r="N7" s="385" t="s">
        <v>145</v>
      </c>
      <c r="O7" s="385"/>
      <c r="P7" s="385"/>
      <c r="Q7" s="385"/>
      <c r="R7" s="385"/>
      <c r="U7" s="385" t="s">
        <v>154</v>
      </c>
      <c r="V7" s="385"/>
      <c r="W7" s="385"/>
      <c r="X7" s="385"/>
      <c r="Y7" s="385"/>
      <c r="AB7" s="385" t="s">
        <v>152</v>
      </c>
      <c r="AC7" s="385"/>
      <c r="AD7" s="385"/>
      <c r="AE7" s="385"/>
      <c r="AF7" s="385"/>
      <c r="AI7" s="385" t="s">
        <v>152</v>
      </c>
      <c r="AJ7" s="385"/>
      <c r="AK7" s="385"/>
      <c r="AL7" s="385"/>
      <c r="AM7" s="385"/>
      <c r="AP7" s="385" t="s">
        <v>152</v>
      </c>
      <c r="AQ7" s="385"/>
      <c r="AR7" s="385"/>
      <c r="AS7" s="385"/>
      <c r="AT7" s="385"/>
    </row>
    <row r="8" spans="1:46" ht="15" thickBot="1" x14ac:dyDescent="0.4">
      <c r="A8" s="97" t="s">
        <v>111</v>
      </c>
      <c r="B8" s="14">
        <v>25.2</v>
      </c>
      <c r="C8" s="14">
        <v>16.8</v>
      </c>
      <c r="D8" s="217">
        <v>26.9</v>
      </c>
      <c r="E8" s="218">
        <v>18.399999999999999</v>
      </c>
      <c r="F8" s="14">
        <v>23.7</v>
      </c>
      <c r="G8" s="218">
        <v>17.3</v>
      </c>
      <c r="N8" t="s">
        <v>146</v>
      </c>
      <c r="O8">
        <f>$S8</f>
        <v>1.9913769097245471</v>
      </c>
      <c r="P8">
        <f>$S8</f>
        <v>1.9913769097245471</v>
      </c>
      <c r="Q8">
        <f>$S8</f>
        <v>1.9913769097245471</v>
      </c>
      <c r="R8">
        <f>$S8</f>
        <v>1.9913769097245471</v>
      </c>
      <c r="S8">
        <v>1.9913769097245471</v>
      </c>
      <c r="U8" t="s">
        <v>146</v>
      </c>
      <c r="V8">
        <v>3.2754587147952008</v>
      </c>
      <c r="W8">
        <v>2.1348045732571617</v>
      </c>
      <c r="X8">
        <v>1.266414346169435</v>
      </c>
      <c r="Y8">
        <v>1.6689094117071439</v>
      </c>
      <c r="AB8" t="s">
        <v>146</v>
      </c>
      <c r="AC8">
        <v>0.29604888821014957</v>
      </c>
      <c r="AD8">
        <v>0.32834243877025715</v>
      </c>
      <c r="AE8">
        <v>0.26357757742751242</v>
      </c>
      <c r="AF8">
        <v>0.635976219392558</v>
      </c>
      <c r="AI8" t="s">
        <v>146</v>
      </c>
      <c r="AJ8" s="263">
        <f>AN8</f>
        <v>0.2960488882101282</v>
      </c>
      <c r="AK8" s="263">
        <f>AN8</f>
        <v>0.2960488882101282</v>
      </c>
      <c r="AL8" s="263">
        <f>AN8</f>
        <v>0.2960488882101282</v>
      </c>
      <c r="AM8" s="263">
        <f>AN8</f>
        <v>0.2960488882101282</v>
      </c>
      <c r="AN8" s="264">
        <v>0.2960488882101282</v>
      </c>
      <c r="AP8" t="s">
        <v>146</v>
      </c>
      <c r="AQ8">
        <v>1.2677791298009993</v>
      </c>
      <c r="AR8">
        <v>1</v>
      </c>
      <c r="AS8">
        <v>1</v>
      </c>
      <c r="AT8">
        <v>1</v>
      </c>
    </row>
    <row r="9" spans="1:46" ht="15" thickBot="1" x14ac:dyDescent="0.4">
      <c r="A9" s="97" t="s">
        <v>112</v>
      </c>
      <c r="B9" s="14">
        <v>26.4</v>
      </c>
      <c r="C9" s="14">
        <v>19.2</v>
      </c>
      <c r="D9" s="217">
        <v>26.3</v>
      </c>
      <c r="E9" s="218">
        <v>16.7</v>
      </c>
      <c r="F9" s="14">
        <v>23.8</v>
      </c>
      <c r="G9" s="218">
        <v>17</v>
      </c>
      <c r="I9">
        <f>C15/100</f>
        <v>0.56302521008403361</v>
      </c>
      <c r="N9" t="s">
        <v>147</v>
      </c>
      <c r="O9">
        <v>0.11636123912290591</v>
      </c>
      <c r="P9">
        <v>0.10713473410117319</v>
      </c>
      <c r="Q9">
        <v>0.12976474527143456</v>
      </c>
      <c r="R9">
        <v>0.13387071432351405</v>
      </c>
      <c r="U9" t="s">
        <v>147</v>
      </c>
      <c r="V9">
        <v>0.2505816990252791</v>
      </c>
      <c r="W9">
        <v>0.19435300864038782</v>
      </c>
      <c r="X9">
        <v>0.15448743830392209</v>
      </c>
      <c r="Y9">
        <v>0.17616248130814283</v>
      </c>
      <c r="AB9" t="s">
        <v>147</v>
      </c>
      <c r="AC9">
        <v>1.3949651936036844E-7</v>
      </c>
      <c r="AD9">
        <v>1.3949651936036844E-7</v>
      </c>
      <c r="AE9">
        <v>1.8901130103436908E-7</v>
      </c>
      <c r="AF9">
        <v>4.1013812069114382E-4</v>
      </c>
      <c r="AI9" t="s">
        <v>147</v>
      </c>
      <c r="AJ9">
        <v>2.3796339704019487E-7</v>
      </c>
      <c r="AK9">
        <v>2.3796339704019487E-7</v>
      </c>
      <c r="AL9">
        <v>2.3796339704019487E-7</v>
      </c>
      <c r="AM9">
        <v>9.8525555541296154E-7</v>
      </c>
      <c r="AP9" t="s">
        <v>147</v>
      </c>
      <c r="AQ9">
        <v>3.6023336869146349E-4</v>
      </c>
      <c r="AR9">
        <v>3.0635091006165922E-4</v>
      </c>
      <c r="AS9">
        <v>7.5545329583531567E-4</v>
      </c>
      <c r="AT9">
        <v>3.634683270376142E-4</v>
      </c>
    </row>
    <row r="10" spans="1:46" ht="15" thickBot="1" x14ac:dyDescent="0.4">
      <c r="A10" s="97" t="s">
        <v>113</v>
      </c>
      <c r="B10" s="14">
        <v>26.2</v>
      </c>
      <c r="C10" s="14">
        <v>19.7</v>
      </c>
      <c r="D10" s="217">
        <v>24.6</v>
      </c>
      <c r="E10" s="218">
        <v>17</v>
      </c>
      <c r="F10" s="14">
        <v>22.9</v>
      </c>
      <c r="G10" s="218">
        <v>18.2</v>
      </c>
      <c r="U10" t="s">
        <v>153</v>
      </c>
      <c r="V10">
        <v>0.12741370562124305</v>
      </c>
      <c r="W10">
        <v>0.13083372024566073</v>
      </c>
      <c r="X10">
        <v>6.2994431812119084E-2</v>
      </c>
      <c r="Y10">
        <v>1.0967745394771364E-2</v>
      </c>
      <c r="AB10" t="s">
        <v>150</v>
      </c>
      <c r="AC10">
        <v>0.35365185729392257</v>
      </c>
      <c r="AD10">
        <v>0.32961480642485935</v>
      </c>
      <c r="AE10">
        <v>0.30107654830178637</v>
      </c>
      <c r="AF10">
        <v>0.49019769265214297</v>
      </c>
      <c r="AI10" t="s">
        <v>150</v>
      </c>
      <c r="AJ10" s="263">
        <f>AN10</f>
        <v>0.35365185729390558</v>
      </c>
      <c r="AK10" s="263">
        <f>AN10</f>
        <v>0.35365185729390558</v>
      </c>
      <c r="AL10" s="263">
        <f>AN10</f>
        <v>0.35365185729390558</v>
      </c>
      <c r="AM10" s="263">
        <f>AN10</f>
        <v>0.35365185729390558</v>
      </c>
      <c r="AN10" s="264">
        <v>0.35365185729390558</v>
      </c>
      <c r="AP10" t="s">
        <v>150</v>
      </c>
      <c r="AQ10">
        <v>1.4345695908391141E-4</v>
      </c>
      <c r="AR10">
        <v>1.5303100273953888E-4</v>
      </c>
      <c r="AS10">
        <v>2.8067858517873557E-4</v>
      </c>
      <c r="AT10">
        <v>1.8645833015754198E-4</v>
      </c>
    </row>
    <row r="11" spans="1:46" x14ac:dyDescent="0.35">
      <c r="A11" s="11" t="s">
        <v>114</v>
      </c>
      <c r="B11" s="63">
        <v>25.7</v>
      </c>
      <c r="C11" s="63">
        <v>20.399999999999999</v>
      </c>
      <c r="D11" s="219">
        <v>26.7</v>
      </c>
      <c r="E11" s="220">
        <v>19.8</v>
      </c>
      <c r="F11" s="63">
        <v>24.9</v>
      </c>
      <c r="G11" s="220">
        <v>19.899999999999999</v>
      </c>
      <c r="AB11" t="s">
        <v>151</v>
      </c>
      <c r="AC11">
        <v>3.4039611800225296E-4</v>
      </c>
      <c r="AD11">
        <v>3.3192910372074679E-4</v>
      </c>
      <c r="AE11">
        <v>4.3845739513059134E-4</v>
      </c>
      <c r="AF11">
        <v>1.0839071850008236E-6</v>
      </c>
      <c r="AI11" t="s">
        <v>151</v>
      </c>
      <c r="AJ11">
        <v>3.4039611800226001E-4</v>
      </c>
      <c r="AK11">
        <v>3.172497025576823E-4</v>
      </c>
      <c r="AL11">
        <v>4.3699249491387906E-4</v>
      </c>
      <c r="AM11">
        <v>6.984341359165617E-4</v>
      </c>
      <c r="AP11" t="s">
        <v>151</v>
      </c>
      <c r="AQ11" s="265">
        <v>1.2384185791015624E-7</v>
      </c>
      <c r="AR11">
        <v>7.7305242914998719E-8</v>
      </c>
      <c r="AS11">
        <v>1.2204361369712591E-7</v>
      </c>
      <c r="AT11" s="265">
        <v>8.7000000000000003E-7</v>
      </c>
    </row>
    <row r="12" spans="1:46" x14ac:dyDescent="0.35">
      <c r="I12" s="390" t="s">
        <v>155</v>
      </c>
      <c r="J12" s="390"/>
      <c r="K12" s="390"/>
      <c r="L12" s="390"/>
    </row>
    <row r="13" spans="1:46" x14ac:dyDescent="0.35">
      <c r="A13" s="387" t="s">
        <v>132</v>
      </c>
      <c r="B13" s="388"/>
      <c r="C13" s="388"/>
      <c r="D13" s="388"/>
      <c r="E13" s="388"/>
      <c r="F13" s="388"/>
      <c r="H13" s="262" t="s">
        <v>144</v>
      </c>
    </row>
    <row r="14" spans="1:46" x14ac:dyDescent="0.35">
      <c r="A14" s="186" t="s">
        <v>23</v>
      </c>
      <c r="B14" s="61" t="s">
        <v>142</v>
      </c>
      <c r="C14" s="41" t="s">
        <v>62</v>
      </c>
      <c r="D14" s="149" t="s">
        <v>24</v>
      </c>
      <c r="E14" s="41" t="s">
        <v>25</v>
      </c>
      <c r="F14" s="150" t="s">
        <v>143</v>
      </c>
      <c r="H14" s="61" t="str">
        <f>B14</f>
        <v>Interval s</v>
      </c>
      <c r="I14" s="61" t="str">
        <f>C14</f>
        <v>Ebbinghaus</v>
      </c>
      <c r="J14" s="61" t="str">
        <f>D14</f>
        <v>Mack</v>
      </c>
      <c r="K14" s="61" t="str">
        <f>E14</f>
        <v>Seitz</v>
      </c>
      <c r="L14" s="61" t="str">
        <f>F14</f>
        <v>Drost</v>
      </c>
      <c r="N14" s="61" t="str">
        <f>H14</f>
        <v>Interval s</v>
      </c>
      <c r="O14" s="61" t="str">
        <f>I14</f>
        <v>Ebbinghaus</v>
      </c>
      <c r="P14" s="61" t="str">
        <f>J14</f>
        <v>Mack</v>
      </c>
      <c r="Q14" s="61" t="str">
        <f>K14</f>
        <v>Seitz</v>
      </c>
      <c r="R14" s="61" t="str">
        <f>L14</f>
        <v>Drost</v>
      </c>
      <c r="U14" s="61" t="str">
        <f>N14</f>
        <v>Interval s</v>
      </c>
      <c r="V14" s="61" t="str">
        <f>O14</f>
        <v>Ebbinghaus</v>
      </c>
      <c r="W14" s="61" t="str">
        <f>P14</f>
        <v>Mack</v>
      </c>
      <c r="X14" s="61" t="str">
        <f>Q14</f>
        <v>Seitz</v>
      </c>
      <c r="Y14" s="61" t="str">
        <f>R14</f>
        <v>Drost</v>
      </c>
      <c r="AB14" s="61" t="str">
        <f>U14</f>
        <v>Interval s</v>
      </c>
      <c r="AC14" s="61" t="str">
        <f>V14</f>
        <v>Ebbinghaus</v>
      </c>
      <c r="AD14" s="61" t="str">
        <f>W14</f>
        <v>Mack</v>
      </c>
      <c r="AE14" s="61" t="str">
        <f>X14</f>
        <v>Seitz</v>
      </c>
      <c r="AF14" s="61" t="str">
        <f>Y14</f>
        <v>Drost</v>
      </c>
      <c r="AI14" s="61" t="str">
        <f>AB14</f>
        <v>Interval s</v>
      </c>
      <c r="AJ14" s="61" t="str">
        <f>AC14</f>
        <v>Ebbinghaus</v>
      </c>
      <c r="AK14" s="61" t="str">
        <f>AD14</f>
        <v>Mack</v>
      </c>
      <c r="AL14" s="61" t="str">
        <f>AE14</f>
        <v>Seitz</v>
      </c>
      <c r="AM14" s="61" t="str">
        <f>AF14</f>
        <v>Drost</v>
      </c>
      <c r="AP14" s="61" t="str">
        <f>AI14</f>
        <v>Interval s</v>
      </c>
      <c r="AQ14" s="61" t="str">
        <f>AJ14</f>
        <v>Ebbinghaus</v>
      </c>
      <c r="AR14" s="61" t="str">
        <f>AK14</f>
        <v>Mack</v>
      </c>
      <c r="AS14" s="61" t="str">
        <f>AL14</f>
        <v>Seitz</v>
      </c>
      <c r="AT14" s="61" t="str">
        <f>AM14</f>
        <v>Drost</v>
      </c>
    </row>
    <row r="15" spans="1:46" x14ac:dyDescent="0.35">
      <c r="A15" s="10" t="s">
        <v>1</v>
      </c>
      <c r="B15" s="91">
        <f>20*60</f>
        <v>1200</v>
      </c>
      <c r="C15" s="208">
        <f>(('Data fits (Normalized)'!B5-'Data fits (Normalized)'!C5)/'Data fits (Normalized)'!B5)*100</f>
        <v>56.30252100840336</v>
      </c>
      <c r="D15" s="88">
        <f>(('Data fits (Normalized)'!D5-'Data fits (Normalized)'!E5)/'Data fits (Normalized)'!D5)*100</f>
        <v>54.430379746835435</v>
      </c>
      <c r="E15" s="209">
        <f>(('Data fits (Normalized)'!F5-'Data fits (Normalized)'!G5)/'Data fits (Normalized)'!F5)*100</f>
        <v>44.206008583690988</v>
      </c>
      <c r="F15" s="210">
        <v>47.167729999999999</v>
      </c>
      <c r="H15" s="61">
        <f t="shared" ref="H15:H21" si="0">B15</f>
        <v>1200</v>
      </c>
      <c r="I15">
        <f>C15/100/$I$9</f>
        <v>1</v>
      </c>
      <c r="J15">
        <f t="shared" ref="J15:L21" si="1">D15/100/$I$9</f>
        <v>0.96674853580200248</v>
      </c>
      <c r="K15">
        <f t="shared" si="1"/>
        <v>0.78515149574018317</v>
      </c>
      <c r="L15">
        <f t="shared" si="1"/>
        <v>0.83775520447761187</v>
      </c>
      <c r="N15" s="61">
        <f t="shared" ref="N15:N21" si="2">H15</f>
        <v>1200</v>
      </c>
      <c r="O15">
        <f>O$8*(1+$H15)^-O$9</f>
        <v>0.8725976254797746</v>
      </c>
      <c r="P15">
        <f>P$8*(1+$H15)^-P$9</f>
        <v>0.93159563691418634</v>
      </c>
      <c r="Q15">
        <f>Q$8*(1+$H15)^-Q$9</f>
        <v>0.79348250043852486</v>
      </c>
      <c r="R15">
        <f>R$8*(1+$H15)^-R$9</f>
        <v>0.7707132846866821</v>
      </c>
      <c r="U15" s="61">
        <f t="shared" ref="U15:U21" si="3">N15</f>
        <v>1200</v>
      </c>
      <c r="V15">
        <f>V$8*(1+$H15)^-V$9</f>
        <v>0.55410875325458175</v>
      </c>
      <c r="W15">
        <f>W$8*(1+$H15)^-W$9</f>
        <v>0.53807111141588648</v>
      </c>
      <c r="X15">
        <f>X$8*(1+$H15)^-X$9</f>
        <v>0.42347240100684602</v>
      </c>
      <c r="Y15">
        <f>Y$8*(1+$H15)^-Y$9</f>
        <v>0.47855606688912483</v>
      </c>
      <c r="AB15" s="61">
        <f>U15</f>
        <v>1200</v>
      </c>
      <c r="AC15">
        <f>AC$8*EXP(-$H15*AC$9)+AC$10*EXP(-$H15*AC$11)</f>
        <v>0.53105859056392801</v>
      </c>
      <c r="AD15">
        <f>AD$8*EXP(-$H15*AD$9)+AD$10*EXP(-$H15*AD$11)</f>
        <v>0.54960751937717289</v>
      </c>
      <c r="AE15">
        <f>AE$8*EXP(-$H15*AE$9)+AE$10*EXP(-$H15*AE$11)</f>
        <v>0.44141674751843679</v>
      </c>
      <c r="AF15">
        <f>AF$8*EXP(-$H15*AF$9)+AF$10*EXP(-$H15*AF$11)</f>
        <v>0.87833343527472274</v>
      </c>
      <c r="AI15" s="61">
        <f t="shared" ref="AI15:AI20" si="4">AB15</f>
        <v>1200</v>
      </c>
      <c r="AJ15">
        <f>AJ$8*EXP(-$H15*AJ$9)+AJ$10*EXP(-$H15*AJ$11)</f>
        <v>0.53102361727378389</v>
      </c>
      <c r="AK15">
        <f>AK$8*EXP(-$H15*AK$9)+AK$10*EXP(-$H15*AK$11)</f>
        <v>0.53764407052166097</v>
      </c>
      <c r="AL15">
        <f>AL$8*EXP(-$H15*AL$9)+AL$10*EXP(-$H15*AL$11)</f>
        <v>0.50529646073515011</v>
      </c>
      <c r="AM15">
        <f>AM$8*EXP(-$H15*AM$9)+AM$10*EXP(-$H15*AM$11)</f>
        <v>0.44866145498245358</v>
      </c>
      <c r="AP15" s="61">
        <f t="shared" ref="AP15:AP20" si="5">AI15</f>
        <v>1200</v>
      </c>
      <c r="AQ15">
        <f>AQ$8*EXP(-$H15*AQ$9) + (AQ$8* AQ$10/(AQ$9-AQ$11))*(EXP(-$H15*AQ$11)-EXP(-$H15*AQ$9) )</f>
        <v>1.0000056663782835</v>
      </c>
      <c r="AR15">
        <f>AR$8*EXP(-$H15*AR$9) + (AR$8* AR$10/(AR$9-AR$11))*(EXP(-$H15*AR$11)-EXP(-$H15*AR$9) )</f>
        <v>0.846037126131443</v>
      </c>
      <c r="AS15">
        <f>AS$8*EXP(-$H15*AS$9) + (AS$8* AS$10/(AS$9-AS$11))*(EXP(-$H15*AS$11)-EXP(-$H15*AS$9) )</f>
        <v>0.62536553171427034</v>
      </c>
      <c r="AT15">
        <f>AT$8*EXP(-$H15*AT$9) + (AT$8* AT$10/(AT$9-AT$11))*(EXP(-$H15*AT$11)-EXP(-$H15*AT$9) )</f>
        <v>0.82774944728929267</v>
      </c>
    </row>
    <row r="16" spans="1:46" x14ac:dyDescent="0.35">
      <c r="A16" s="97" t="s">
        <v>109</v>
      </c>
      <c r="B16" s="61">
        <f>3600</f>
        <v>3600</v>
      </c>
      <c r="C16" s="211">
        <f>(('Data fits (Normalized)'!B6-'Data fits (Normalized)'!C6)/'Data fits (Normalized)'!B6)*100</f>
        <v>40.16393442622951</v>
      </c>
      <c r="D16" s="89">
        <f>(('Data fits (Normalized)'!D6-'Data fits (Normalized)'!E6)/'Data fits (Normalized)'!D6)*100</f>
        <v>43.190661478599225</v>
      </c>
      <c r="E16" s="87">
        <f>(('Data fits (Normalized)'!F6-'Data fits (Normalized)'!G6)/'Data fits (Normalized)'!F6)*100</f>
        <v>32.489451476793249</v>
      </c>
      <c r="F16" s="212">
        <v>37.290900000000001</v>
      </c>
      <c r="H16" s="61">
        <f t="shared" si="0"/>
        <v>3600</v>
      </c>
      <c r="I16">
        <f t="shared" ref="I16:I21" si="6">C16/100/$I$9</f>
        <v>0.71335943234646437</v>
      </c>
      <c r="J16">
        <f t="shared" si="1"/>
        <v>0.76711771879900115</v>
      </c>
      <c r="K16">
        <f t="shared" si="1"/>
        <v>0.57705145160274585</v>
      </c>
      <c r="L16">
        <f t="shared" si="1"/>
        <v>0.66233091044776116</v>
      </c>
      <c r="N16" s="61">
        <f t="shared" si="2"/>
        <v>3600</v>
      </c>
      <c r="O16">
        <f t="shared" ref="O16:R21" si="7">O$8*(1+$H16)^-O$9</f>
        <v>0.76793359264576855</v>
      </c>
      <c r="P16">
        <f t="shared" si="7"/>
        <v>0.82820342401673375</v>
      </c>
      <c r="Q16">
        <f t="shared" si="7"/>
        <v>0.68810565454312944</v>
      </c>
      <c r="R16">
        <f t="shared" si="7"/>
        <v>0.66535368025566854</v>
      </c>
      <c r="U16" s="61">
        <f t="shared" si="3"/>
        <v>3600</v>
      </c>
      <c r="V16">
        <f t="shared" ref="V16:Y17" si="8">V$8*(1+$H16)^-V$9</f>
        <v>0.42082117201958347</v>
      </c>
      <c r="W16">
        <f t="shared" si="8"/>
        <v>0.4346669210658009</v>
      </c>
      <c r="X16">
        <f t="shared" si="8"/>
        <v>0.35739882807468271</v>
      </c>
      <c r="Y16">
        <f t="shared" si="8"/>
        <v>0.39438868104879476</v>
      </c>
      <c r="AB16" s="61">
        <f t="shared" ref="AB16:AB21" si="9">U16</f>
        <v>3600</v>
      </c>
      <c r="AC16">
        <f t="shared" ref="AC16:AF21" si="10">AC$8*EXP(-$H16*AC$9)+AC$10*EXP(-$H16*AC$11)</f>
        <v>0.39974396038594273</v>
      </c>
      <c r="AD16">
        <f t="shared" si="10"/>
        <v>0.42795880639495743</v>
      </c>
      <c r="AE16">
        <f t="shared" si="10"/>
        <v>0.32550896756291964</v>
      </c>
      <c r="AF16">
        <f t="shared" si="10"/>
        <v>0.63356878455817478</v>
      </c>
      <c r="AI16" s="61">
        <f t="shared" si="4"/>
        <v>3600</v>
      </c>
      <c r="AJ16">
        <f t="shared" ref="AJ16:AM21" si="11">AJ$8*EXP(-$H16*AJ$9)+AJ$10*EXP(-$H16*AJ$11)</f>
        <v>0.39963908802799053</v>
      </c>
      <c r="AK16">
        <f t="shared" si="11"/>
        <v>0.40866282263518683</v>
      </c>
      <c r="AL16">
        <f t="shared" si="11"/>
        <v>0.36913786233617524</v>
      </c>
      <c r="AM16">
        <f t="shared" si="11"/>
        <v>0.32361623108167137</v>
      </c>
      <c r="AP16" s="61">
        <f t="shared" si="5"/>
        <v>3600</v>
      </c>
      <c r="AQ16">
        <f t="shared" ref="AQ16:AT21" si="12">AQ$8*EXP(-$H16*AQ$9) + (AQ$8* AQ$10/(AQ$9-AQ$11))*(EXP(-$H16*AQ$11)-EXP(-$H16*AQ$9) )</f>
        <v>0.71334751423512255</v>
      </c>
      <c r="AR16">
        <f t="shared" si="12"/>
        <v>0.66558985565699147</v>
      </c>
      <c r="AS16">
        <f t="shared" si="12"/>
        <v>0.41284460817743357</v>
      </c>
      <c r="AT16">
        <f t="shared" si="12"/>
        <v>0.64388981640446086</v>
      </c>
    </row>
    <row r="17" spans="1:47" x14ac:dyDescent="0.35">
      <c r="A17" s="97" t="s">
        <v>110</v>
      </c>
      <c r="B17" s="61">
        <f>9*3600</f>
        <v>32400</v>
      </c>
      <c r="C17" s="211">
        <f>(('Data fits (Normalized)'!B7-'Data fits (Normalized)'!C7)/'Data fits (Normalized)'!B7)*100</f>
        <v>25.3012048192771</v>
      </c>
      <c r="D17" s="89">
        <f>(('Data fits (Normalized)'!D7-'Data fits (Normalized)'!E7)/'Data fits (Normalized)'!D7)*100</f>
        <v>28.512396694214871</v>
      </c>
      <c r="E17" s="87">
        <f>(('Data fits (Normalized)'!F7-'Data fits (Normalized)'!G7)/'Data fits (Normalized)'!F7)*100</f>
        <v>26.976744186046513</v>
      </c>
      <c r="F17" s="212">
        <v>27.644490000000001</v>
      </c>
      <c r="H17" s="61">
        <f t="shared" si="0"/>
        <v>32400</v>
      </c>
      <c r="I17">
        <f t="shared" si="6"/>
        <v>0.44937960798417537</v>
      </c>
      <c r="J17">
        <f t="shared" si="1"/>
        <v>0.50641420994202535</v>
      </c>
      <c r="K17">
        <f t="shared" si="1"/>
        <v>0.47913918778202019</v>
      </c>
      <c r="L17">
        <f t="shared" si="1"/>
        <v>0.49099915074626865</v>
      </c>
      <c r="N17" s="61">
        <f t="shared" si="2"/>
        <v>32400</v>
      </c>
      <c r="O17">
        <f t="shared" si="7"/>
        <v>0.5947018656210834</v>
      </c>
      <c r="P17">
        <f t="shared" si="7"/>
        <v>0.65450955454323956</v>
      </c>
      <c r="Q17">
        <f t="shared" si="7"/>
        <v>0.51741856060559166</v>
      </c>
      <c r="R17">
        <f t="shared" si="7"/>
        <v>0.49581743034444925</v>
      </c>
      <c r="U17" s="61">
        <f t="shared" si="3"/>
        <v>32400</v>
      </c>
      <c r="V17">
        <f t="shared" si="8"/>
        <v>0.24266589234600416</v>
      </c>
      <c r="W17">
        <f t="shared" si="8"/>
        <v>0.28360737884715814</v>
      </c>
      <c r="X17">
        <f t="shared" si="8"/>
        <v>0.25453716748343763</v>
      </c>
      <c r="Y17">
        <f t="shared" si="8"/>
        <v>0.26781913407127106</v>
      </c>
      <c r="AB17" s="61">
        <f t="shared" si="9"/>
        <v>32400</v>
      </c>
      <c r="AC17">
        <f t="shared" si="10"/>
        <v>0.29471959776878548</v>
      </c>
      <c r="AD17">
        <f t="shared" si="10"/>
        <v>0.32686881918183203</v>
      </c>
      <c r="AE17">
        <f t="shared" si="10"/>
        <v>0.26196857340284518</v>
      </c>
      <c r="AF17">
        <f t="shared" si="10"/>
        <v>0.47328249325023342</v>
      </c>
      <c r="AI17" s="61">
        <f t="shared" si="4"/>
        <v>32400</v>
      </c>
      <c r="AJ17">
        <f t="shared" si="11"/>
        <v>0.29378086246744739</v>
      </c>
      <c r="AK17">
        <f t="shared" si="11"/>
        <v>0.29378727192193765</v>
      </c>
      <c r="AL17">
        <f t="shared" si="11"/>
        <v>0.29377537471308929</v>
      </c>
      <c r="AM17">
        <f t="shared" si="11"/>
        <v>0.28674758205870232</v>
      </c>
      <c r="AP17" s="61">
        <f t="shared" si="5"/>
        <v>32400</v>
      </c>
      <c r="AQ17">
        <f t="shared" si="12"/>
        <v>0.50302970373514411</v>
      </c>
      <c r="AR17">
        <f t="shared" si="12"/>
        <v>0.49842911058494166</v>
      </c>
      <c r="AS17">
        <f t="shared" si="12"/>
        <v>0.37013020825178028</v>
      </c>
      <c r="AT17">
        <f t="shared" si="12"/>
        <v>0.49993937648590153</v>
      </c>
    </row>
    <row r="18" spans="1:47" x14ac:dyDescent="0.35">
      <c r="A18" s="97" t="s">
        <v>111</v>
      </c>
      <c r="B18" s="61">
        <f>24*3600</f>
        <v>86400</v>
      </c>
      <c r="C18" s="211">
        <f>(('Data fits (Normalized)'!B8-'Data fits (Normalized)'!C8)/'Data fits (Normalized)'!B8)*100</f>
        <v>33.333333333333329</v>
      </c>
      <c r="D18" s="89">
        <f>(('Data fits (Normalized)'!D8-'Data fits (Normalized)'!E8)/'Data fits (Normalized)'!D8)*100</f>
        <v>31.59851301115242</v>
      </c>
      <c r="E18" s="87">
        <f>(('Data fits (Normalized)'!F8-'Data fits (Normalized)'!G8)/'Data fits (Normalized)'!F8)*100</f>
        <v>27.004219409282694</v>
      </c>
      <c r="F18" s="212">
        <v>31.67801</v>
      </c>
      <c r="H18" s="61">
        <f t="shared" si="0"/>
        <v>86400</v>
      </c>
      <c r="I18">
        <f t="shared" si="6"/>
        <v>0.59203980099502473</v>
      </c>
      <c r="J18">
        <f t="shared" si="1"/>
        <v>0.56122732064584147</v>
      </c>
      <c r="K18">
        <f t="shared" si="1"/>
        <v>0.47962718055293141</v>
      </c>
      <c r="L18">
        <f t="shared" si="1"/>
        <v>0.56263928208955227</v>
      </c>
      <c r="N18" s="61">
        <f t="shared" si="2"/>
        <v>86400</v>
      </c>
      <c r="O18">
        <f t="shared" si="7"/>
        <v>0.53055941564508902</v>
      </c>
      <c r="P18">
        <f t="shared" si="7"/>
        <v>0.58922456088134412</v>
      </c>
      <c r="Q18">
        <f t="shared" si="7"/>
        <v>0.45558284940887045</v>
      </c>
      <c r="R18">
        <f t="shared" si="7"/>
        <v>0.43480864796803453</v>
      </c>
      <c r="U18" s="61">
        <f t="shared" si="3"/>
        <v>86400</v>
      </c>
      <c r="V18">
        <f t="shared" ref="V18:Y21" si="13">V$8*(1+$H18)^-V$9 + V$10</f>
        <v>0.31720263214713396</v>
      </c>
      <c r="W18">
        <f t="shared" si="13"/>
        <v>0.36521927880194599</v>
      </c>
      <c r="X18">
        <f t="shared" si="13"/>
        <v>0.2817432336318228</v>
      </c>
      <c r="Y18">
        <f t="shared" si="13"/>
        <v>0.2362896265904037</v>
      </c>
      <c r="AB18" s="61">
        <f t="shared" si="9"/>
        <v>86400</v>
      </c>
      <c r="AC18">
        <f t="shared" si="10"/>
        <v>0.29250217551014396</v>
      </c>
      <c r="AD18">
        <f t="shared" si="10"/>
        <v>0.32440884420564592</v>
      </c>
      <c r="AE18">
        <f t="shared" si="10"/>
        <v>0.25930815956983333</v>
      </c>
      <c r="AF18">
        <f t="shared" si="10"/>
        <v>0.44637490065134444</v>
      </c>
      <c r="AI18" s="61">
        <f t="shared" si="4"/>
        <v>86400</v>
      </c>
      <c r="AJ18">
        <f t="shared" si="11"/>
        <v>0.29002425750582844</v>
      </c>
      <c r="AK18">
        <f t="shared" si="11"/>
        <v>0.29002425750620975</v>
      </c>
      <c r="AL18">
        <f t="shared" si="11"/>
        <v>0.29002425750576877</v>
      </c>
      <c r="AM18">
        <f t="shared" si="11"/>
        <v>0.27189025852285492</v>
      </c>
      <c r="AP18" s="61">
        <f t="shared" si="5"/>
        <v>86400</v>
      </c>
      <c r="AQ18">
        <f t="shared" si="12"/>
        <v>0.49967047071463833</v>
      </c>
      <c r="AR18">
        <f t="shared" si="12"/>
        <v>0.49632839944896717</v>
      </c>
      <c r="AS18">
        <f t="shared" si="12"/>
        <v>0.36769893898050537</v>
      </c>
      <c r="AT18">
        <f t="shared" si="12"/>
        <v>0.47699183712516452</v>
      </c>
    </row>
    <row r="19" spans="1:47" x14ac:dyDescent="0.35">
      <c r="A19" s="97" t="s">
        <v>112</v>
      </c>
      <c r="B19" s="61">
        <f>48*3600</f>
        <v>172800</v>
      </c>
      <c r="C19" s="211">
        <f>(('Data fits (Normalized)'!B9-'Data fits (Normalized)'!C9)/'Data fits (Normalized)'!B9)*100</f>
        <v>27.27272727272727</v>
      </c>
      <c r="D19" s="89">
        <f>(('Data fits (Normalized)'!D9-'Data fits (Normalized)'!E9)/'Data fits (Normalized)'!D9)*100</f>
        <v>36.501901140684417</v>
      </c>
      <c r="E19" s="87">
        <f>(('Data fits (Normalized)'!F9-'Data fits (Normalized)'!G9)/'Data fits (Normalized)'!F9)*100</f>
        <v>28.571428571428577</v>
      </c>
      <c r="F19" s="212">
        <v>23.000399999999999</v>
      </c>
      <c r="H19" s="61">
        <f t="shared" si="0"/>
        <v>172800</v>
      </c>
      <c r="I19">
        <f t="shared" si="6"/>
        <v>0.48439620081411122</v>
      </c>
      <c r="J19">
        <f t="shared" si="1"/>
        <v>0.64831734861812618</v>
      </c>
      <c r="K19">
        <f t="shared" si="1"/>
        <v>0.5074626865671642</v>
      </c>
      <c r="L19">
        <f t="shared" si="1"/>
        <v>0.40851456716417905</v>
      </c>
      <c r="N19" s="61">
        <f t="shared" si="2"/>
        <v>172800</v>
      </c>
      <c r="O19">
        <f t="shared" si="7"/>
        <v>0.48944747834178115</v>
      </c>
      <c r="P19">
        <f t="shared" si="7"/>
        <v>0.54705418168618491</v>
      </c>
      <c r="Q19">
        <f t="shared" si="7"/>
        <v>0.41639414286846549</v>
      </c>
      <c r="R19">
        <f t="shared" si="7"/>
        <v>0.39627749511827054</v>
      </c>
      <c r="U19" s="61">
        <f t="shared" si="3"/>
        <v>172800</v>
      </c>
      <c r="V19">
        <f t="shared" si="13"/>
        <v>0.28694242958390698</v>
      </c>
      <c r="W19">
        <f t="shared" si="13"/>
        <v>0.33567866590120587</v>
      </c>
      <c r="X19">
        <f t="shared" si="13"/>
        <v>0.25952980071944098</v>
      </c>
      <c r="Y19">
        <f t="shared" si="13"/>
        <v>0.21038999921189225</v>
      </c>
      <c r="AB19" s="61">
        <f t="shared" si="9"/>
        <v>172800</v>
      </c>
      <c r="AC19">
        <f t="shared" si="10"/>
        <v>0.28899795299146458</v>
      </c>
      <c r="AD19">
        <f t="shared" si="10"/>
        <v>0.32052237472843331</v>
      </c>
      <c r="AE19">
        <f t="shared" si="10"/>
        <v>0.25510789755242474</v>
      </c>
      <c r="AF19">
        <f t="shared" si="10"/>
        <v>0.40646978743102891</v>
      </c>
      <c r="AI19" s="61">
        <f t="shared" si="4"/>
        <v>172800</v>
      </c>
      <c r="AJ19">
        <f t="shared" si="11"/>
        <v>0.2841222287653733</v>
      </c>
      <c r="AK19">
        <f t="shared" si="11"/>
        <v>0.2841222287653733</v>
      </c>
      <c r="AL19">
        <f t="shared" si="11"/>
        <v>0.2841222287653733</v>
      </c>
      <c r="AM19">
        <f t="shared" si="11"/>
        <v>0.24970305791912048</v>
      </c>
      <c r="AP19" s="61">
        <f t="shared" si="5"/>
        <v>172800</v>
      </c>
      <c r="AQ19">
        <f t="shared" si="12"/>
        <v>0.49435252994654727</v>
      </c>
      <c r="AR19">
        <f t="shared" si="12"/>
        <v>0.4930243825419518</v>
      </c>
      <c r="AS19">
        <f t="shared" si="12"/>
        <v>0.36384208261155049</v>
      </c>
      <c r="AT19">
        <f t="shared" si="12"/>
        <v>0.44245173178958191</v>
      </c>
    </row>
    <row r="20" spans="1:47" x14ac:dyDescent="0.35">
      <c r="A20" s="97" t="s">
        <v>113</v>
      </c>
      <c r="B20" s="61">
        <f>6*24*3600</f>
        <v>518400</v>
      </c>
      <c r="C20" s="211">
        <f>(('Data fits (Normalized)'!B10-'Data fits (Normalized)'!C10)/'Data fits (Normalized)'!B10)*100</f>
        <v>24.809160305343511</v>
      </c>
      <c r="D20" s="89">
        <f>(('Data fits (Normalized)'!D10-'Data fits (Normalized)'!E10)/'Data fits (Normalized)'!D10)*100</f>
        <v>30.894308943089431</v>
      </c>
      <c r="E20" s="87">
        <f>(('Data fits (Normalized)'!F10-'Data fits (Normalized)'!G10)/'Data fits (Normalized)'!F10)*100</f>
        <v>20.524017467248907</v>
      </c>
      <c r="F20" s="212">
        <v>16.820180000000001</v>
      </c>
      <c r="H20" s="61">
        <f t="shared" si="0"/>
        <v>518400</v>
      </c>
      <c r="I20">
        <f t="shared" si="6"/>
        <v>0.44064030990087727</v>
      </c>
      <c r="J20">
        <f t="shared" si="1"/>
        <v>0.54871981555636451</v>
      </c>
      <c r="K20">
        <f t="shared" si="1"/>
        <v>0.36453105650785372</v>
      </c>
      <c r="L20">
        <f t="shared" si="1"/>
        <v>0.29874648059701497</v>
      </c>
      <c r="N20" s="61">
        <f t="shared" si="2"/>
        <v>518400</v>
      </c>
      <c r="O20">
        <f t="shared" si="7"/>
        <v>0.43071289074572416</v>
      </c>
      <c r="P20">
        <f t="shared" si="7"/>
        <v>0.48631119011045199</v>
      </c>
      <c r="Q20">
        <f t="shared" si="7"/>
        <v>0.36106992129169846</v>
      </c>
      <c r="R20">
        <f t="shared" si="7"/>
        <v>0.34207951694389938</v>
      </c>
      <c r="U20" s="61">
        <f t="shared" si="3"/>
        <v>518400</v>
      </c>
      <c r="V20">
        <f t="shared" si="13"/>
        <v>0.24855200057328353</v>
      </c>
      <c r="W20">
        <f t="shared" si="13"/>
        <v>0.29629471345833014</v>
      </c>
      <c r="X20">
        <f t="shared" si="13"/>
        <v>0.22885064168523481</v>
      </c>
      <c r="Y20">
        <f t="shared" si="13"/>
        <v>0.1753000898868626</v>
      </c>
      <c r="AB20" s="61">
        <f t="shared" si="9"/>
        <v>518400</v>
      </c>
      <c r="AC20">
        <f t="shared" si="10"/>
        <v>0.27539587498706036</v>
      </c>
      <c r="AD20">
        <f t="shared" si="10"/>
        <v>0.30543655734431574</v>
      </c>
      <c r="AE20">
        <f t="shared" si="10"/>
        <v>0.23897627463258381</v>
      </c>
      <c r="AF20">
        <f t="shared" si="10"/>
        <v>0.27947456297694057</v>
      </c>
      <c r="AI20" s="61">
        <f t="shared" si="4"/>
        <v>518400</v>
      </c>
      <c r="AJ20">
        <f t="shared" si="11"/>
        <v>0.26169098956150216</v>
      </c>
      <c r="AK20">
        <f t="shared" si="11"/>
        <v>0.26169098956150216</v>
      </c>
      <c r="AL20">
        <f t="shared" si="11"/>
        <v>0.26169098956150216</v>
      </c>
      <c r="AM20">
        <f t="shared" si="11"/>
        <v>0.17764161532485753</v>
      </c>
      <c r="AP20" s="61">
        <f t="shared" si="5"/>
        <v>518400</v>
      </c>
      <c r="AQ20">
        <f t="shared" si="12"/>
        <v>0.47364075805996253</v>
      </c>
      <c r="AR20">
        <f t="shared" si="12"/>
        <v>0.48002680128665615</v>
      </c>
      <c r="AS20">
        <f t="shared" si="12"/>
        <v>0.34881498811625333</v>
      </c>
      <c r="AT20">
        <f t="shared" si="12"/>
        <v>0.32755611299784859</v>
      </c>
    </row>
    <row r="21" spans="1:47" x14ac:dyDescent="0.35">
      <c r="A21" s="11" t="s">
        <v>114</v>
      </c>
      <c r="B21" s="61">
        <f>31*24*3600</f>
        <v>2678400</v>
      </c>
      <c r="C21" s="213">
        <f>(('Data fits (Normalized)'!B11-'Data fits (Normalized)'!C11)/'Data fits (Normalized)'!B11)*100</f>
        <v>20.622568093385219</v>
      </c>
      <c r="D21" s="214">
        <f>(('Data fits (Normalized)'!D11-'Data fits (Normalized)'!E11)/'Data fits (Normalized)'!D11)*100</f>
        <v>25.842696629213478</v>
      </c>
      <c r="E21" s="215">
        <f>(('Data fits (Normalized)'!F11-'Data fits (Normalized)'!G11)/'Data fits (Normalized)'!F11)*100</f>
        <v>20.080321285140563</v>
      </c>
      <c r="F21" s="216">
        <v>4.0969850000000001</v>
      </c>
      <c r="H21" s="61">
        <f t="shared" si="0"/>
        <v>2678400</v>
      </c>
      <c r="I21">
        <f t="shared" si="6"/>
        <v>0.36628143330042401</v>
      </c>
      <c r="J21">
        <f t="shared" si="1"/>
        <v>0.45899714908603045</v>
      </c>
      <c r="K21">
        <f t="shared" si="1"/>
        <v>0.35665048252712339</v>
      </c>
      <c r="L21">
        <f t="shared" si="1"/>
        <v>7.2767345522388061E-2</v>
      </c>
      <c r="N21" s="61">
        <f t="shared" si="2"/>
        <v>2678400</v>
      </c>
      <c r="O21">
        <f t="shared" si="7"/>
        <v>0.35579340813925159</v>
      </c>
      <c r="P21">
        <f t="shared" si="7"/>
        <v>0.40785399818418133</v>
      </c>
      <c r="Q21">
        <f t="shared" si="7"/>
        <v>0.29177080086092771</v>
      </c>
      <c r="R21">
        <f t="shared" si="7"/>
        <v>0.2745675251550122</v>
      </c>
      <c r="U21" s="61">
        <f t="shared" si="3"/>
        <v>2678400</v>
      </c>
      <c r="V21">
        <f t="shared" si="13"/>
        <v>0.2076857162510741</v>
      </c>
      <c r="W21">
        <f t="shared" si="13"/>
        <v>0.25108263422711657</v>
      </c>
      <c r="X21">
        <f t="shared" si="13"/>
        <v>0.19168590921936016</v>
      </c>
      <c r="Y21">
        <f t="shared" si="13"/>
        <v>0.13401792413262023</v>
      </c>
      <c r="AB21" s="61">
        <f t="shared" si="9"/>
        <v>2678400</v>
      </c>
      <c r="AC21">
        <f t="shared" si="10"/>
        <v>0.20375068745009794</v>
      </c>
      <c r="AD21">
        <f t="shared" si="10"/>
        <v>0.22597618259249394</v>
      </c>
      <c r="AE21">
        <f t="shared" si="10"/>
        <v>0.15887216219062525</v>
      </c>
      <c r="AF21">
        <f>AF$8*EXP(-$H21*AF$9)+AF$10*EXP(-$H21*AF$11)</f>
        <v>2.6887776007812669E-2</v>
      </c>
      <c r="AI21" s="61">
        <f>AC21</f>
        <v>0.20375068745009794</v>
      </c>
      <c r="AJ21">
        <f t="shared" si="11"/>
        <v>0.15651681384612826</v>
      </c>
      <c r="AK21">
        <f t="shared" si="11"/>
        <v>0.15651681384612826</v>
      </c>
      <c r="AL21">
        <f t="shared" si="11"/>
        <v>0.15651681384612826</v>
      </c>
      <c r="AM21">
        <f t="shared" si="11"/>
        <v>2.1149497026153145E-2</v>
      </c>
      <c r="AP21" s="61">
        <f>AJ21</f>
        <v>0.15651681384612826</v>
      </c>
      <c r="AQ21">
        <f t="shared" si="12"/>
        <v>0.3624732675456237</v>
      </c>
      <c r="AR21">
        <f t="shared" si="12"/>
        <v>0.40620689104418034</v>
      </c>
      <c r="AS21">
        <f t="shared" si="12"/>
        <v>0.26798404791728359</v>
      </c>
      <c r="AT21">
        <f t="shared" si="12"/>
        <v>5.0021823379643414E-2</v>
      </c>
    </row>
    <row r="23" spans="1:47" x14ac:dyDescent="0.35">
      <c r="N23" t="s">
        <v>148</v>
      </c>
      <c r="O23">
        <f>SUMXMY2(I15:I21,O15:O21)</f>
        <v>4.4342168080755417E-2</v>
      </c>
      <c r="P23">
        <f>SUMXMY2(J15:J21,P15:P21)</f>
        <v>4.4447953626825298E-2</v>
      </c>
      <c r="Q23">
        <f>SUMXMY2(K15:K21,Q15:Q21)</f>
        <v>2.6960714075432136E-2</v>
      </c>
      <c r="R23">
        <f>SUMXMY2(L15:L21,R15:R21)</f>
        <v>6.3618453455817167E-2</v>
      </c>
      <c r="S23">
        <f>SUM(O23:R23)</f>
        <v>0.17936928923883</v>
      </c>
      <c r="U23" t="s">
        <v>148</v>
      </c>
      <c r="V23">
        <f>SUMXMY2(I15:I21,V15:V21)</f>
        <v>0.50370217911228465</v>
      </c>
      <c r="W23">
        <f>SUMXMY2(J15:J21,W15:W21)</f>
        <v>0.58703972713096209</v>
      </c>
      <c r="X23">
        <f>SUMXMY2(K15:K21,X15:X21)</f>
        <v>0.37575636785899885</v>
      </c>
      <c r="Y23">
        <f>SUMXMY2(L15:L21,Y15:Y21)</f>
        <v>0.41537446541279843</v>
      </c>
      <c r="Z23">
        <f>SUM(V23:Y23)</f>
        <v>1.8818727395150439</v>
      </c>
      <c r="AB23" t="s">
        <v>148</v>
      </c>
      <c r="AC23">
        <f>SUMXMY2(I15:I21,AC15:AC21)</f>
        <v>0.52380565944666602</v>
      </c>
      <c r="AD23">
        <f>SUMXMY2(J15:J21,AD15:AD21)</f>
        <v>0.59828999303291641</v>
      </c>
      <c r="AE23">
        <f>SUMXMY2(K15:K21,AE15:AE21)</f>
        <v>0.39569395195431945</v>
      </c>
      <c r="AF23">
        <f>SUMXMY2(L15:L21,AF15:AF21)</f>
        <v>1.8785661876107713E-2</v>
      </c>
      <c r="AG23">
        <f>SUM(AC23:AF23)</f>
        <v>1.5365752663100096</v>
      </c>
      <c r="AI23" t="s">
        <v>148</v>
      </c>
      <c r="AJ23">
        <f>SUMXMY2(I15:I21,AJ15:AJ21)</f>
        <v>0.54991737881463065</v>
      </c>
      <c r="AK23">
        <f>SUMXMY2(J15:J21,AK15:AK21)</f>
        <v>0.73789985641884959</v>
      </c>
      <c r="AL23">
        <f>SUMXMY2(K15:K21,AL15:AL21)</f>
        <v>0.29236643764321629</v>
      </c>
      <c r="AM23">
        <f>SUMXMY2(L15:L21,AM15:AM21)</f>
        <v>0.43492716407525456</v>
      </c>
      <c r="AN23">
        <f>SUM(AJ23:AM23)</f>
        <v>2.0151108369519513</v>
      </c>
      <c r="AP23" t="s">
        <v>148</v>
      </c>
      <c r="AQ23">
        <f>SUMXMY2(I15:I21,AQ15:AQ21)</f>
        <v>1.2613086319594347E-2</v>
      </c>
      <c r="AR23">
        <f>SUMXMY2(J15:J21,AR15:AR21)</f>
        <v>6.0776230069416209E-2</v>
      </c>
      <c r="AS23">
        <f>SUMXMY2(K15:K21,AS15:AS21)</f>
        <v>0.10564193991980066</v>
      </c>
      <c r="AT23">
        <f>SUMXMY2(L15:L21,AT15:AT21)</f>
        <v>1.0354686431057816E-2</v>
      </c>
      <c r="AU23">
        <f>SUM(AQ23:AT23)</f>
        <v>0.18938594273986903</v>
      </c>
    </row>
    <row r="24" spans="1:47" x14ac:dyDescent="0.35">
      <c r="N24" t="s">
        <v>149</v>
      </c>
      <c r="O24">
        <f>RSQ(I15:I21,O15:O21)</f>
        <v>0.85060332569008101</v>
      </c>
      <c r="P24">
        <f>RSQ(J15:J21,P15:P21)</f>
        <v>0.79109952041133691</v>
      </c>
      <c r="Q24">
        <f>RSQ(K15:K21,Q15:Q21)</f>
        <v>0.87721787973013443</v>
      </c>
      <c r="R24">
        <f>RSQ(L15:L21,R15:R21)</f>
        <v>0.88020844782516461</v>
      </c>
      <c r="U24" t="s">
        <v>149</v>
      </c>
      <c r="V24">
        <f>RSQ(I15:I21,V15:V21)</f>
        <v>0.98874359612661189</v>
      </c>
      <c r="W24">
        <f>RSQ(J15:J21,W15:W21)</f>
        <v>0.94144409121432393</v>
      </c>
      <c r="X24">
        <f>RSQ(K15:K21,X15:X21)</f>
        <v>0.92299961152554844</v>
      </c>
      <c r="Y24">
        <f>RSQ(L15:L21,Y15:Y21)</f>
        <v>0.8660883436515171</v>
      </c>
      <c r="AB24" t="s">
        <v>149</v>
      </c>
      <c r="AC24">
        <f>RSQ(I15:I21,AC15:AC21)</f>
        <v>0.95108433728220387</v>
      </c>
      <c r="AD24">
        <f>RSQ(J15:J21,AD15:AD21)</f>
        <v>0.92669649002053711</v>
      </c>
      <c r="AE24">
        <f>RSQ(K15:K21,AE15:AE21)</f>
        <v>0.92331543581979991</v>
      </c>
      <c r="AF24">
        <f>RSQ(L15:L21,AF15:AF21)</f>
        <v>0.97084998442058024</v>
      </c>
      <c r="AI24" t="s">
        <v>149</v>
      </c>
      <c r="AJ24">
        <f>RSQ(I15:I21,AJ15:AJ21)</f>
        <v>0.92471872392607779</v>
      </c>
      <c r="AK24">
        <f>RSQ(J15:J21,AK15:AK21)</f>
        <v>0.90947629442294031</v>
      </c>
      <c r="AL24">
        <f>RSQ(K15:K21,AL15:AL21)</f>
        <v>0.91643559687100618</v>
      </c>
      <c r="AM24">
        <f>RSQ(L15:L21,AM15:AM21)</f>
        <v>0.96274361247772222</v>
      </c>
      <c r="AP24" t="s">
        <v>149</v>
      </c>
      <c r="AQ24">
        <f>RSQ(I15:I21,AQ15:AQ21)</f>
        <v>0.95583746860734586</v>
      </c>
      <c r="AR24">
        <f>RSQ(J15:J21,AR15:AR21)</f>
        <v>0.94011300821672295</v>
      </c>
      <c r="AS24">
        <f>RSQ(K15:K21,AS15:AS21)</f>
        <v>0.91145470273997609</v>
      </c>
      <c r="AT24">
        <f>RSQ(L15:L21,AT15:AT21)</f>
        <v>0.97384621411644767</v>
      </c>
    </row>
    <row r="26" spans="1:47" x14ac:dyDescent="0.35">
      <c r="N26" s="385" t="s">
        <v>154</v>
      </c>
      <c r="O26" s="385"/>
      <c r="P26" s="385"/>
      <c r="Q26" s="385"/>
      <c r="R26" s="385"/>
    </row>
    <row r="27" spans="1:47" x14ac:dyDescent="0.35">
      <c r="N27" t="s">
        <v>146</v>
      </c>
      <c r="O27">
        <v>6.052401292957633</v>
      </c>
      <c r="P27">
        <v>3.8336249038590289</v>
      </c>
      <c r="Q27">
        <v>2.1216323635259395</v>
      </c>
      <c r="R27">
        <v>4.2074717136724518</v>
      </c>
    </row>
    <row r="28" spans="1:47" ht="21" x14ac:dyDescent="0.5">
      <c r="A28" s="260" t="s">
        <v>139</v>
      </c>
      <c r="B28" s="260"/>
      <c r="C28" s="260"/>
      <c r="D28" s="260"/>
      <c r="E28" s="260"/>
      <c r="F28" s="260"/>
      <c r="G28" s="260"/>
      <c r="N28" t="s">
        <v>147</v>
      </c>
      <c r="O28">
        <v>0.25571194170164424</v>
      </c>
      <c r="P28">
        <v>0.19522762612170957</v>
      </c>
      <c r="Q28">
        <v>0.14731908690206638</v>
      </c>
      <c r="R28">
        <v>0.22216796242954523</v>
      </c>
    </row>
    <row r="29" spans="1:47" x14ac:dyDescent="0.35">
      <c r="N29" t="s">
        <v>153</v>
      </c>
      <c r="O29">
        <v>0.2169009055943297</v>
      </c>
      <c r="P29">
        <v>0.37994712242703443</v>
      </c>
      <c r="Q29">
        <v>7.3263933777339113E-2</v>
      </c>
      <c r="R29">
        <v>2.3117881688417483E-3</v>
      </c>
    </row>
    <row r="30" spans="1:47" x14ac:dyDescent="0.35">
      <c r="N30" t="s">
        <v>151</v>
      </c>
      <c r="O30">
        <v>0.2506815787424605</v>
      </c>
      <c r="P30">
        <v>0.24381976708158418</v>
      </c>
      <c r="Q30">
        <v>0.14074542027162201</v>
      </c>
      <c r="R30">
        <v>0.19658593765370652</v>
      </c>
    </row>
    <row r="32" spans="1:47" x14ac:dyDescent="0.35">
      <c r="A32" s="379" t="s">
        <v>130</v>
      </c>
      <c r="B32" s="380"/>
      <c r="C32" s="380"/>
      <c r="D32" s="380"/>
      <c r="E32" s="381"/>
    </row>
    <row r="33" spans="1:19" x14ac:dyDescent="0.35">
      <c r="B33" s="8" t="str">
        <f>'Data fits (Normalized)'!C14</f>
        <v>Ebbinghaus</v>
      </c>
      <c r="C33" s="8" t="str">
        <f>'Data fits (Normalized)'!D14</f>
        <v>Mack</v>
      </c>
      <c r="D33" s="8" t="str">
        <f>'Data fits (Normalized)'!E14</f>
        <v>Seitz</v>
      </c>
      <c r="E33" s="8" t="str">
        <f>'Data fits (Normalized)'!F14</f>
        <v>Drost</v>
      </c>
      <c r="N33" s="61" t="str">
        <f>H14</f>
        <v>Interval s</v>
      </c>
      <c r="O33" s="61" t="str">
        <f>I14</f>
        <v>Ebbinghaus</v>
      </c>
      <c r="P33" s="61" t="str">
        <f>J14</f>
        <v>Mack</v>
      </c>
      <c r="Q33" s="61" t="str">
        <f>K14</f>
        <v>Seitz</v>
      </c>
      <c r="R33" s="61" t="str">
        <f>L14</f>
        <v>Drost</v>
      </c>
    </row>
    <row r="34" spans="1:19" x14ac:dyDescent="0.35">
      <c r="A34" s="10" t="str">
        <f>'Data fits (Normalized)'!A15</f>
        <v>20min</v>
      </c>
      <c r="B34">
        <f>100*'Data fits (Normalized)'!C15/'Data fits (Normalized)'!C$15</f>
        <v>100</v>
      </c>
      <c r="C34">
        <f>100*'Data fits (Normalized)'!D15/'Data fits (Normalized)'!D$15</f>
        <v>100</v>
      </c>
      <c r="D34">
        <f>100*'Data fits (Normalized)'!E15/'Data fits (Normalized)'!E$15</f>
        <v>100.00000000000001</v>
      </c>
      <c r="E34">
        <f>100*'Data fits (Normalized)'!F15/'Data fits (Normalized)'!F$15</f>
        <v>100</v>
      </c>
      <c r="N34" s="61">
        <f t="shared" ref="N34:N40" si="14">H15</f>
        <v>1200</v>
      </c>
      <c r="O34">
        <f>O$27*(1+$N34)^-O$28</f>
        <v>0.98730603889017543</v>
      </c>
      <c r="P34">
        <f>P$27*(1+$N34)^-P$28</f>
        <v>0.96027969699047133</v>
      </c>
      <c r="Q34">
        <f>Q$27*(1+$N34)^-Q$28</f>
        <v>0.74643959335277477</v>
      </c>
      <c r="R34">
        <f>R$27*(1+$N34)^-R$28</f>
        <v>0.87065361942057773</v>
      </c>
    </row>
    <row r="35" spans="1:19" x14ac:dyDescent="0.35">
      <c r="A35" s="97" t="str">
        <f>'Data fits (Normalized)'!A16</f>
        <v>1hour</v>
      </c>
      <c r="B35">
        <f>100*'Data fits (Normalized)'!C16/'Data fits (Normalized)'!C$15</f>
        <v>71.33594323464645</v>
      </c>
      <c r="C35">
        <f>100*'Data fits (Normalized)'!D16/'Data fits (Normalized)'!D$15</f>
        <v>79.350285042077658</v>
      </c>
      <c r="D35">
        <f>100*'Data fits (Normalized)'!E16/'Data fits (Normalized)'!E$15</f>
        <v>73.495555282454632</v>
      </c>
      <c r="E35">
        <f>100*'Data fits (Normalized)'!F16/'Data fits (Normalized)'!F$15</f>
        <v>79.060196452108258</v>
      </c>
      <c r="N35" s="61">
        <f t="shared" si="14"/>
        <v>3600</v>
      </c>
      <c r="O35">
        <f t="shared" ref="O35:R36" si="15">O$27*(1+$N35)^-O$28</f>
        <v>0.74560335490870711</v>
      </c>
      <c r="P35">
        <f t="shared" si="15"/>
        <v>0.77499263298892995</v>
      </c>
      <c r="Q35">
        <f t="shared" si="15"/>
        <v>0.63495233504407256</v>
      </c>
      <c r="R35">
        <f t="shared" si="15"/>
        <v>0.68217834098709762</v>
      </c>
    </row>
    <row r="36" spans="1:19" x14ac:dyDescent="0.35">
      <c r="A36" s="97" t="str">
        <f>'Data fits (Normalized)'!A17</f>
        <v>9hours</v>
      </c>
      <c r="B36">
        <f>100*'Data fits (Normalized)'!C17/'Data fits (Normalized)'!C$15</f>
        <v>44.937960798417535</v>
      </c>
      <c r="C36">
        <f>100*'Data fits (Normalized)'!D17/'Data fits (Normalized)'!D$15</f>
        <v>52.383240438208723</v>
      </c>
      <c r="D36">
        <f>100*'Data fits (Normalized)'!E17/'Data fits (Normalized)'!E$15</f>
        <v>61.02506209076541</v>
      </c>
      <c r="E36">
        <f>100*'Data fits (Normalized)'!F17/'Data fits (Normalized)'!F$15</f>
        <v>58.608904859318017</v>
      </c>
      <c r="N36" s="61">
        <f t="shared" si="14"/>
        <v>32400</v>
      </c>
      <c r="O36">
        <f t="shared" si="15"/>
        <v>0.4251322635893251</v>
      </c>
      <c r="P36">
        <f t="shared" si="15"/>
        <v>0.50468919386597066</v>
      </c>
      <c r="Q36">
        <f t="shared" si="15"/>
        <v>0.45938708824667129</v>
      </c>
      <c r="R36">
        <f t="shared" si="15"/>
        <v>0.41871607343056977</v>
      </c>
    </row>
    <row r="37" spans="1:19" x14ac:dyDescent="0.35">
      <c r="A37" s="97" t="str">
        <f>'Data fits (Normalized)'!A18</f>
        <v>1day</v>
      </c>
      <c r="B37">
        <f>100*'Data fits (Normalized)'!C18/'Data fits (Normalized)'!C$15</f>
        <v>59.203980099502481</v>
      </c>
      <c r="C37">
        <f>100*'Data fits (Normalized)'!D18/'Data fits (Normalized)'!D$15</f>
        <v>58.05308204374515</v>
      </c>
      <c r="D37">
        <f>100*'Data fits (Normalized)'!E18/'Data fits (Normalized)'!E$15</f>
        <v>61.08721478022202</v>
      </c>
      <c r="E37">
        <f>100*'Data fits (Normalized)'!F18/'Data fits (Normalized)'!F$15</f>
        <v>67.160344583044377</v>
      </c>
      <c r="N37" s="61">
        <f t="shared" si="14"/>
        <v>86400</v>
      </c>
      <c r="O37">
        <f>(O$27)*(1+$N37)^-O$30+O$29</f>
        <v>0.56719546882071548</v>
      </c>
      <c r="P37">
        <f>(P$27)*(1+$N37)^-P$30+P$29</f>
        <v>0.6198242066268963</v>
      </c>
      <c r="Q37">
        <f>(Q$27)*(1+$N37)^-Q$30+Q$29</f>
        <v>0.5016918116674709</v>
      </c>
      <c r="R37">
        <f>(R$27)*(1+$N37)^-R$30+R$29</f>
        <v>0.45268342703985709</v>
      </c>
    </row>
    <row r="38" spans="1:19" x14ac:dyDescent="0.35">
      <c r="A38" s="97" t="str">
        <f>'Data fits (Normalized)'!A19</f>
        <v>2days</v>
      </c>
      <c r="B38">
        <f>100*'Data fits (Normalized)'!C19/'Data fits (Normalized)'!C$15</f>
        <v>48.439620081411121</v>
      </c>
      <c r="C38">
        <f>100*'Data fits (Normalized)'!D19/'Data fits (Normalized)'!D$15</f>
        <v>67.061632328234168</v>
      </c>
      <c r="D38">
        <f>100*'Data fits (Normalized)'!E19/'Data fits (Normalized)'!E$15</f>
        <v>64.632454923717077</v>
      </c>
      <c r="E38">
        <f>100*'Data fits (Normalized)'!F19/'Data fits (Normalized)'!F$15</f>
        <v>48.762999618595174</v>
      </c>
      <c r="N38" s="61">
        <f t="shared" si="14"/>
        <v>172800</v>
      </c>
      <c r="O38">
        <f t="shared" ref="O38:R40" si="16">(O$27)*(1+$N38)^-O$30+O$29</f>
        <v>0.51132364712386569</v>
      </c>
      <c r="P38">
        <f t="shared" si="16"/>
        <v>0.58252513706916043</v>
      </c>
      <c r="Q38">
        <f t="shared" si="16"/>
        <v>0.46186991717803449</v>
      </c>
      <c r="R38">
        <f t="shared" si="16"/>
        <v>0.39531243403837801</v>
      </c>
    </row>
    <row r="39" spans="1:19" x14ac:dyDescent="0.35">
      <c r="A39" s="97" t="str">
        <f>'Data fits (Normalized)'!A20</f>
        <v>6days</v>
      </c>
      <c r="B39">
        <f>100*'Data fits (Normalized)'!C20/'Data fits (Normalized)'!C$15</f>
        <v>44.06403099008773</v>
      </c>
      <c r="C39">
        <f>100*'Data fits (Normalized)'!D20/'Data fits (Normalized)'!D$15</f>
        <v>56.759311779164314</v>
      </c>
      <c r="D39">
        <f>100*'Data fits (Normalized)'!E20/'Data fits (Normalized)'!E$15</f>
        <v>46.428117183194125</v>
      </c>
      <c r="E39">
        <f>100*'Data fits (Normalized)'!F20/'Data fits (Normalized)'!F$15</f>
        <v>35.66035507750744</v>
      </c>
      <c r="N39" s="61">
        <f t="shared" si="14"/>
        <v>518400</v>
      </c>
      <c r="O39">
        <f t="shared" si="16"/>
        <v>0.44044657601316467</v>
      </c>
      <c r="P39">
        <f t="shared" si="16"/>
        <v>0.53492193716708647</v>
      </c>
      <c r="Q39">
        <f t="shared" si="16"/>
        <v>0.40619712032900757</v>
      </c>
      <c r="R39">
        <f t="shared" si="16"/>
        <v>0.31897547530756964</v>
      </c>
    </row>
    <row r="40" spans="1:19" x14ac:dyDescent="0.35">
      <c r="A40" s="11" t="str">
        <f>'Data fits (Normalized)'!A21</f>
        <v>31days</v>
      </c>
      <c r="B40">
        <f>100*'Data fits (Normalized)'!C21/'Data fits (Normalized)'!C$15</f>
        <v>36.628143330042406</v>
      </c>
      <c r="C40">
        <f>100*'Data fits (Normalized)'!D21/'Data fits (Normalized)'!D$15</f>
        <v>47.478442644368954</v>
      </c>
      <c r="D40">
        <f>100*'Data fits (Normalized)'!E21/'Data fits (Normalized)'!E$15</f>
        <v>45.424416111046128</v>
      </c>
      <c r="E40">
        <f>100*'Data fits (Normalized)'!F21/'Data fits (Normalized)'!F$15</f>
        <v>8.6859914606872124</v>
      </c>
      <c r="N40" s="61">
        <f t="shared" si="14"/>
        <v>2678400</v>
      </c>
      <c r="O40">
        <f t="shared" si="16"/>
        <v>0.36500863105738135</v>
      </c>
      <c r="P40">
        <f t="shared" si="16"/>
        <v>0.48378755446535776</v>
      </c>
      <c r="Q40">
        <f t="shared" si="16"/>
        <v>0.3374902554707071</v>
      </c>
      <c r="R40">
        <f t="shared" si="16"/>
        <v>0.23160502933587107</v>
      </c>
    </row>
    <row r="42" spans="1:19" x14ac:dyDescent="0.35">
      <c r="N42" t="s">
        <v>148</v>
      </c>
      <c r="O42">
        <f>SUMXMY2(I15:I21,O34:O40)</f>
        <v>3.1327266653813921E-3</v>
      </c>
      <c r="P42">
        <f>SUMXMY2(J15:J21,P34:P40)</f>
        <v>8.6739916236282504E-3</v>
      </c>
      <c r="Q42">
        <f>SUMXMY2(K15:K21,Q34:Q40)</f>
        <v>9.9099928677856275E-3</v>
      </c>
      <c r="R42">
        <f>SUMXMY2(L15:L21,R34:R40)</f>
        <v>4.4604277876013246E-2</v>
      </c>
      <c r="S42">
        <f>SUM(O42:R42)</f>
        <v>6.6320989032808517E-2</v>
      </c>
    </row>
    <row r="43" spans="1:19" x14ac:dyDescent="0.35">
      <c r="N43" t="s">
        <v>149</v>
      </c>
      <c r="O43">
        <f>RSQ(I15:I21,O34:O40)</f>
        <v>0.98912702328020763</v>
      </c>
      <c r="P43">
        <f>RSQ(J15:J21,P34:P40)</f>
        <v>0.95389726382386619</v>
      </c>
      <c r="Q43">
        <f>RSQ(K15:K21,Q34:Q40)</f>
        <v>0.92178909954489696</v>
      </c>
      <c r="R43">
        <f>RSQ(L15:L21,R34:R40)</f>
        <v>0.88333187002970559</v>
      </c>
    </row>
    <row r="50" spans="1:5" x14ac:dyDescent="0.35">
      <c r="A50" s="382" t="s">
        <v>131</v>
      </c>
      <c r="B50" s="383"/>
      <c r="C50" s="383"/>
      <c r="D50" s="383"/>
      <c r="E50" s="384"/>
    </row>
    <row r="51" spans="1:5" x14ac:dyDescent="0.35">
      <c r="A51" s="26" t="s">
        <v>29</v>
      </c>
      <c r="B51" s="92" t="str">
        <f>'Data fits (Normalized)'!C14</f>
        <v>Ebbinghaus</v>
      </c>
      <c r="C51" s="26" t="str">
        <f>'Data fits (Normalized)'!D14</f>
        <v>Mack</v>
      </c>
      <c r="D51" s="92" t="str">
        <f>'Data fits (Normalized)'!E14</f>
        <v>Seitz</v>
      </c>
      <c r="E51" s="26" t="str">
        <f>'Data fits (Normalized)'!F14</f>
        <v>Drost</v>
      </c>
    </row>
    <row r="52" spans="1:5" x14ac:dyDescent="0.35">
      <c r="A52" s="91">
        <f>20*60</f>
        <v>1200</v>
      </c>
      <c r="B52" s="93">
        <f>100*'Data fits (Normalized)'!C15/'Data fits (Normalized)'!C$15</f>
        <v>100</v>
      </c>
      <c r="C52" s="86">
        <f>100*'Data fits (Normalized)'!D15/'Data fits (Normalized)'!D$15</f>
        <v>100</v>
      </c>
      <c r="D52" s="93">
        <f>100*'Data fits (Normalized)'!E15/'Data fits (Normalized)'!E$15</f>
        <v>100.00000000000001</v>
      </c>
      <c r="E52" s="86">
        <f>100*'Data fits (Normalized)'!F15/'Data fits (Normalized)'!F$15</f>
        <v>100</v>
      </c>
    </row>
    <row r="53" spans="1:5" x14ac:dyDescent="0.35">
      <c r="A53" s="61">
        <f>3600</f>
        <v>3600</v>
      </c>
      <c r="B53" s="94">
        <f>100*'Data fits (Normalized)'!C16/'Data fits (Normalized)'!C$15</f>
        <v>71.33594323464645</v>
      </c>
      <c r="C53" s="95">
        <f>100*'Data fits (Normalized)'!D16/'Data fits (Normalized)'!D$15</f>
        <v>79.350285042077658</v>
      </c>
      <c r="D53" s="94">
        <f>100*'Data fits (Normalized)'!E16/'Data fits (Normalized)'!E$15</f>
        <v>73.495555282454632</v>
      </c>
      <c r="E53" s="95">
        <f>100*'Data fits (Normalized)'!F16/'Data fits (Normalized)'!F$15</f>
        <v>79.060196452108258</v>
      </c>
    </row>
    <row r="54" spans="1:5" x14ac:dyDescent="0.35">
      <c r="A54" s="61">
        <f>9*3600</f>
        <v>32400</v>
      </c>
      <c r="B54" s="94">
        <f>100*'Data fits (Normalized)'!C17/'Data fits (Normalized)'!C$15</f>
        <v>44.937960798417535</v>
      </c>
      <c r="C54" s="95">
        <f>100*'Data fits (Normalized)'!D17/'Data fits (Normalized)'!D$15</f>
        <v>52.383240438208723</v>
      </c>
      <c r="D54" s="94">
        <f>100*'Data fits (Normalized)'!E17/'Data fits (Normalized)'!E$15</f>
        <v>61.02506209076541</v>
      </c>
      <c r="E54" s="95">
        <f>100*'Data fits (Normalized)'!F17/'Data fits (Normalized)'!F$15</f>
        <v>58.608904859318017</v>
      </c>
    </row>
    <row r="55" spans="1:5" x14ac:dyDescent="0.35">
      <c r="A55" s="61">
        <f>24*3600</f>
        <v>86400</v>
      </c>
      <c r="B55" s="94">
        <f>100*'Data fits (Normalized)'!C18/'Data fits (Normalized)'!C$15</f>
        <v>59.203980099502481</v>
      </c>
      <c r="C55" s="95">
        <f>100*'Data fits (Normalized)'!D18/'Data fits (Normalized)'!D$15</f>
        <v>58.05308204374515</v>
      </c>
      <c r="D55" s="94">
        <f>100*'Data fits (Normalized)'!E18/'Data fits (Normalized)'!E$15</f>
        <v>61.08721478022202</v>
      </c>
      <c r="E55" s="95">
        <f>100*'Data fits (Normalized)'!F18/'Data fits (Normalized)'!F$15</f>
        <v>67.160344583044377</v>
      </c>
    </row>
    <row r="56" spans="1:5" x14ac:dyDescent="0.35">
      <c r="A56" s="61">
        <f>48*3600</f>
        <v>172800</v>
      </c>
      <c r="B56" s="94">
        <f>100*'Data fits (Normalized)'!C19/'Data fits (Normalized)'!C$15</f>
        <v>48.439620081411121</v>
      </c>
      <c r="C56" s="95">
        <f>100*'Data fits (Normalized)'!D19/'Data fits (Normalized)'!D$15</f>
        <v>67.061632328234168</v>
      </c>
      <c r="D56" s="94">
        <f>100*'Data fits (Normalized)'!E19/'Data fits (Normalized)'!E$15</f>
        <v>64.632454923717077</v>
      </c>
      <c r="E56" s="95">
        <f>100*'Data fits (Normalized)'!F19/'Data fits (Normalized)'!F$15</f>
        <v>48.762999618595174</v>
      </c>
    </row>
    <row r="57" spans="1:5" x14ac:dyDescent="0.35">
      <c r="A57" s="61">
        <f>6*24*3600</f>
        <v>518400</v>
      </c>
      <c r="B57" s="94">
        <f>100*'Data fits (Normalized)'!C20/'Data fits (Normalized)'!C$15</f>
        <v>44.06403099008773</v>
      </c>
      <c r="C57" s="95">
        <f>100*'Data fits (Normalized)'!D20/'Data fits (Normalized)'!D$15</f>
        <v>56.759311779164314</v>
      </c>
      <c r="D57" s="94">
        <f>100*'Data fits (Normalized)'!E20/'Data fits (Normalized)'!E$15</f>
        <v>46.428117183194125</v>
      </c>
      <c r="E57" s="95">
        <f>100*'Data fits (Normalized)'!F20/'Data fits (Normalized)'!F$15</f>
        <v>35.66035507750744</v>
      </c>
    </row>
    <row r="58" spans="1:5" x14ac:dyDescent="0.35">
      <c r="A58" s="61">
        <f>31*24*3600</f>
        <v>2678400</v>
      </c>
      <c r="B58" s="94">
        <f>100*'Data fits (Normalized)'!C21/'Data fits (Normalized)'!C$15</f>
        <v>36.628143330042406</v>
      </c>
      <c r="C58" s="95">
        <f>100*'Data fits (Normalized)'!D21/'Data fits (Normalized)'!D$15</f>
        <v>47.478442644368954</v>
      </c>
      <c r="D58" s="94">
        <f>100*'Data fits (Normalized)'!E21/'Data fits (Normalized)'!E$15</f>
        <v>45.424416111046128</v>
      </c>
      <c r="E58" s="95">
        <f>100*'Data fits (Normalized)'!F21/'Data fits (Normalized)'!F$15</f>
        <v>8.6859914606872124</v>
      </c>
    </row>
  </sheetData>
  <mergeCells count="16">
    <mergeCell ref="A50:E50"/>
    <mergeCell ref="I12:L12"/>
    <mergeCell ref="I5:L6"/>
    <mergeCell ref="AB7:AF7"/>
    <mergeCell ref="AI7:AM7"/>
    <mergeCell ref="AP7:AT7"/>
    <mergeCell ref="A13:F13"/>
    <mergeCell ref="N26:R26"/>
    <mergeCell ref="A32:E32"/>
    <mergeCell ref="A2:G2"/>
    <mergeCell ref="B3:C3"/>
    <mergeCell ref="D3:E3"/>
    <mergeCell ref="F3:G3"/>
    <mergeCell ref="Q3:W3"/>
    <mergeCell ref="N7:R7"/>
    <mergeCell ref="U7:Y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P68"/>
  <sheetViews>
    <sheetView topLeftCell="G1" zoomScale="90" zoomScaleNormal="90" workbookViewId="0">
      <selection activeCell="I15" sqref="I15"/>
    </sheetView>
  </sheetViews>
  <sheetFormatPr defaultColWidth="8.90625" defaultRowHeight="14.5" x14ac:dyDescent="0.35"/>
  <cols>
    <col min="2" max="2" width="11" customWidth="1"/>
    <col min="3" max="3" width="10.81640625" customWidth="1"/>
    <col min="8" max="8" width="10.36328125" customWidth="1"/>
    <col min="9" max="9" width="12.1796875" customWidth="1"/>
    <col min="11" max="11" width="11.36328125" customWidth="1"/>
    <col min="13" max="13" width="9.54296875" bestFit="1" customWidth="1"/>
    <col min="15" max="15" width="11.08984375" customWidth="1"/>
    <col min="20" max="20" width="13.08984375" bestFit="1" customWidth="1"/>
    <col min="22" max="22" width="12" bestFit="1" customWidth="1"/>
    <col min="29" max="33" width="12" bestFit="1" customWidth="1"/>
    <col min="43" max="43" width="10" bestFit="1" customWidth="1"/>
    <col min="50" max="50" width="12" bestFit="1" customWidth="1"/>
    <col min="57" max="57" width="13.08984375" bestFit="1" customWidth="1"/>
    <col min="64" max="64" width="9.08984375" bestFit="1" customWidth="1"/>
  </cols>
  <sheetData>
    <row r="1" spans="1:68" x14ac:dyDescent="0.35">
      <c r="AW1" s="385" t="s">
        <v>159</v>
      </c>
      <c r="AX1" s="385"/>
      <c r="AY1" s="385"/>
      <c r="AZ1" s="385"/>
      <c r="BA1" s="385"/>
    </row>
    <row r="2" spans="1:68" x14ac:dyDescent="0.35">
      <c r="A2" s="372" t="s">
        <v>128</v>
      </c>
      <c r="B2" s="373"/>
      <c r="C2" s="373"/>
      <c r="D2" s="373"/>
      <c r="E2" s="373"/>
      <c r="F2" s="373"/>
      <c r="G2" s="374"/>
      <c r="AW2" t="s">
        <v>146</v>
      </c>
      <c r="AX2">
        <v>0.72637334612074744</v>
      </c>
      <c r="AY2">
        <v>0.64584072618013721</v>
      </c>
      <c r="AZ2">
        <v>0.72644323812108302</v>
      </c>
      <c r="BA2">
        <v>0.58705349857396305</v>
      </c>
    </row>
    <row r="3" spans="1:68" ht="18.5" x14ac:dyDescent="0.45">
      <c r="A3" s="52"/>
      <c r="B3" s="382" t="s">
        <v>62</v>
      </c>
      <c r="C3" s="384"/>
      <c r="D3" s="383" t="s">
        <v>24</v>
      </c>
      <c r="E3" s="383"/>
      <c r="F3" s="383" t="s">
        <v>25</v>
      </c>
      <c r="G3" s="384"/>
      <c r="H3" s="386" t="s">
        <v>164</v>
      </c>
      <c r="I3" s="358"/>
      <c r="J3" s="358" t="s">
        <v>24</v>
      </c>
      <c r="K3" s="358"/>
      <c r="L3" s="358" t="s">
        <v>25</v>
      </c>
      <c r="M3" s="358"/>
      <c r="Q3" s="378"/>
      <c r="R3" s="378"/>
      <c r="S3" s="378"/>
      <c r="T3" s="378"/>
      <c r="U3" s="378"/>
      <c r="V3" s="378"/>
      <c r="W3" s="378"/>
      <c r="AW3" t="s">
        <v>147</v>
      </c>
      <c r="AX3">
        <v>3.3594589594210055E-4</v>
      </c>
      <c r="AY3">
        <v>2.4426152584575367E-4</v>
      </c>
      <c r="AZ3">
        <v>7.5545329583531567E-4</v>
      </c>
      <c r="BA3">
        <v>3.6741339836582056E-4</v>
      </c>
    </row>
    <row r="4" spans="1:68" x14ac:dyDescent="0.35">
      <c r="A4" s="54"/>
      <c r="B4" s="148" t="s">
        <v>26</v>
      </c>
      <c r="C4" s="149" t="s">
        <v>27</v>
      </c>
      <c r="D4" s="148" t="s">
        <v>26</v>
      </c>
      <c r="E4" s="150" t="s">
        <v>27</v>
      </c>
      <c r="F4" s="149" t="s">
        <v>26</v>
      </c>
      <c r="G4" s="150" t="s">
        <v>27</v>
      </c>
      <c r="H4" s="26" t="s">
        <v>123</v>
      </c>
      <c r="I4" s="26" t="s">
        <v>160</v>
      </c>
      <c r="J4" s="26" t="s">
        <v>123</v>
      </c>
      <c r="K4" s="26" t="s">
        <v>160</v>
      </c>
      <c r="L4" s="26" t="s">
        <v>123</v>
      </c>
      <c r="M4" s="26" t="s">
        <v>160</v>
      </c>
      <c r="AW4" t="s">
        <v>150</v>
      </c>
      <c r="AX4">
        <v>1.1834294185556831E-4</v>
      </c>
      <c r="AY4">
        <v>1.0613020945938726E-4</v>
      </c>
      <c r="AZ4">
        <v>2.8067858517873557E-4</v>
      </c>
      <c r="BA4">
        <v>1.8483502709188652E-4</v>
      </c>
    </row>
    <row r="5" spans="1:68" x14ac:dyDescent="0.35">
      <c r="A5" s="10" t="s">
        <v>1</v>
      </c>
      <c r="B5" s="14">
        <v>23.8</v>
      </c>
      <c r="C5" s="14">
        <v>10.4</v>
      </c>
      <c r="D5" s="217">
        <v>23.7</v>
      </c>
      <c r="E5" s="218">
        <v>10.8</v>
      </c>
      <c r="F5" s="14">
        <v>23.3</v>
      </c>
      <c r="G5" s="218">
        <v>13</v>
      </c>
      <c r="H5" s="270">
        <f>(0.9/23.8)</f>
        <v>3.7815126050420166E-2</v>
      </c>
      <c r="I5" s="271">
        <f>H5/SQRT(F27)</f>
        <v>1.0916286602324857E-2</v>
      </c>
      <c r="J5" s="270">
        <f>1.6/D5</f>
        <v>6.7510548523206759E-2</v>
      </c>
      <c r="K5" s="271">
        <f>J5/SQRT(10)</f>
        <v>2.134870994206501E-2</v>
      </c>
      <c r="L5" s="270">
        <f>1.7/F5</f>
        <v>7.2961373390557929E-2</v>
      </c>
      <c r="M5" s="271">
        <f>L5/SQRT(10)</f>
        <v>2.3072412112816496E-2</v>
      </c>
      <c r="AW5" t="s">
        <v>151</v>
      </c>
      <c r="AX5" s="265">
        <v>1.6602370229545047E-7</v>
      </c>
      <c r="AY5">
        <v>7.7305242914998719E-8</v>
      </c>
      <c r="AZ5">
        <v>1.2204361369712591E-7</v>
      </c>
      <c r="BA5" s="265">
        <v>1.2250587734298997E-6</v>
      </c>
    </row>
    <row r="6" spans="1:68" x14ac:dyDescent="0.35">
      <c r="A6" s="97" t="s">
        <v>109</v>
      </c>
      <c r="B6" s="14">
        <v>24.4</v>
      </c>
      <c r="C6" s="14">
        <v>14.6</v>
      </c>
      <c r="D6" s="217">
        <v>25.7</v>
      </c>
      <c r="E6" s="218">
        <v>14.6</v>
      </c>
      <c r="F6" s="14">
        <v>23.7</v>
      </c>
      <c r="G6" s="218">
        <v>16</v>
      </c>
      <c r="H6" s="270">
        <f>1.7/B6</f>
        <v>6.9672131147540992E-2</v>
      </c>
      <c r="I6" s="271">
        <f t="shared" ref="I6:I11" si="0">H6/SQRT(F28)</f>
        <v>2.0112611836523853E-2</v>
      </c>
      <c r="J6" s="270">
        <f>1.6/D6</f>
        <v>6.2256809338521409E-2</v>
      </c>
      <c r="K6" s="271">
        <f t="shared" ref="K6:K11" si="1">J6/SQRT(10)</f>
        <v>1.9687331736456839E-2</v>
      </c>
      <c r="L6" s="270">
        <f>2.8/F6</f>
        <v>0.11814345991561181</v>
      </c>
      <c r="M6" s="271">
        <f t="shared" ref="M6:M11" si="2">L6/SQRT(10)</f>
        <v>3.7360242398613762E-2</v>
      </c>
      <c r="AW6" t="s">
        <v>153</v>
      </c>
      <c r="AX6">
        <v>0.1423793773207277</v>
      </c>
      <c r="AY6">
        <v>0.12079019128135639</v>
      </c>
      <c r="AZ6">
        <v>0</v>
      </c>
      <c r="BA6">
        <v>0.05</v>
      </c>
    </row>
    <row r="7" spans="1:68" ht="15" thickBot="1" x14ac:dyDescent="0.4">
      <c r="A7" s="97" t="s">
        <v>110</v>
      </c>
      <c r="B7" s="14">
        <v>24.9</v>
      </c>
      <c r="C7" s="14">
        <v>18.600000000000001</v>
      </c>
      <c r="D7" s="217">
        <v>24.2</v>
      </c>
      <c r="E7" s="218">
        <v>17.3</v>
      </c>
      <c r="F7" s="14">
        <v>21.5</v>
      </c>
      <c r="G7" s="218">
        <v>15.7</v>
      </c>
      <c r="H7" s="270">
        <f>1.6/B7</f>
        <v>6.4257028112449807E-2</v>
      </c>
      <c r="I7" s="271">
        <f t="shared" si="0"/>
        <v>1.8549406239024124E-2</v>
      </c>
      <c r="J7" s="270">
        <f>1.8/D7</f>
        <v>7.43801652892562E-2</v>
      </c>
      <c r="K7" s="271">
        <f t="shared" si="1"/>
        <v>2.352107350538464E-2</v>
      </c>
      <c r="L7" s="270">
        <f>2/F7</f>
        <v>9.3023255813953487E-2</v>
      </c>
      <c r="M7" s="271">
        <f t="shared" si="2"/>
        <v>2.941653637365934E-2</v>
      </c>
      <c r="N7" s="385" t="s">
        <v>145</v>
      </c>
      <c r="O7" s="385"/>
      <c r="P7" s="385"/>
      <c r="Q7" s="385"/>
      <c r="R7" s="385"/>
      <c r="T7" t="s">
        <v>209</v>
      </c>
      <c r="U7" s="385" t="s">
        <v>154</v>
      </c>
      <c r="V7" s="385"/>
      <c r="W7" s="385"/>
      <c r="X7" s="385"/>
      <c r="Y7" s="385"/>
      <c r="AB7" s="385" t="s">
        <v>152</v>
      </c>
      <c r="AC7" s="385"/>
      <c r="AD7" s="385"/>
      <c r="AE7" s="385"/>
      <c r="AF7" s="385"/>
      <c r="AI7" s="385" t="s">
        <v>152</v>
      </c>
      <c r="AJ7" s="385"/>
      <c r="AK7" s="385"/>
      <c r="AL7" s="385"/>
      <c r="AM7" s="385"/>
      <c r="AP7" s="385" t="s">
        <v>157</v>
      </c>
      <c r="AQ7" s="385"/>
      <c r="AR7" s="385"/>
      <c r="AS7" s="385"/>
      <c r="AT7" s="385"/>
      <c r="AW7" s="385" t="s">
        <v>159</v>
      </c>
      <c r="AX7" s="385"/>
      <c r="AY7" s="385"/>
      <c r="AZ7" s="385"/>
      <c r="BA7" s="385"/>
      <c r="BD7" s="28" t="s">
        <v>204</v>
      </c>
      <c r="BE7" s="28"/>
      <c r="BF7" s="28"/>
      <c r="BG7" s="28"/>
      <c r="BH7" s="28"/>
      <c r="BK7" s="385" t="s">
        <v>205</v>
      </c>
      <c r="BL7" s="385"/>
      <c r="BM7" s="385"/>
      <c r="BN7" s="385"/>
      <c r="BO7" s="385"/>
      <c r="BP7" s="385"/>
    </row>
    <row r="8" spans="1:68" ht="15" thickBot="1" x14ac:dyDescent="0.4">
      <c r="A8" s="97" t="s">
        <v>111</v>
      </c>
      <c r="B8" s="14">
        <v>25.2</v>
      </c>
      <c r="C8" s="14">
        <v>16.8</v>
      </c>
      <c r="D8" s="217">
        <v>26.9</v>
      </c>
      <c r="E8" s="218">
        <v>18.399999999999999</v>
      </c>
      <c r="F8" s="14">
        <v>23.7</v>
      </c>
      <c r="G8" s="218">
        <v>17.3</v>
      </c>
      <c r="H8" s="270">
        <f>2.2/B8</f>
        <v>8.7301587301587311E-2</v>
      </c>
      <c r="I8" s="271">
        <f t="shared" si="0"/>
        <v>1.7460317460317461E-2</v>
      </c>
      <c r="J8" s="270">
        <f>2.6/D8</f>
        <v>9.6654275092936809E-2</v>
      </c>
      <c r="K8" s="271">
        <f t="shared" si="1"/>
        <v>3.0564765488616304E-2</v>
      </c>
      <c r="L8" s="270">
        <f>2.2/F8</f>
        <v>9.2827004219409287E-2</v>
      </c>
      <c r="M8" s="271">
        <f t="shared" si="2"/>
        <v>2.9354476170339386E-2</v>
      </c>
      <c r="N8" s="61" t="s">
        <v>146</v>
      </c>
      <c r="O8">
        <v>1.30548215809445</v>
      </c>
      <c r="P8">
        <v>0.9651441259204292</v>
      </c>
      <c r="Q8">
        <v>0.82200785301843549</v>
      </c>
      <c r="R8">
        <v>1.5557888278516183</v>
      </c>
      <c r="T8">
        <v>47.56</v>
      </c>
      <c r="U8" s="61" t="s">
        <v>146</v>
      </c>
      <c r="V8">
        <v>3.2754587147952008</v>
      </c>
      <c r="W8">
        <v>2.1348045732571617</v>
      </c>
      <c r="X8">
        <v>1.266414346169435</v>
      </c>
      <c r="Y8">
        <v>1.6689094117071439</v>
      </c>
      <c r="AB8" t="s">
        <v>146</v>
      </c>
      <c r="AC8">
        <v>0.29604888821014957</v>
      </c>
      <c r="AD8">
        <v>0.32834243877025715</v>
      </c>
      <c r="AE8">
        <v>0.26357757742751242</v>
      </c>
      <c r="AF8">
        <v>0.20450933788740602</v>
      </c>
      <c r="AI8" t="s">
        <v>146</v>
      </c>
      <c r="AJ8" s="263">
        <f>AN8</f>
        <v>0.2960488882101282</v>
      </c>
      <c r="AK8" s="263">
        <f>AN8</f>
        <v>0.2960488882101282</v>
      </c>
      <c r="AL8" s="263">
        <f>AN8</f>
        <v>0.2960488882101282</v>
      </c>
      <c r="AM8" s="263">
        <f>AN8</f>
        <v>0.2960488882101282</v>
      </c>
      <c r="AN8" s="264">
        <v>0.2960488882101282</v>
      </c>
      <c r="AP8" t="s">
        <v>146</v>
      </c>
      <c r="AQ8">
        <v>0.72644323812108302</v>
      </c>
      <c r="AR8">
        <v>0.64626589136270252</v>
      </c>
      <c r="AS8">
        <v>0.72644323812108302</v>
      </c>
      <c r="AT8">
        <v>0.5870534985803999</v>
      </c>
      <c r="AW8" t="s">
        <v>146</v>
      </c>
      <c r="AX8">
        <v>0.72637334612074744</v>
      </c>
      <c r="AY8">
        <v>0.64584072618013721</v>
      </c>
      <c r="AZ8">
        <v>0.63569971997280905</v>
      </c>
      <c r="BA8">
        <v>0.56785356894680394</v>
      </c>
      <c r="BD8" t="s">
        <v>146</v>
      </c>
      <c r="BE8">
        <v>0.59999999830230077</v>
      </c>
      <c r="BF8">
        <v>0.64626589136270252</v>
      </c>
      <c r="BG8">
        <v>0.72644323812108302</v>
      </c>
      <c r="BH8">
        <v>0.5870534985803999</v>
      </c>
      <c r="BK8" t="s">
        <v>206</v>
      </c>
      <c r="BL8">
        <v>0.59999999830230077</v>
      </c>
      <c r="BM8">
        <v>0.64626589136270252</v>
      </c>
      <c r="BN8">
        <v>0.72644323812108302</v>
      </c>
      <c r="BO8">
        <v>0.5870534985803999</v>
      </c>
    </row>
    <row r="9" spans="1:68" ht="15" thickBot="1" x14ac:dyDescent="0.4">
      <c r="A9" s="97" t="s">
        <v>112</v>
      </c>
      <c r="B9" s="14">
        <v>26.4</v>
      </c>
      <c r="C9" s="14">
        <v>19.2</v>
      </c>
      <c r="D9" s="217">
        <v>26.3</v>
      </c>
      <c r="E9" s="218">
        <v>16.7</v>
      </c>
      <c r="F9" s="14">
        <v>23.8</v>
      </c>
      <c r="G9" s="218">
        <v>17</v>
      </c>
      <c r="H9" s="270">
        <f>1.7/B9</f>
        <v>6.4393939393939392E-2</v>
      </c>
      <c r="I9" s="271">
        <f t="shared" si="0"/>
        <v>1.2878787878787878E-2</v>
      </c>
      <c r="J9" s="270">
        <f>1.9/D9</f>
        <v>7.2243346007604556E-2</v>
      </c>
      <c r="K9" s="271">
        <f t="shared" si="1"/>
        <v>2.2845351917566235E-2</v>
      </c>
      <c r="L9" s="270">
        <f>2.2/F9</f>
        <v>9.2436974789915971E-2</v>
      </c>
      <c r="M9" s="271">
        <f t="shared" si="2"/>
        <v>2.9231138035169892E-2</v>
      </c>
      <c r="N9" s="61" t="s">
        <v>147</v>
      </c>
      <c r="O9">
        <v>0.13146249195412352</v>
      </c>
      <c r="P9">
        <v>9.2565903632240321E-2</v>
      </c>
      <c r="Q9">
        <v>9.8966415387985396E-2</v>
      </c>
      <c r="R9">
        <v>0.16688561097233134</v>
      </c>
      <c r="T9">
        <v>0.126</v>
      </c>
      <c r="U9" s="61" t="s">
        <v>147</v>
      </c>
      <c r="V9">
        <v>0.2505816990252791</v>
      </c>
      <c r="W9">
        <v>0.19435300864038782</v>
      </c>
      <c r="X9">
        <v>0.15448743830392209</v>
      </c>
      <c r="Y9">
        <v>0.17616248130814283</v>
      </c>
      <c r="AB9" t="s">
        <v>147</v>
      </c>
      <c r="AC9">
        <v>1.3949651936036844E-7</v>
      </c>
      <c r="AD9">
        <v>1.3949651936036844E-7</v>
      </c>
      <c r="AE9">
        <v>1.8901130103436908E-7</v>
      </c>
      <c r="AF9">
        <v>1.2814586355902591E-4</v>
      </c>
      <c r="AI9" t="s">
        <v>147</v>
      </c>
      <c r="AJ9">
        <v>2.3796339704019487E-7</v>
      </c>
      <c r="AK9">
        <v>2.3796339704019487E-7</v>
      </c>
      <c r="AL9">
        <v>2.3796339704019487E-7</v>
      </c>
      <c r="AM9">
        <v>9.8525555541296154E-7</v>
      </c>
      <c r="AP9" t="s">
        <v>147</v>
      </c>
      <c r="AQ9">
        <v>3.825860341725859E-4</v>
      </c>
      <c r="AR9">
        <v>3.0635091006165922E-4</v>
      </c>
      <c r="AS9">
        <v>7.5545329583531567E-4</v>
      </c>
      <c r="AT9">
        <v>3.6741339836329393E-4</v>
      </c>
      <c r="AW9" t="s">
        <v>147</v>
      </c>
      <c r="AX9">
        <v>3.3594589594210055E-4</v>
      </c>
      <c r="AY9">
        <v>2.4426152584575367E-4</v>
      </c>
      <c r="AZ9">
        <v>5.6884647041492232E-4</v>
      </c>
      <c r="BA9">
        <v>3.4819507903887401E-4</v>
      </c>
      <c r="BD9" t="s">
        <v>147</v>
      </c>
      <c r="BE9" s="265">
        <v>3.0000000000000001E-5</v>
      </c>
      <c r="BF9">
        <v>3.0635091006165922E-4</v>
      </c>
      <c r="BG9">
        <v>7.5545329583531567E-4</v>
      </c>
      <c r="BH9">
        <v>3.6741339836329393E-4</v>
      </c>
      <c r="BK9" t="s">
        <v>207</v>
      </c>
      <c r="BL9" s="265">
        <v>3.0000000000000001E-5</v>
      </c>
      <c r="BM9">
        <v>3.0635091006165922E-4</v>
      </c>
      <c r="BN9">
        <v>7.5545329583531567E-4</v>
      </c>
      <c r="BO9">
        <v>3.6741339836329393E-4</v>
      </c>
    </row>
    <row r="10" spans="1:68" ht="15" thickBot="1" x14ac:dyDescent="0.4">
      <c r="A10" s="97" t="s">
        <v>113</v>
      </c>
      <c r="B10" s="14">
        <v>26.2</v>
      </c>
      <c r="C10" s="14">
        <v>19.7</v>
      </c>
      <c r="D10" s="217">
        <v>24.6</v>
      </c>
      <c r="E10" s="218">
        <v>17</v>
      </c>
      <c r="F10" s="14">
        <v>22.9</v>
      </c>
      <c r="G10" s="218">
        <v>18.2</v>
      </c>
      <c r="H10" s="270">
        <f>2.5/B10</f>
        <v>9.5419847328244281E-2</v>
      </c>
      <c r="I10" s="271">
        <f t="shared" si="0"/>
        <v>1.9083969465648856E-2</v>
      </c>
      <c r="J10" s="270">
        <f>1.4/D10</f>
        <v>5.6910569105691047E-2</v>
      </c>
      <c r="K10" s="271">
        <f t="shared" si="1"/>
        <v>1.7996702131039554E-2</v>
      </c>
      <c r="L10" s="270">
        <f>3/F10</f>
        <v>0.13100436681222707</v>
      </c>
      <c r="M10" s="271">
        <f t="shared" si="2"/>
        <v>4.1427218255480951E-2</v>
      </c>
      <c r="U10" s="61" t="s">
        <v>153</v>
      </c>
      <c r="V10">
        <v>0.12741370562124299</v>
      </c>
      <c r="W10">
        <v>0.13083372024566073</v>
      </c>
      <c r="X10">
        <v>6.2994431812119084E-2</v>
      </c>
      <c r="Y10">
        <v>1.0967745394771364E-2</v>
      </c>
      <c r="AB10" t="s">
        <v>150</v>
      </c>
      <c r="AC10">
        <v>0.35365185729392257</v>
      </c>
      <c r="AD10">
        <v>0.32961480642485935</v>
      </c>
      <c r="AE10">
        <v>0.30107654830178637</v>
      </c>
      <c r="AF10">
        <v>0.27750459580721465</v>
      </c>
      <c r="AI10" t="s">
        <v>150</v>
      </c>
      <c r="AJ10" s="263">
        <f>AN10</f>
        <v>0.35365185729390558</v>
      </c>
      <c r="AK10" s="263">
        <f>AN10</f>
        <v>0.35365185729390558</v>
      </c>
      <c r="AL10" s="263">
        <f>AN10</f>
        <v>0.35365185729390558</v>
      </c>
      <c r="AM10" s="263">
        <f>AN10</f>
        <v>0.35365185729390558</v>
      </c>
      <c r="AN10" s="264">
        <v>0.35365185729390558</v>
      </c>
      <c r="AP10" t="s">
        <v>150</v>
      </c>
      <c r="AQ10">
        <v>1.5044571647068535E-4</v>
      </c>
      <c r="AR10">
        <v>1.5303100273953888E-4</v>
      </c>
      <c r="AS10">
        <v>2.8067858517873557E-4</v>
      </c>
      <c r="AT10">
        <v>1.8483502709294662E-4</v>
      </c>
      <c r="AW10" t="s">
        <v>150</v>
      </c>
      <c r="AX10">
        <v>1.1834294185556831E-4</v>
      </c>
      <c r="AY10">
        <v>1.0928389537351997E-4</v>
      </c>
      <c r="AZ10">
        <v>2.3641249033088261E-4</v>
      </c>
      <c r="BA10">
        <v>1.7913450639418565E-4</v>
      </c>
      <c r="BD10" t="s">
        <v>150</v>
      </c>
      <c r="BE10">
        <v>1.0000000000000001E-5</v>
      </c>
      <c r="BF10">
        <v>1.5303100273953888E-4</v>
      </c>
      <c r="BG10">
        <v>2.8067858517873557E-4</v>
      </c>
      <c r="BH10">
        <v>1.8483502709294662E-4</v>
      </c>
      <c r="BK10" t="s">
        <v>208</v>
      </c>
      <c r="BL10">
        <v>1.0000000000000001E-5</v>
      </c>
      <c r="BM10">
        <v>1.5303100273953888E-4</v>
      </c>
      <c r="BN10">
        <v>2.8067858517873557E-4</v>
      </c>
      <c r="BO10">
        <v>1.8483502709294662E-4</v>
      </c>
    </row>
    <row r="11" spans="1:68" x14ac:dyDescent="0.35">
      <c r="A11" s="11" t="s">
        <v>114</v>
      </c>
      <c r="B11" s="63">
        <v>25.7</v>
      </c>
      <c r="C11" s="63">
        <v>20.399999999999999</v>
      </c>
      <c r="D11" s="219">
        <v>26.7</v>
      </c>
      <c r="E11" s="220">
        <v>19.8</v>
      </c>
      <c r="F11" s="63">
        <v>24.9</v>
      </c>
      <c r="G11" s="220">
        <v>19.899999999999999</v>
      </c>
      <c r="H11" s="270">
        <f>2.4/B11</f>
        <v>9.3385214007782102E-2</v>
      </c>
      <c r="I11" s="271">
        <f t="shared" si="0"/>
        <v>1.3768898629251094E-2</v>
      </c>
      <c r="J11" s="270">
        <f>2.3/D11</f>
        <v>8.6142322097378279E-2</v>
      </c>
      <c r="K11" s="271">
        <f t="shared" si="1"/>
        <v>2.7240594076356824E-2</v>
      </c>
      <c r="L11" s="270">
        <f>3.6/F11</f>
        <v>0.14457831325301207</v>
      </c>
      <c r="M11" s="271">
        <f t="shared" si="2"/>
        <v>4.5719677014482596E-2</v>
      </c>
      <c r="AB11" t="s">
        <v>151</v>
      </c>
      <c r="AC11">
        <v>3.4039611800225296E-4</v>
      </c>
      <c r="AD11">
        <v>3.3192910372074679E-4</v>
      </c>
      <c r="AE11">
        <v>4.3845739513059134E-4</v>
      </c>
      <c r="AF11">
        <v>7.6080758584038773E-7</v>
      </c>
      <c r="AI11" t="s">
        <v>151</v>
      </c>
      <c r="AJ11">
        <v>3.4039611800226001E-4</v>
      </c>
      <c r="AK11">
        <v>3.172497025576823E-4</v>
      </c>
      <c r="AL11">
        <v>4.3699249491387906E-4</v>
      </c>
      <c r="AM11">
        <v>6.984341359165617E-4</v>
      </c>
      <c r="AP11" t="s">
        <v>151</v>
      </c>
      <c r="AQ11">
        <v>1.2204361369712591E-7</v>
      </c>
      <c r="AR11">
        <v>7.7305242914998719E-8</v>
      </c>
      <c r="AS11">
        <v>1.2204361369712591E-7</v>
      </c>
      <c r="AT11" s="265">
        <v>7.8179314689776015E-7</v>
      </c>
      <c r="AW11" t="s">
        <v>151</v>
      </c>
      <c r="AX11" s="265">
        <v>1.6602370229545047E-7</v>
      </c>
      <c r="AY11" s="265">
        <v>1.023666267072768E-7</v>
      </c>
      <c r="AZ11" s="265">
        <v>1.3464470713732127E-7</v>
      </c>
      <c r="BA11" s="265">
        <v>1.1880546357584864E-6</v>
      </c>
      <c r="BD11" t="s">
        <v>151</v>
      </c>
      <c r="BE11">
        <v>9.9999999999999995E-8</v>
      </c>
      <c r="BF11">
        <v>7.7305242914998719E-8</v>
      </c>
      <c r="BG11">
        <v>1.2204361369712591E-7</v>
      </c>
      <c r="BH11" s="265">
        <v>7.8179314689776015E-7</v>
      </c>
      <c r="BO11" s="265"/>
    </row>
    <row r="12" spans="1:68" x14ac:dyDescent="0.35">
      <c r="AW12" t="s">
        <v>153</v>
      </c>
      <c r="AX12">
        <v>0.1423793773207277</v>
      </c>
      <c r="AY12">
        <v>0.11048451461640767</v>
      </c>
      <c r="AZ12">
        <v>1.9999999999999993E-2</v>
      </c>
      <c r="BA12">
        <v>5.0910831791016853E-2</v>
      </c>
    </row>
    <row r="13" spans="1:68" x14ac:dyDescent="0.35">
      <c r="A13" s="387" t="s">
        <v>132</v>
      </c>
      <c r="B13" s="388"/>
      <c r="C13" s="388"/>
      <c r="D13" s="388"/>
      <c r="E13" s="388"/>
      <c r="F13" s="388"/>
      <c r="H13" s="262" t="s">
        <v>144</v>
      </c>
    </row>
    <row r="14" spans="1:68" x14ac:dyDescent="0.35">
      <c r="A14" s="186" t="s">
        <v>23</v>
      </c>
      <c r="B14" s="61" t="s">
        <v>142</v>
      </c>
      <c r="C14" s="41" t="s">
        <v>62</v>
      </c>
      <c r="D14" s="149" t="s">
        <v>24</v>
      </c>
      <c r="E14" s="41" t="s">
        <v>25</v>
      </c>
      <c r="F14" s="150" t="s">
        <v>143</v>
      </c>
      <c r="H14" s="61" t="str">
        <f>B14</f>
        <v>Interval s</v>
      </c>
      <c r="I14" s="61" t="str">
        <f>C14</f>
        <v>Ebbinghaus</v>
      </c>
      <c r="J14" s="61" t="str">
        <f>D14</f>
        <v>Mack</v>
      </c>
      <c r="K14" s="61" t="str">
        <f>E14</f>
        <v>Seitz</v>
      </c>
      <c r="L14" s="61" t="str">
        <f>F14</f>
        <v>Drost</v>
      </c>
      <c r="N14" s="61" t="str">
        <f>H14</f>
        <v>Interval s</v>
      </c>
      <c r="O14" s="61" t="str">
        <f>I14</f>
        <v>Ebbinghaus</v>
      </c>
      <c r="P14" s="61" t="str">
        <f>J14</f>
        <v>Mack</v>
      </c>
      <c r="Q14" s="61" t="str">
        <f>K14</f>
        <v>Seitz</v>
      </c>
      <c r="R14" s="61" t="str">
        <f>L14</f>
        <v>Drost</v>
      </c>
      <c r="T14" s="61" t="str">
        <f>N14</f>
        <v>Interval s</v>
      </c>
      <c r="U14" s="61" t="str">
        <f>N14</f>
        <v>Interval s</v>
      </c>
      <c r="V14" s="61" t="str">
        <f>O14</f>
        <v>Ebbinghaus</v>
      </c>
      <c r="W14" s="61" t="str">
        <f>P14</f>
        <v>Mack</v>
      </c>
      <c r="X14" s="61" t="str">
        <f>Q14</f>
        <v>Seitz</v>
      </c>
      <c r="Y14" s="61" t="str">
        <f>R14</f>
        <v>Drost</v>
      </c>
      <c r="AB14" s="61" t="str">
        <f>U14</f>
        <v>Interval s</v>
      </c>
      <c r="AC14" s="61" t="str">
        <f>V14</f>
        <v>Ebbinghaus</v>
      </c>
      <c r="AD14" s="61" t="str">
        <f>W14</f>
        <v>Mack</v>
      </c>
      <c r="AE14" s="61" t="str">
        <f>X14</f>
        <v>Seitz</v>
      </c>
      <c r="AF14" s="61" t="str">
        <f>Y14</f>
        <v>Drost</v>
      </c>
      <c r="AI14" s="61" t="str">
        <f>AB14</f>
        <v>Interval s</v>
      </c>
      <c r="AJ14" s="61" t="str">
        <f>AC14</f>
        <v>Ebbinghaus</v>
      </c>
      <c r="AK14" s="61" t="str">
        <f>AD14</f>
        <v>Mack</v>
      </c>
      <c r="AL14" s="61" t="str">
        <f>AE14</f>
        <v>Seitz</v>
      </c>
      <c r="AM14" s="61" t="str">
        <f>AF14</f>
        <v>Drost</v>
      </c>
      <c r="AP14" s="26" t="s">
        <v>142</v>
      </c>
      <c r="AQ14" s="26" t="s">
        <v>62</v>
      </c>
      <c r="AR14" s="26" t="s">
        <v>24</v>
      </c>
      <c r="AS14" s="26" t="s">
        <v>25</v>
      </c>
      <c r="AT14" s="26" t="s">
        <v>143</v>
      </c>
      <c r="AW14" s="26" t="s">
        <v>142</v>
      </c>
      <c r="AX14" s="26" t="s">
        <v>62</v>
      </c>
      <c r="AY14" s="26" t="s">
        <v>24</v>
      </c>
      <c r="AZ14" s="26" t="s">
        <v>25</v>
      </c>
      <c r="BA14" s="26" t="s">
        <v>143</v>
      </c>
      <c r="BD14" s="26" t="s">
        <v>142</v>
      </c>
      <c r="BE14" s="26" t="s">
        <v>62</v>
      </c>
      <c r="BF14" s="26" t="s">
        <v>24</v>
      </c>
      <c r="BG14" s="26" t="s">
        <v>25</v>
      </c>
      <c r="BH14" s="26" t="s">
        <v>143</v>
      </c>
      <c r="BK14" s="26" t="s">
        <v>142</v>
      </c>
      <c r="BL14" s="26" t="s">
        <v>62</v>
      </c>
      <c r="BM14" s="26" t="s">
        <v>24</v>
      </c>
      <c r="BN14" s="26" t="s">
        <v>25</v>
      </c>
      <c r="BO14" s="26" t="s">
        <v>143</v>
      </c>
    </row>
    <row r="15" spans="1:68" x14ac:dyDescent="0.35">
      <c r="A15" s="10" t="s">
        <v>1</v>
      </c>
      <c r="B15" s="91">
        <f>20*60</f>
        <v>1200</v>
      </c>
      <c r="C15" s="208">
        <f>(('Data fits Heller Ebbingh. Data'!B5-'Data fits Heller Ebbingh. Data'!C5)/'Data fits Heller Ebbingh. Data'!B5)*100</f>
        <v>56.30252100840336</v>
      </c>
      <c r="D15" s="88">
        <f>(('Data fits Heller Ebbingh. Data'!D5-'Data fits Heller Ebbingh. Data'!E5)/'Data fits Heller Ebbingh. Data'!D5)*100</f>
        <v>54.430379746835435</v>
      </c>
      <c r="E15" s="209">
        <f>(('Data fits Heller Ebbingh. Data'!F5-'Data fits Heller Ebbingh. Data'!G5)/'Data fits Heller Ebbingh. Data'!F5)*100</f>
        <v>44.206008583690988</v>
      </c>
      <c r="F15" s="210">
        <v>47.167729999999999</v>
      </c>
      <c r="H15" s="61">
        <f t="shared" ref="H15:H21" si="3">B15</f>
        <v>1200</v>
      </c>
      <c r="I15">
        <f>C15/100</f>
        <v>0.56302521008403361</v>
      </c>
      <c r="J15">
        <f t="shared" ref="J15:L21" si="4">D15/100</f>
        <v>0.54430379746835433</v>
      </c>
      <c r="K15">
        <f t="shared" si="4"/>
        <v>0.44206008583690987</v>
      </c>
      <c r="L15">
        <f t="shared" si="4"/>
        <v>0.47167729999999997</v>
      </c>
      <c r="N15" s="61">
        <f t="shared" ref="N15:N21" si="5">H15</f>
        <v>1200</v>
      </c>
      <c r="O15">
        <f>O$8*(1+$H15)^-O$9</f>
        <v>0.513956712966957</v>
      </c>
      <c r="P15">
        <f>P$8*(1+$H15)^-P$9</f>
        <v>0.50064685295550171</v>
      </c>
      <c r="Q15">
        <f>Q$8*(1+$H15)^-Q$9</f>
        <v>0.40747843931725314</v>
      </c>
      <c r="R15">
        <f>R$8*(1+$H15)^-R$9</f>
        <v>0.4764520854158365</v>
      </c>
      <c r="T15">
        <f>(T$8*($H15/3600)^-T$9)/100</f>
        <v>0.54620934236619167</v>
      </c>
      <c r="U15" s="61">
        <f t="shared" ref="U15:U21" si="6">N15</f>
        <v>1200</v>
      </c>
      <c r="V15">
        <f>V$8*(1+$H15)^-V$9</f>
        <v>0.55410875325458175</v>
      </c>
      <c r="W15">
        <f>W$8*(1+$H15)^-W$9</f>
        <v>0.53807111141588648</v>
      </c>
      <c r="X15">
        <f>X$8*(1+$H15)^-X$9</f>
        <v>0.42347240100684602</v>
      </c>
      <c r="Y15">
        <f>Y$8*(1+$H15)^-Y$9</f>
        <v>0.47855606688912483</v>
      </c>
      <c r="AB15" s="61">
        <f>U15</f>
        <v>1200</v>
      </c>
      <c r="AC15">
        <f>AC$8*EXP(-$H15*AC$9)+AC$10*EXP(-$H15*AC$11)</f>
        <v>0.53105859056392801</v>
      </c>
      <c r="AD15">
        <f>AD$8*EXP(-$H15*AD$9)+AD$10*EXP(-$H15*AD$11)</f>
        <v>0.54960751937717289</v>
      </c>
      <c r="AE15">
        <f>AE$8*EXP(-$H15*AE$9)+AE$10*EXP(-$H15*AE$11)</f>
        <v>0.44141674751843679</v>
      </c>
      <c r="AF15">
        <f>AF$8*EXP(-$H15*AF$9)+AF$10*EXP(-$H15*AF$11)</f>
        <v>0.45261093681605258</v>
      </c>
      <c r="AI15" s="61">
        <f t="shared" ref="AI15:AI20" si="7">AB15</f>
        <v>1200</v>
      </c>
      <c r="AJ15">
        <f>AJ$8*EXP(-$H15*AJ$9)+AJ$10*EXP(-$H15*AJ$11)</f>
        <v>0.53102361727378389</v>
      </c>
      <c r="AK15">
        <f>AK$8*EXP(-$H15*AK$9)+AK$10*EXP(-$H15*AK$11)</f>
        <v>0.53764407052166097</v>
      </c>
      <c r="AL15">
        <f>AL$8*EXP(-$H15*AL$9)+AL$10*EXP(-$H15*AL$11)</f>
        <v>0.50529646073515011</v>
      </c>
      <c r="AM15">
        <f>AM$8*EXP(-$H15*AM$9)+AM$10*EXP(-$H15*AM$11)</f>
        <v>0.44866145498245358</v>
      </c>
      <c r="AP15" s="91">
        <f>20*60</f>
        <v>1200</v>
      </c>
      <c r="AQ15">
        <f t="shared" ref="AQ15:AQ21" si="8">AQ$8*EXP(-$AP15*AQ$9) + (AQ$8* AQ$10/(AQ$9-AQ$11))*(EXP(-$H15*AQ$11)-EXP(-$H15*AQ$9) )</f>
        <v>0.56416132386087736</v>
      </c>
      <c r="AR15">
        <f t="shared" ref="AR15:AT21" si="9">AR$8*EXP(-$H15*AR$9) + (AR$8* AR$10/(AR$9-AR$11))*(EXP(-$H15*AR$11)-EXP(-$H15*AR$9) )</f>
        <v>0.54676493744527621</v>
      </c>
      <c r="AS15">
        <f t="shared" si="9"/>
        <v>0.4542925618678274</v>
      </c>
      <c r="AT15">
        <f t="shared" si="9"/>
        <v>0.48298913967966228</v>
      </c>
      <c r="AW15" s="91">
        <f>20*60</f>
        <v>1200</v>
      </c>
      <c r="AX15">
        <f t="shared" ref="AX15:BA17" si="10">AX$8*EXP(-$AP15*AX$9) + (AX$8* AX$10/(AX$9-AX$11))*(EXP(-$H15*AX$11)-EXP(-$H15*AX$9) )</f>
        <v>0.57026423463715803</v>
      </c>
      <c r="AY15">
        <f t="shared" si="10"/>
        <v>0.55516399664336014</v>
      </c>
      <c r="AZ15">
        <f t="shared" si="10"/>
        <v>0.451903017841355</v>
      </c>
      <c r="BA15">
        <f t="shared" si="10"/>
        <v>0.47361394296739301</v>
      </c>
      <c r="BD15" s="91">
        <f>20*60</f>
        <v>1200</v>
      </c>
      <c r="BE15">
        <f>BE$8*EXP(-$AP15*BE$9)</f>
        <v>0.57878417445220476</v>
      </c>
      <c r="BF15">
        <f t="shared" ref="BF15:BH17" si="11">BF$8*EXP(-$AP15*BF$9)</f>
        <v>0.44746124184540514</v>
      </c>
      <c r="BG15">
        <f t="shared" si="11"/>
        <v>0.29342333463362308</v>
      </c>
      <c r="BH15">
        <f t="shared" si="11"/>
        <v>0.37774519333745682</v>
      </c>
      <c r="BK15" s="91">
        <f>20*60</f>
        <v>1200</v>
      </c>
      <c r="BL15" s="265">
        <f>BL$8*EXP(-$AP15*BL$9)</f>
        <v>0.57878417445220476</v>
      </c>
      <c r="BM15">
        <f t="shared" ref="BM15:BO17" si="12">BM$8*EXP(-$AP15*BM$9)</f>
        <v>0.44746124184540514</v>
      </c>
      <c r="BN15">
        <f t="shared" si="12"/>
        <v>0.29342333463362308</v>
      </c>
      <c r="BO15">
        <f t="shared" si="12"/>
        <v>0.37774519333745682</v>
      </c>
    </row>
    <row r="16" spans="1:68" x14ac:dyDescent="0.35">
      <c r="A16" s="97" t="s">
        <v>109</v>
      </c>
      <c r="B16" s="61">
        <f>3600</f>
        <v>3600</v>
      </c>
      <c r="C16" s="211">
        <f>(('Data fits Heller Ebbingh. Data'!B6-'Data fits Heller Ebbingh. Data'!C6)/'Data fits Heller Ebbingh. Data'!B6)*100</f>
        <v>40.16393442622951</v>
      </c>
      <c r="D16" s="89">
        <f>(('Data fits Heller Ebbingh. Data'!D6-'Data fits Heller Ebbingh. Data'!E6)/'Data fits Heller Ebbingh. Data'!D6)*100</f>
        <v>43.190661478599225</v>
      </c>
      <c r="E16" s="87">
        <f>(('Data fits Heller Ebbingh. Data'!F6-'Data fits Heller Ebbingh. Data'!G6)/'Data fits Heller Ebbingh. Data'!F6)*100</f>
        <v>32.489451476793249</v>
      </c>
      <c r="F16" s="212">
        <v>37.290900000000001</v>
      </c>
      <c r="H16" s="61">
        <f t="shared" si="3"/>
        <v>3600</v>
      </c>
      <c r="I16">
        <f t="shared" ref="I16:I21" si="13">C16/100</f>
        <v>0.40163934426229508</v>
      </c>
      <c r="J16">
        <f t="shared" si="4"/>
        <v>0.43190661478599224</v>
      </c>
      <c r="K16">
        <f t="shared" si="4"/>
        <v>0.32489451476793252</v>
      </c>
      <c r="L16">
        <f t="shared" si="4"/>
        <v>0.37290899999999999</v>
      </c>
      <c r="N16" s="61">
        <f t="shared" si="5"/>
        <v>3600</v>
      </c>
      <c r="O16">
        <f t="shared" ref="O16:R21" si="14">O$8*(1+$H16)^-O$9</f>
        <v>0.44487161320995866</v>
      </c>
      <c r="P16">
        <f t="shared" si="14"/>
        <v>0.45226049306738741</v>
      </c>
      <c r="Q16">
        <f t="shared" si="14"/>
        <v>0.36551863115926381</v>
      </c>
      <c r="R16">
        <f t="shared" si="14"/>
        <v>0.3966749749648768</v>
      </c>
      <c r="T16">
        <f t="shared" ref="T16:T21" si="15">(T$8*($H16/3600)^-T$9)/100</f>
        <v>0.47560000000000002</v>
      </c>
      <c r="U16" s="61">
        <f t="shared" si="6"/>
        <v>3600</v>
      </c>
      <c r="V16">
        <f t="shared" ref="V16:Y17" si="16">V$8*(1+$H16)^-V$9</f>
        <v>0.42082117201958347</v>
      </c>
      <c r="W16">
        <f t="shared" si="16"/>
        <v>0.4346669210658009</v>
      </c>
      <c r="X16">
        <f t="shared" si="16"/>
        <v>0.35739882807468271</v>
      </c>
      <c r="Y16">
        <f t="shared" si="16"/>
        <v>0.39438868104879476</v>
      </c>
      <c r="AB16" s="61">
        <f t="shared" ref="AB16:AB21" si="17">U16</f>
        <v>3600</v>
      </c>
      <c r="AC16">
        <f t="shared" ref="AC16:AF21" si="18">AC$8*EXP(-$H16*AC$9)+AC$10*EXP(-$H16*AC$11)</f>
        <v>0.39974396038594273</v>
      </c>
      <c r="AD16">
        <f t="shared" si="18"/>
        <v>0.42795880639495743</v>
      </c>
      <c r="AE16">
        <f t="shared" si="18"/>
        <v>0.32550896756291964</v>
      </c>
      <c r="AF16">
        <f t="shared" si="18"/>
        <v>0.40567801396328895</v>
      </c>
      <c r="AI16" s="61">
        <f t="shared" si="7"/>
        <v>3600</v>
      </c>
      <c r="AJ16">
        <f t="shared" ref="AJ16:AM21" si="19">AJ$8*EXP(-$H16*AJ$9)+AJ$10*EXP(-$H16*AJ$11)</f>
        <v>0.39963908802799053</v>
      </c>
      <c r="AK16">
        <f t="shared" si="19"/>
        <v>0.40866282263518683</v>
      </c>
      <c r="AL16">
        <f t="shared" si="19"/>
        <v>0.36913786233617524</v>
      </c>
      <c r="AM16">
        <f t="shared" si="19"/>
        <v>0.32361623108167137</v>
      </c>
      <c r="AP16" s="61">
        <f>3600</f>
        <v>3600</v>
      </c>
      <c r="AQ16">
        <f t="shared" si="8"/>
        <v>0.39679443981886442</v>
      </c>
      <c r="AR16">
        <f t="shared" si="9"/>
        <v>0.43014802134813812</v>
      </c>
      <c r="AS16">
        <f t="shared" si="9"/>
        <v>0.29990817400524461</v>
      </c>
      <c r="AT16">
        <f t="shared" si="9"/>
        <v>0.37268031503539145</v>
      </c>
      <c r="AW16" s="61">
        <f>3600</f>
        <v>3600</v>
      </c>
      <c r="AX16">
        <f t="shared" si="10"/>
        <v>0.39619769609493305</v>
      </c>
      <c r="AY16">
        <f t="shared" si="10"/>
        <v>0.43704553179566386</v>
      </c>
      <c r="AZ16">
        <f t="shared" si="10"/>
        <v>0.31205157959682445</v>
      </c>
      <c r="BA16">
        <f t="shared" si="10"/>
        <v>0.37032158652959835</v>
      </c>
      <c r="BD16" s="61">
        <f>3600</f>
        <v>3600</v>
      </c>
      <c r="BE16">
        <f>BE$8*EXP(-$AP16*BE$9)</f>
        <v>0.5385765563343593</v>
      </c>
      <c r="BF16">
        <f t="shared" si="11"/>
        <v>0.21450815137938153</v>
      </c>
      <c r="BG16">
        <f t="shared" si="11"/>
        <v>4.7871889990345307E-2</v>
      </c>
      <c r="BH16">
        <f t="shared" si="11"/>
        <v>0.15640170358605859</v>
      </c>
      <c r="BK16" s="61">
        <f>3600</f>
        <v>3600</v>
      </c>
      <c r="BL16">
        <f>BL$8*EXP(-$AP16*BL$9)</f>
        <v>0.5385765563343593</v>
      </c>
      <c r="BM16">
        <f t="shared" si="12"/>
        <v>0.21450815137938153</v>
      </c>
      <c r="BN16">
        <f t="shared" si="12"/>
        <v>4.7871889990345307E-2</v>
      </c>
      <c r="BO16">
        <f t="shared" si="12"/>
        <v>0.15640170358605859</v>
      </c>
    </row>
    <row r="17" spans="1:68" x14ac:dyDescent="0.35">
      <c r="A17" s="97" t="s">
        <v>110</v>
      </c>
      <c r="B17" s="61">
        <f>9*3600</f>
        <v>32400</v>
      </c>
      <c r="C17" s="211">
        <f>(('Data fits Heller Ebbingh. Data'!B7-'Data fits Heller Ebbingh. Data'!C7)/'Data fits Heller Ebbingh. Data'!B7)*100</f>
        <v>25.3012048192771</v>
      </c>
      <c r="D17" s="89">
        <f>(('Data fits Heller Ebbingh. Data'!D7-'Data fits Heller Ebbingh. Data'!E7)/'Data fits Heller Ebbingh. Data'!D7)*100</f>
        <v>28.512396694214871</v>
      </c>
      <c r="E17" s="87">
        <f>(('Data fits Heller Ebbingh. Data'!F7-'Data fits Heller Ebbingh. Data'!G7)/'Data fits Heller Ebbingh. Data'!F7)*100</f>
        <v>26.976744186046513</v>
      </c>
      <c r="F17" s="212">
        <v>27.644490000000001</v>
      </c>
      <c r="H17" s="61">
        <f t="shared" si="3"/>
        <v>32400</v>
      </c>
      <c r="I17">
        <f t="shared" si="13"/>
        <v>0.25301204819277101</v>
      </c>
      <c r="J17">
        <f t="shared" si="4"/>
        <v>0.2851239669421487</v>
      </c>
      <c r="K17">
        <f t="shared" si="4"/>
        <v>0.26976744186046514</v>
      </c>
      <c r="L17">
        <f t="shared" si="4"/>
        <v>0.27644489999999999</v>
      </c>
      <c r="N17" s="61">
        <f t="shared" si="5"/>
        <v>32400</v>
      </c>
      <c r="O17">
        <f t="shared" si="14"/>
        <v>0.33327419762335103</v>
      </c>
      <c r="P17">
        <f t="shared" si="14"/>
        <v>0.36903559385208934</v>
      </c>
      <c r="Q17">
        <f t="shared" si="14"/>
        <v>0.29409129445562404</v>
      </c>
      <c r="R17">
        <f t="shared" si="14"/>
        <v>0.27491811135777949</v>
      </c>
      <c r="T17">
        <f t="shared" si="15"/>
        <v>0.36058469548826316</v>
      </c>
      <c r="U17" s="61">
        <f t="shared" si="6"/>
        <v>32400</v>
      </c>
      <c r="V17">
        <f t="shared" si="16"/>
        <v>0.24266589234600416</v>
      </c>
      <c r="W17">
        <f t="shared" si="16"/>
        <v>0.28360737884715814</v>
      </c>
      <c r="X17">
        <f t="shared" si="16"/>
        <v>0.25453716748343763</v>
      </c>
      <c r="Y17">
        <f t="shared" si="16"/>
        <v>0.26781913407127106</v>
      </c>
      <c r="AB17" s="61">
        <f t="shared" si="17"/>
        <v>32400</v>
      </c>
      <c r="AC17">
        <f t="shared" si="18"/>
        <v>0.29471959776878548</v>
      </c>
      <c r="AD17">
        <f t="shared" si="18"/>
        <v>0.32686881918183203</v>
      </c>
      <c r="AE17">
        <f t="shared" si="18"/>
        <v>0.26196857340284518</v>
      </c>
      <c r="AF17">
        <f t="shared" si="18"/>
        <v>0.27396545021566104</v>
      </c>
      <c r="AI17" s="61">
        <f t="shared" si="7"/>
        <v>32400</v>
      </c>
      <c r="AJ17">
        <f t="shared" si="19"/>
        <v>0.29378086246744739</v>
      </c>
      <c r="AK17">
        <f t="shared" si="19"/>
        <v>0.29378727192193765</v>
      </c>
      <c r="AL17">
        <f t="shared" si="19"/>
        <v>0.29377537471308929</v>
      </c>
      <c r="AM17">
        <f t="shared" si="19"/>
        <v>0.28674758205870232</v>
      </c>
      <c r="AP17" s="61">
        <f>9*3600</f>
        <v>32400</v>
      </c>
      <c r="AQ17">
        <f t="shared" si="8"/>
        <v>0.28462723157892822</v>
      </c>
      <c r="AR17">
        <f t="shared" si="9"/>
        <v>0.3221177334332963</v>
      </c>
      <c r="AS17">
        <f t="shared" si="9"/>
        <v>0.26887858700885409</v>
      </c>
      <c r="AT17">
        <f t="shared" si="9"/>
        <v>0.28855878225170778</v>
      </c>
      <c r="AW17" s="61">
        <f>9*3600</f>
        <v>32400</v>
      </c>
      <c r="AX17" s="265">
        <f>AX$8*EXP(-$AP17*AX$9) + (AX$8* AX$10/(AX$9-AX$11))*(EXP(-$H17*AX$11)-EXP(-$H17*AX$9) )</f>
        <v>0.25463992354564868</v>
      </c>
      <c r="AY17">
        <f t="shared" si="10"/>
        <v>0.28824693936053614</v>
      </c>
      <c r="AZ17">
        <f t="shared" si="10"/>
        <v>0.26310892508158684</v>
      </c>
      <c r="BA17">
        <f t="shared" si="10"/>
        <v>0.28207551589165725</v>
      </c>
      <c r="BD17" s="61">
        <f>9*3600</f>
        <v>32400</v>
      </c>
      <c r="BE17">
        <f>BE$8*EXP(-$AP17*BE$9)</f>
        <v>0.22699537717056295</v>
      </c>
      <c r="BF17">
        <f t="shared" si="11"/>
        <v>3.1601254166578237E-5</v>
      </c>
      <c r="BG17">
        <f t="shared" si="11"/>
        <v>1.7025962777476525E-11</v>
      </c>
      <c r="BH17">
        <f t="shared" si="11"/>
        <v>3.9696468126166079E-6</v>
      </c>
      <c r="BK17" s="61">
        <f>9*3600</f>
        <v>32400</v>
      </c>
      <c r="BL17">
        <f>BL$8*EXP(-$AP17*BL$9)</f>
        <v>0.22699537717056295</v>
      </c>
      <c r="BM17">
        <f t="shared" si="12"/>
        <v>3.1601254166578237E-5</v>
      </c>
      <c r="BN17">
        <f t="shared" si="12"/>
        <v>1.7025962777476525E-11</v>
      </c>
      <c r="BO17">
        <f t="shared" si="12"/>
        <v>3.9696468126166079E-6</v>
      </c>
    </row>
    <row r="18" spans="1:68" x14ac:dyDescent="0.35">
      <c r="A18" s="97" t="s">
        <v>111</v>
      </c>
      <c r="B18" s="61">
        <f>24*3600</f>
        <v>86400</v>
      </c>
      <c r="C18" s="211">
        <f>(('Data fits Heller Ebbingh. Data'!B8-'Data fits Heller Ebbingh. Data'!C8)/'Data fits Heller Ebbingh. Data'!B8)*100</f>
        <v>33.333333333333329</v>
      </c>
      <c r="D18" s="89">
        <f>(('Data fits Heller Ebbingh. Data'!D8-'Data fits Heller Ebbingh. Data'!E8)/'Data fits Heller Ebbingh. Data'!D8)*100</f>
        <v>31.59851301115242</v>
      </c>
      <c r="E18" s="87">
        <f>(('Data fits Heller Ebbingh. Data'!F8-'Data fits Heller Ebbingh. Data'!G8)/'Data fits Heller Ebbingh. Data'!F8)*100</f>
        <v>27.004219409282694</v>
      </c>
      <c r="F18" s="212">
        <v>31.67801</v>
      </c>
      <c r="H18" s="61">
        <f t="shared" si="3"/>
        <v>86400</v>
      </c>
      <c r="I18">
        <f t="shared" si="13"/>
        <v>0.33333333333333326</v>
      </c>
      <c r="J18">
        <f t="shared" si="4"/>
        <v>0.31598513011152418</v>
      </c>
      <c r="K18">
        <f t="shared" si="4"/>
        <v>0.27004219409282693</v>
      </c>
      <c r="L18">
        <f t="shared" si="4"/>
        <v>0.31678010000000001</v>
      </c>
      <c r="N18" s="61">
        <f t="shared" si="5"/>
        <v>86400</v>
      </c>
      <c r="O18">
        <f t="shared" si="14"/>
        <v>0.29295700145573766</v>
      </c>
      <c r="P18">
        <f t="shared" si="14"/>
        <v>0.33700694523574726</v>
      </c>
      <c r="Q18">
        <f t="shared" si="14"/>
        <v>0.26688637292500295</v>
      </c>
      <c r="R18">
        <f t="shared" si="14"/>
        <v>0.23340851613160782</v>
      </c>
      <c r="T18">
        <f t="shared" si="15"/>
        <v>0.31866563349030036</v>
      </c>
      <c r="U18" s="61">
        <f t="shared" si="6"/>
        <v>86400</v>
      </c>
      <c r="V18">
        <f t="shared" ref="V18:Y21" si="20">V$8*(1+$H18)^-V$9 + V$10</f>
        <v>0.31720263214713396</v>
      </c>
      <c r="W18">
        <f t="shared" si="20"/>
        <v>0.36521927880194599</v>
      </c>
      <c r="X18">
        <f t="shared" si="20"/>
        <v>0.2817432336318228</v>
      </c>
      <c r="Y18">
        <f t="shared" si="20"/>
        <v>0.2362896265904037</v>
      </c>
      <c r="AB18" s="61">
        <f t="shared" si="17"/>
        <v>86400</v>
      </c>
      <c r="AC18">
        <f t="shared" si="18"/>
        <v>0.29250217551014396</v>
      </c>
      <c r="AD18">
        <f t="shared" si="18"/>
        <v>0.32440884420564592</v>
      </c>
      <c r="AE18">
        <f t="shared" si="18"/>
        <v>0.25930815956983333</v>
      </c>
      <c r="AF18">
        <f t="shared" si="18"/>
        <v>0.25985296531012908</v>
      </c>
      <c r="AI18" s="61">
        <f t="shared" si="7"/>
        <v>86400</v>
      </c>
      <c r="AJ18">
        <f>AJ$8*EXP(-$H18*AJ$9)+AJ$10*EXP(-$H18*AJ$11)</f>
        <v>0.29002425750582844</v>
      </c>
      <c r="AK18">
        <f t="shared" si="19"/>
        <v>0.29002425750620975</v>
      </c>
      <c r="AL18">
        <f t="shared" si="19"/>
        <v>0.29002425750576877</v>
      </c>
      <c r="AM18">
        <f t="shared" si="19"/>
        <v>0.27189025852285492</v>
      </c>
      <c r="AP18" s="61">
        <f>24*3600</f>
        <v>86400</v>
      </c>
      <c r="AQ18">
        <f t="shared" si="8"/>
        <v>0.28275579384969113</v>
      </c>
      <c r="AR18">
        <f t="shared" si="9"/>
        <v>0.32076011547851024</v>
      </c>
      <c r="AS18">
        <f t="shared" si="9"/>
        <v>0.26711240788668489</v>
      </c>
      <c r="AT18">
        <f t="shared" si="9"/>
        <v>0.27662842098020263</v>
      </c>
      <c r="AW18" s="61">
        <f>24*3600</f>
        <v>86400</v>
      </c>
      <c r="AX18" s="265">
        <f>(AX$8+AX$12)*EXP(-$AP18*AX$9) + ((AX$8+AX$12)* AX$10/(AX$9-AX$11))*(EXP(-$H18*AX$11)-EXP(-$H18*AX$9) )</f>
        <v>0.30182427497024872</v>
      </c>
      <c r="AY18">
        <f>(AY$8+AY$12)*EXP(-$AP18*AY$9) + ((AY$8+AY$12)* AY$10/(AY$9-AY$11))*(EXP(-$H18*AY$11)-EXP(-$H18*AY$9) )</f>
        <v>0.33554489314383906</v>
      </c>
      <c r="AZ18">
        <f>(AZ$8+AZ$12)*EXP(-$AP18*AZ$9) + ((AZ$8+AZ$12)* AZ$10/(AZ$9-AZ$11))*(EXP(-$H18*AZ$11)-EXP(-$H18*AZ$9) )</f>
        <v>0.26942064891871403</v>
      </c>
      <c r="BA18">
        <f>(BA$8+BA$12)*EXP(-$AP18*BA$9) + ((BA$8+BA$12)* BA$10/(BA$9-BA$11))*(EXP(-$H18*BA$11)-EXP(-$H18*BA$9) )</f>
        <v>0.28826165732545966</v>
      </c>
      <c r="BD18" s="61">
        <f>24*3600</f>
        <v>86400</v>
      </c>
      <c r="BE18">
        <f>BE$8*EXP(-$AP18*BE$9) + (BE$8* BE$10/(BE$9-BE$11))*(EXP(-$H18*BE$11)-EXP(-$H18*BE$9) )</f>
        <v>0.22884056442154588</v>
      </c>
      <c r="BF18">
        <f t="shared" ref="BF18:BH21" si="21">BF$8*EXP(-$H18*BF$9) + (BF$8* BF$10/(BF$9-BF$11))*(EXP(-$H18*BF$11)-EXP(-$H18*BF$9) )</f>
        <v>0.32076011547851024</v>
      </c>
      <c r="BG18">
        <f t="shared" si="21"/>
        <v>0.26711240788668489</v>
      </c>
      <c r="BH18">
        <f t="shared" si="21"/>
        <v>0.27662842098020263</v>
      </c>
      <c r="BK18" s="61">
        <f>24*3600</f>
        <v>86400</v>
      </c>
      <c r="BL18">
        <f>BL$8*EXP(-$AP18*BL$9) + (BL$8* BL$10/(BL$9-BL$11))*(EXP(-$H18*BL$11)-EXP(-$H18*BL$9) )</f>
        <v>0.22994805932746615</v>
      </c>
      <c r="BM18">
        <f t="shared" ref="BM18:BO21" si="22">BM$8*EXP(-$H18*BM$9) + (BM$8* BM$10/(BM$9-BM$11))*(EXP(-$H18*BM$11)-EXP(-$H18*BM$9) )</f>
        <v>0.32282821478156448</v>
      </c>
      <c r="BN18">
        <f t="shared" si="22"/>
        <v>0.26990028558023954</v>
      </c>
      <c r="BO18">
        <f t="shared" si="22"/>
        <v>0.29532959276522525</v>
      </c>
    </row>
    <row r="19" spans="1:68" x14ac:dyDescent="0.35">
      <c r="A19" s="97" t="s">
        <v>112</v>
      </c>
      <c r="B19" s="61">
        <f>48*3600</f>
        <v>172800</v>
      </c>
      <c r="C19" s="211">
        <f>(('Data fits Heller Ebbingh. Data'!B9-'Data fits Heller Ebbingh. Data'!C9)/'Data fits Heller Ebbingh. Data'!B9)*100</f>
        <v>27.27272727272727</v>
      </c>
      <c r="D19" s="89">
        <f>(('Data fits Heller Ebbingh. Data'!D9-'Data fits Heller Ebbingh. Data'!E9)/'Data fits Heller Ebbingh. Data'!D9)*100</f>
        <v>36.501901140684417</v>
      </c>
      <c r="E19" s="87">
        <f>(('Data fits Heller Ebbingh. Data'!F9-'Data fits Heller Ebbingh. Data'!G9)/'Data fits Heller Ebbingh. Data'!F9)*100</f>
        <v>28.571428571428577</v>
      </c>
      <c r="F19" s="212">
        <v>23.000399999999999</v>
      </c>
      <c r="H19" s="61">
        <f t="shared" si="3"/>
        <v>172800</v>
      </c>
      <c r="I19">
        <f t="shared" si="13"/>
        <v>0.27272727272727271</v>
      </c>
      <c r="J19">
        <f t="shared" si="4"/>
        <v>0.36501901140684417</v>
      </c>
      <c r="K19">
        <f t="shared" si="4"/>
        <v>0.28571428571428575</v>
      </c>
      <c r="L19">
        <f t="shared" si="4"/>
        <v>0.23000399999999999</v>
      </c>
      <c r="N19" s="61">
        <f t="shared" si="5"/>
        <v>172800</v>
      </c>
      <c r="O19">
        <f t="shared" si="14"/>
        <v>0.26744227553616429</v>
      </c>
      <c r="P19">
        <f t="shared" si="14"/>
        <v>0.31606322721859426</v>
      </c>
      <c r="Q19">
        <f t="shared" si="14"/>
        <v>0.24919239758672984</v>
      </c>
      <c r="R19">
        <f t="shared" si="14"/>
        <v>0.20791199340007238</v>
      </c>
      <c r="T19">
        <f t="shared" si="15"/>
        <v>0.29201519466611875</v>
      </c>
      <c r="U19" s="61">
        <f t="shared" si="6"/>
        <v>172800</v>
      </c>
      <c r="V19">
        <f t="shared" si="20"/>
        <v>0.28694242958390692</v>
      </c>
      <c r="W19">
        <f t="shared" si="20"/>
        <v>0.33567866590120587</v>
      </c>
      <c r="X19">
        <f t="shared" si="20"/>
        <v>0.25952980071944098</v>
      </c>
      <c r="Y19">
        <f t="shared" si="20"/>
        <v>0.21038999921189225</v>
      </c>
      <c r="AB19" s="61">
        <f t="shared" si="17"/>
        <v>172800</v>
      </c>
      <c r="AC19">
        <f t="shared" si="18"/>
        <v>0.28899795299146458</v>
      </c>
      <c r="AD19">
        <f t="shared" si="18"/>
        <v>0.32052237472843331</v>
      </c>
      <c r="AE19">
        <f t="shared" si="18"/>
        <v>0.25510789755242474</v>
      </c>
      <c r="AF19">
        <f t="shared" si="18"/>
        <v>0.24331817375257292</v>
      </c>
      <c r="AI19" s="61">
        <f t="shared" si="7"/>
        <v>172800</v>
      </c>
      <c r="AJ19">
        <f>AJ$8*EXP(-$H19*AJ$9)+AJ$10*EXP(-$H19*AJ$11)</f>
        <v>0.2841222287653733</v>
      </c>
      <c r="AK19">
        <f t="shared" si="19"/>
        <v>0.2841222287653733</v>
      </c>
      <c r="AL19">
        <f t="shared" si="19"/>
        <v>0.2841222287653733</v>
      </c>
      <c r="AM19">
        <f t="shared" si="19"/>
        <v>0.24970305791912048</v>
      </c>
      <c r="AP19" s="61">
        <f>48*3600</f>
        <v>172800</v>
      </c>
      <c r="AQ19">
        <f t="shared" si="8"/>
        <v>0.27978992049854012</v>
      </c>
      <c r="AR19">
        <f t="shared" si="9"/>
        <v>0.31862484204702052</v>
      </c>
      <c r="AS19">
        <f t="shared" si="9"/>
        <v>0.26431062065705335</v>
      </c>
      <c r="AT19">
        <f t="shared" si="9"/>
        <v>0.25856011943437107</v>
      </c>
      <c r="AW19" s="61">
        <f>48*3600</f>
        <v>172800</v>
      </c>
      <c r="AX19">
        <f t="shared" ref="AX19:BA21" si="23">(AX$8+AX$12)*EXP(-$AP19*AX$9) + ((AX$8+AX$12)* AX$10/(AX$9-AX$11))*(EXP(-$H19*AX$11)-EXP(-$H19*AX$9) )</f>
        <v>0.29752567660699286</v>
      </c>
      <c r="AY19">
        <f t="shared" si="23"/>
        <v>0.33259025927700864</v>
      </c>
      <c r="AZ19">
        <f t="shared" si="23"/>
        <v>0.26630455731813368</v>
      </c>
      <c r="BA19">
        <f t="shared" si="23"/>
        <v>0.26014019039264935</v>
      </c>
      <c r="BD19" s="61">
        <f>48*3600</f>
        <v>172800</v>
      </c>
      <c r="BE19">
        <f>BE$8*EXP(-$AP19*BE$9) + (BE$8* BE$10/(BE$9-BE$11))*(EXP(-$H19*BE$11)-EXP(-$H19*BE$9) )</f>
        <v>0.19946959132542796</v>
      </c>
      <c r="BF19">
        <f t="shared" si="21"/>
        <v>0.31862484204702052</v>
      </c>
      <c r="BG19">
        <f t="shared" si="21"/>
        <v>0.26431062065705335</v>
      </c>
      <c r="BH19">
        <f t="shared" si="21"/>
        <v>0.25856011943437107</v>
      </c>
      <c r="BK19" s="61">
        <f>48*3600</f>
        <v>172800</v>
      </c>
      <c r="BL19">
        <f>BL$8*EXP(-$AP19*BL$9) + (BL$8* BL$10/(BL$9-BL$11))*(EXP(-$H19*BL$11)-EXP(-$H19*BL$9) )</f>
        <v>0.20224221516888619</v>
      </c>
      <c r="BM19">
        <f t="shared" si="22"/>
        <v>0.32282821478053036</v>
      </c>
      <c r="BN19">
        <f t="shared" si="22"/>
        <v>0.26990028558023954</v>
      </c>
      <c r="BO19">
        <f t="shared" si="22"/>
        <v>0.29532959276522047</v>
      </c>
    </row>
    <row r="20" spans="1:68" x14ac:dyDescent="0.35">
      <c r="A20" s="97" t="s">
        <v>113</v>
      </c>
      <c r="B20" s="61">
        <f>6*24*3600</f>
        <v>518400</v>
      </c>
      <c r="C20" s="211">
        <f>(('Data fits Heller Ebbingh. Data'!B10-'Data fits Heller Ebbingh. Data'!C10)/'Data fits Heller Ebbingh. Data'!B10)*100</f>
        <v>24.809160305343511</v>
      </c>
      <c r="D20" s="89">
        <f>(('Data fits Heller Ebbingh. Data'!D10-'Data fits Heller Ebbingh. Data'!E10)/'Data fits Heller Ebbingh. Data'!D10)*100</f>
        <v>30.894308943089431</v>
      </c>
      <c r="E20" s="87">
        <f>(('Data fits Heller Ebbingh. Data'!F10-'Data fits Heller Ebbingh. Data'!G10)/'Data fits Heller Ebbingh. Data'!F10)*100</f>
        <v>20.524017467248907</v>
      </c>
      <c r="F20" s="212">
        <v>16.820180000000001</v>
      </c>
      <c r="H20" s="61">
        <f t="shared" si="3"/>
        <v>518400</v>
      </c>
      <c r="I20">
        <f t="shared" si="13"/>
        <v>0.24809160305343511</v>
      </c>
      <c r="J20">
        <f t="shared" si="4"/>
        <v>0.30894308943089432</v>
      </c>
      <c r="K20">
        <f t="shared" si="4"/>
        <v>0.20524017467248906</v>
      </c>
      <c r="L20">
        <f t="shared" si="4"/>
        <v>0.16820180000000001</v>
      </c>
      <c r="N20" s="61">
        <f t="shared" si="5"/>
        <v>518400</v>
      </c>
      <c r="O20">
        <f t="shared" si="14"/>
        <v>0.23147640560173899</v>
      </c>
      <c r="P20">
        <f t="shared" si="14"/>
        <v>0.28550187530982413</v>
      </c>
      <c r="Q20">
        <f t="shared" si="14"/>
        <v>0.22351978662023247</v>
      </c>
      <c r="R20">
        <f t="shared" si="14"/>
        <v>0.17308329322200589</v>
      </c>
      <c r="T20">
        <f t="shared" si="15"/>
        <v>0.25426593031449107</v>
      </c>
      <c r="U20" s="61">
        <f t="shared" si="6"/>
        <v>518400</v>
      </c>
      <c r="V20">
        <f t="shared" si="20"/>
        <v>0.24855200057328347</v>
      </c>
      <c r="W20">
        <f t="shared" si="20"/>
        <v>0.29629471345833014</v>
      </c>
      <c r="X20">
        <f t="shared" si="20"/>
        <v>0.22885064168523481</v>
      </c>
      <c r="Y20">
        <f t="shared" si="20"/>
        <v>0.1753000898868626</v>
      </c>
      <c r="AB20" s="61">
        <f t="shared" si="17"/>
        <v>518400</v>
      </c>
      <c r="AC20">
        <f t="shared" si="18"/>
        <v>0.27539587498706036</v>
      </c>
      <c r="AD20">
        <f t="shared" si="18"/>
        <v>0.30543655734431574</v>
      </c>
      <c r="AE20">
        <f t="shared" si="18"/>
        <v>0.23897627463258381</v>
      </c>
      <c r="AF20">
        <f t="shared" si="18"/>
        <v>0.18706101405701536</v>
      </c>
      <c r="AI20" s="61">
        <f t="shared" si="7"/>
        <v>518400</v>
      </c>
      <c r="AJ20">
        <f t="shared" si="19"/>
        <v>0.26169098956150216</v>
      </c>
      <c r="AK20">
        <f t="shared" si="19"/>
        <v>0.26169098956150216</v>
      </c>
      <c r="AL20">
        <f t="shared" si="19"/>
        <v>0.26169098956150216</v>
      </c>
      <c r="AM20">
        <f t="shared" si="19"/>
        <v>0.17764161532485753</v>
      </c>
      <c r="AP20" s="61">
        <f>6*24*3600</f>
        <v>518400</v>
      </c>
      <c r="AQ20">
        <f t="shared" si="8"/>
        <v>0.26823427651149745</v>
      </c>
      <c r="AR20">
        <f t="shared" si="9"/>
        <v>0.31022494861150768</v>
      </c>
      <c r="AS20">
        <f t="shared" si="9"/>
        <v>0.25339428947233816</v>
      </c>
      <c r="AT20">
        <f t="shared" si="9"/>
        <v>0.19734244629252598</v>
      </c>
      <c r="AW20" s="61">
        <f>6*24*3600</f>
        <v>518400</v>
      </c>
      <c r="AX20">
        <f t="shared" si="23"/>
        <v>0.2809348347599252</v>
      </c>
      <c r="AY20">
        <f t="shared" si="23"/>
        <v>0.32102961374766492</v>
      </c>
      <c r="AZ20">
        <f t="shared" si="23"/>
        <v>0.25419645052989154</v>
      </c>
      <c r="BA20">
        <f t="shared" si="23"/>
        <v>0.17253998339373147</v>
      </c>
      <c r="BD20" s="61">
        <f>6*24*3600</f>
        <v>518400</v>
      </c>
      <c r="BE20">
        <f>BE$8*EXP(-$AP20*BE$9) + (BE$8* BE$10/(BE$9-BE$11))*(EXP(-$H20*BE$11)-EXP(-$H20*BE$9) )</f>
        <v>0.19053132831592492</v>
      </c>
      <c r="BF20">
        <f t="shared" si="21"/>
        <v>0.31022494861150768</v>
      </c>
      <c r="BG20">
        <f t="shared" si="21"/>
        <v>0.25339428947233816</v>
      </c>
      <c r="BH20">
        <f t="shared" si="21"/>
        <v>0.19734244629252598</v>
      </c>
      <c r="BK20" s="61">
        <f>6*24*3600</f>
        <v>518400</v>
      </c>
      <c r="BL20">
        <f>BL$8*EXP(-$AP20*BL$9) + (BL$8* BL$10/(BL$9-BL$11))*(EXP(-$H20*BL$11)-EXP(-$H20*BL$9) )</f>
        <v>0.20000006988916325</v>
      </c>
      <c r="BM20">
        <f t="shared" si="22"/>
        <v>0.32282821478053036</v>
      </c>
      <c r="BN20">
        <f t="shared" si="22"/>
        <v>0.26990028558023954</v>
      </c>
      <c r="BO20">
        <f t="shared" si="22"/>
        <v>0.29532959276522047</v>
      </c>
    </row>
    <row r="21" spans="1:68" x14ac:dyDescent="0.35">
      <c r="A21" s="11" t="s">
        <v>114</v>
      </c>
      <c r="B21" s="61">
        <f>31*24*3600</f>
        <v>2678400</v>
      </c>
      <c r="C21" s="213">
        <f>(('Data fits Heller Ebbingh. Data'!B11-'Data fits Heller Ebbingh. Data'!C11)/'Data fits Heller Ebbingh. Data'!B11)*100</f>
        <v>20.622568093385219</v>
      </c>
      <c r="D21" s="214">
        <f>(('Data fits Heller Ebbingh. Data'!D11-'Data fits Heller Ebbingh. Data'!E11)/'Data fits Heller Ebbingh. Data'!D11)*100</f>
        <v>25.842696629213478</v>
      </c>
      <c r="E21" s="215">
        <f>(('Data fits Heller Ebbingh. Data'!F11-'Data fits Heller Ebbingh. Data'!G11)/'Data fits Heller Ebbingh. Data'!F11)*100</f>
        <v>20.080321285140563</v>
      </c>
      <c r="F21" s="216">
        <v>4.0969850000000001</v>
      </c>
      <c r="H21" s="61">
        <f t="shared" si="3"/>
        <v>2678400</v>
      </c>
      <c r="I21">
        <f t="shared" si="13"/>
        <v>0.20622568093385218</v>
      </c>
      <c r="J21">
        <f t="shared" si="4"/>
        <v>0.2584269662921348</v>
      </c>
      <c r="K21">
        <f t="shared" si="4"/>
        <v>0.20080321285140562</v>
      </c>
      <c r="L21">
        <f t="shared" si="4"/>
        <v>4.0969850000000002E-2</v>
      </c>
      <c r="N21" s="61">
        <f t="shared" si="5"/>
        <v>2678400</v>
      </c>
      <c r="O21">
        <f t="shared" si="14"/>
        <v>0.18652901488278137</v>
      </c>
      <c r="P21">
        <f t="shared" si="14"/>
        <v>0.24523929479064266</v>
      </c>
      <c r="Q21">
        <f t="shared" si="14"/>
        <v>0.1899906200193488</v>
      </c>
      <c r="R21">
        <f t="shared" si="14"/>
        <v>0.13159236796261048</v>
      </c>
      <c r="T21">
        <f t="shared" si="15"/>
        <v>0.2067395925752617</v>
      </c>
      <c r="U21" s="61">
        <f t="shared" si="6"/>
        <v>2678400</v>
      </c>
      <c r="V21">
        <f t="shared" si="20"/>
        <v>0.20768571625107404</v>
      </c>
      <c r="W21">
        <f t="shared" si="20"/>
        <v>0.25108263422711657</v>
      </c>
      <c r="X21">
        <f t="shared" si="20"/>
        <v>0.19168590921936016</v>
      </c>
      <c r="Y21">
        <f t="shared" si="20"/>
        <v>0.13401792413262023</v>
      </c>
      <c r="AB21" s="61">
        <f t="shared" si="17"/>
        <v>2678400</v>
      </c>
      <c r="AC21">
        <f>AC$8*EXP(-$H21*AC$9)+AC$10*EXP(-$H21*AC$11)</f>
        <v>0.20375068745009794</v>
      </c>
      <c r="AD21">
        <f t="shared" si="18"/>
        <v>0.22597618259249394</v>
      </c>
      <c r="AE21">
        <f t="shared" si="18"/>
        <v>0.15887216219062525</v>
      </c>
      <c r="AF21">
        <f>AF$8*EXP(-$H21*AF$9)+AF$10*EXP(-$H21*AF$11)</f>
        <v>3.6164951405145702E-2</v>
      </c>
      <c r="AI21" s="61">
        <f>AC21</f>
        <v>0.20375068745009794</v>
      </c>
      <c r="AJ21">
        <f t="shared" si="19"/>
        <v>0.15651681384612826</v>
      </c>
      <c r="AK21">
        <f t="shared" si="19"/>
        <v>0.15651681384612826</v>
      </c>
      <c r="AL21">
        <f t="shared" si="19"/>
        <v>0.15651681384612826</v>
      </c>
      <c r="AM21">
        <f t="shared" si="19"/>
        <v>2.1149497026153145E-2</v>
      </c>
      <c r="AP21" s="61">
        <f>31*24*3600</f>
        <v>2678400</v>
      </c>
      <c r="AQ21">
        <f t="shared" si="8"/>
        <v>0.2060763145468909</v>
      </c>
      <c r="AR21">
        <f t="shared" si="9"/>
        <v>0.26251765851833941</v>
      </c>
      <c r="AS21">
        <f t="shared" si="9"/>
        <v>0.19467519953382698</v>
      </c>
      <c r="AT21">
        <f t="shared" si="9"/>
        <v>3.6461879894574792E-2</v>
      </c>
      <c r="AW21" s="61">
        <f>31*24*3600</f>
        <v>2678400</v>
      </c>
      <c r="AX21">
        <f t="shared" si="23"/>
        <v>0.19627398008478178</v>
      </c>
      <c r="AY21">
        <f t="shared" si="23"/>
        <v>0.25734599405775976</v>
      </c>
      <c r="AZ21">
        <f t="shared" si="23"/>
        <v>0.19004764957286058</v>
      </c>
      <c r="BA21">
        <f t="shared" si="23"/>
        <v>1.3255744215221129E-2</v>
      </c>
      <c r="BD21" s="61">
        <f>31*24*3600</f>
        <v>2678400</v>
      </c>
      <c r="BE21">
        <f>BE$8*EXP(-$AP21*BE$9) + (BE$8* BE$10/(BE$9-BE$11))*(EXP(-$H21*BE$11)-EXP(-$H21*BE$9) )</f>
        <v>0.15351776066378539</v>
      </c>
      <c r="BF21">
        <f t="shared" si="21"/>
        <v>0.26251765851833941</v>
      </c>
      <c r="BG21">
        <f t="shared" si="21"/>
        <v>0.19467519953382698</v>
      </c>
      <c r="BH21">
        <f t="shared" si="21"/>
        <v>3.6461879894574792E-2</v>
      </c>
      <c r="BK21" s="61">
        <f>31*24*3600</f>
        <v>2678400</v>
      </c>
      <c r="BL21">
        <f>BL$8*EXP(-$AP21*BL$9) + (BL$8* BL$10/(BL$9-BL$11))*(EXP(-$H21*BL$11)-EXP(-$H21*BL$9) )</f>
        <v>0.19999999943410027</v>
      </c>
      <c r="BM21">
        <f t="shared" si="22"/>
        <v>0.32282821478053036</v>
      </c>
      <c r="BN21">
        <f t="shared" si="22"/>
        <v>0.26990028558023954</v>
      </c>
      <c r="BO21">
        <f t="shared" si="22"/>
        <v>0.29532959276522047</v>
      </c>
    </row>
    <row r="23" spans="1:68" x14ac:dyDescent="0.35">
      <c r="H23" s="61" t="s">
        <v>160</v>
      </c>
      <c r="I23" s="61" t="str">
        <f>I14</f>
        <v>Ebbinghaus</v>
      </c>
      <c r="J23" s="61" t="str">
        <f>J14</f>
        <v>Mack</v>
      </c>
      <c r="K23" s="61" t="str">
        <f>K14</f>
        <v>Seitz</v>
      </c>
      <c r="L23" s="61" t="str">
        <f>L14</f>
        <v>Drost</v>
      </c>
      <c r="N23" t="s">
        <v>148</v>
      </c>
      <c r="O23">
        <f t="shared" ref="O23:T23" si="24">SUMXMY2(I15:I21,O15:O21)</f>
        <v>1.304096192999445E-2</v>
      </c>
      <c r="P23">
        <f t="shared" si="24"/>
        <v>1.2923361011669863E-2</v>
      </c>
      <c r="Q23">
        <f t="shared" si="24"/>
        <v>5.2327228100148612E-3</v>
      </c>
      <c r="R23">
        <f t="shared" si="24"/>
        <v>1.6265098715652196E-2</v>
      </c>
      <c r="S23">
        <f>SUM(O23:R23)</f>
        <v>4.7462144467331373E-2</v>
      </c>
      <c r="T23">
        <f t="shared" si="24"/>
        <v>7480952524828.4004</v>
      </c>
      <c r="U23" t="s">
        <v>148</v>
      </c>
      <c r="V23">
        <f>SUMXMY2(I15:I21,V15:V21)</f>
        <v>1.0191025335283296E-3</v>
      </c>
      <c r="W23">
        <f>SUMXMY2(J15:J21,W15:W21)</f>
        <v>3.547543605522232E-3</v>
      </c>
      <c r="X23">
        <f>SUMXMY2(K15:K21,X15:X21)</f>
        <v>3.0971146273019632E-3</v>
      </c>
      <c r="Y23">
        <f>SUMXMY2(L15:L21,Y15:Y21)</f>
        <v>1.6154853125454442E-2</v>
      </c>
      <c r="Z23">
        <f>SUM(V23:Y23)</f>
        <v>2.3818613891806967E-2</v>
      </c>
      <c r="AB23" t="s">
        <v>148</v>
      </c>
      <c r="AC23">
        <f>SUMXMY2(I15:I21,AC15:AC21)</f>
        <v>5.4485442792293745E-3</v>
      </c>
      <c r="AD23">
        <f>SUMXMY2(J15:J21,AD15:AD21)</f>
        <v>4.902606110516486E-3</v>
      </c>
      <c r="AE23">
        <f>SUMXMY2(K15:K21,AE15:AE21)</f>
        <v>4.0099217291383014E-3</v>
      </c>
      <c r="AF23">
        <f>SUMXMY2(L15:L21,AF15:AF21)</f>
        <v>5.2402050444890361E-3</v>
      </c>
      <c r="AG23">
        <f>SUM(AC23:AF23)</f>
        <v>1.9601277163373197E-2</v>
      </c>
      <c r="AI23" t="s">
        <v>148</v>
      </c>
      <c r="AJ23">
        <f>SUMXMY2(I15:I21,AJ15:AJ21)</f>
        <v>7.3516350374425651E-3</v>
      </c>
      <c r="AK23">
        <f>SUMXMY2(J15:J21,AK15:AK21)</f>
        <v>2.0496375151533245E-2</v>
      </c>
      <c r="AL23">
        <f>SUMXMY2(K15:K21,AL15:AL21)</f>
        <v>1.2082490896226893E-2</v>
      </c>
      <c r="AM23">
        <f>SUMXMY2(L15:L21,AM15:AM21)</f>
        <v>5.950758703229541E-3</v>
      </c>
      <c r="AN23">
        <f>SUM(AJ23:AM23)</f>
        <v>4.5881259788432244E-2</v>
      </c>
      <c r="AP23" t="s">
        <v>148</v>
      </c>
      <c r="AQ23">
        <f>SUMXMY2(I15:I21,AQ15:AQ21)</f>
        <v>4.038001772236309E-3</v>
      </c>
      <c r="AR23">
        <f>SUMXMY2(J15:J21,AR15:AR21)</f>
        <v>3.5712849817586064E-3</v>
      </c>
      <c r="AS23">
        <f>SUMXMY2(K15:K21,AS15:AS21)</f>
        <v>3.597812601976723E-3</v>
      </c>
      <c r="AT23">
        <f>SUMXMY2(L15:L21,AT15:AT21)</f>
        <v>3.5718645030360799E-3</v>
      </c>
      <c r="AU23">
        <f>SUM(AQ23:AT23)</f>
        <v>1.4778963859007718E-2</v>
      </c>
      <c r="AW23" t="s">
        <v>148</v>
      </c>
      <c r="AX23">
        <f>SUMXMY2(I15:I21,AX15:AX21)</f>
        <v>2.8701608020481714E-3</v>
      </c>
      <c r="AY23">
        <f>SUMXMY2(J15:J21,AY15:AY21)</f>
        <v>1.735566216489099E-3</v>
      </c>
      <c r="AZ23">
        <f>SUMXMY2(K15:K21,AZ15:AZ21)</f>
        <v>3.1956831020287491E-3</v>
      </c>
      <c r="BA23">
        <f>SUMXMY2(L15:L21,BA15:BA21)</f>
        <v>2.550532168339969E-3</v>
      </c>
      <c r="BB23">
        <f>SUM(AX23:BA23)</f>
        <v>1.0351942288905989E-2</v>
      </c>
      <c r="BD23" t="s">
        <v>148</v>
      </c>
      <c r="BE23">
        <f>SUMXMY2(I15:I21,BE15:BE21)</f>
        <v>4.2053748905384339E-2</v>
      </c>
      <c r="BF23">
        <f>SUMXMY2(J15:J21,BF15:BF21)</f>
        <v>0.14011182580640097</v>
      </c>
      <c r="BG23">
        <f>SUMXMY2(K15:K21,BG15:BG21)</f>
        <v>0.17443196297015837</v>
      </c>
      <c r="BH23">
        <f>SUMXMY2(L15:L21,BH15:BH21)</f>
        <v>0.13541534638314989</v>
      </c>
      <c r="BI23">
        <f>SUM(BE23:BH23)</f>
        <v>0.49201288406509358</v>
      </c>
      <c r="BK23" t="s">
        <v>148</v>
      </c>
      <c r="BL23">
        <f>SUMXMY2(P15:P21,BL15:BL21)</f>
        <v>6.7505307354013167E-2</v>
      </c>
      <c r="BM23">
        <f>SUMXMY2(Q15:Q21,BM15:BM21)</f>
        <v>0.146933606396799</v>
      </c>
      <c r="BN23">
        <f>SUMXMY2(R15:R21,BN15:BN21)</f>
        <v>0.26441989133373983</v>
      </c>
      <c r="BO23" t="e">
        <f>SUMXMY2(S15:S21,BO15:BO21)</f>
        <v>#DIV/0!</v>
      </c>
      <c r="BP23" t="e">
        <f>SUM(BL23:BO23)</f>
        <v>#DIV/0!</v>
      </c>
    </row>
    <row r="24" spans="1:68" x14ac:dyDescent="0.35">
      <c r="H24" s="61">
        <f>H15/(24*3600)</f>
        <v>1.3888888888888888E-2</v>
      </c>
      <c r="I24" s="271">
        <f>I5</f>
        <v>1.0916286602324857E-2</v>
      </c>
      <c r="J24" s="271">
        <f>K5</f>
        <v>2.134870994206501E-2</v>
      </c>
      <c r="K24" s="271">
        <f>M5</f>
        <v>2.3072412112816496E-2</v>
      </c>
      <c r="L24" s="271">
        <v>1.4857651330389085E-2</v>
      </c>
      <c r="N24" t="s">
        <v>149</v>
      </c>
      <c r="O24">
        <f>RSQ(I15:I21,O15:O21)</f>
        <v>0.8568499995104123</v>
      </c>
      <c r="P24">
        <f>RSQ(J15:J21,P15:P21)</f>
        <v>0.78393950404057555</v>
      </c>
      <c r="Q24">
        <f>RSQ(K15:K21,Q15:Q21)</f>
        <v>0.86992142961076369</v>
      </c>
      <c r="R24">
        <f>RSQ(L15:L21,R15:R21)</f>
        <v>0.864334846577547</v>
      </c>
      <c r="T24">
        <f>RSQ(N15:N21,T15:T21)</f>
        <v>0.39398515307425774</v>
      </c>
      <c r="U24" t="s">
        <v>149</v>
      </c>
      <c r="V24">
        <f>RSQ(I15:I21,V15:V21)</f>
        <v>0.98874359612661145</v>
      </c>
      <c r="W24">
        <f>RSQ(J15:J21,W15:W21)</f>
        <v>0.94144409121432393</v>
      </c>
      <c r="X24">
        <f>RSQ(K15:K21,X15:X21)</f>
        <v>0.92299961152554888</v>
      </c>
      <c r="Y24">
        <f>RSQ(L15:L21,Y15:Y21)</f>
        <v>0.86608834365151688</v>
      </c>
      <c r="AB24" t="s">
        <v>149</v>
      </c>
      <c r="AC24">
        <f>RSQ(I15:I21,AC15:AC21)</f>
        <v>0.95108433728220387</v>
      </c>
      <c r="AD24">
        <f>RSQ(J15:J21,AD15:AD21)</f>
        <v>0.92669649002053689</v>
      </c>
      <c r="AE24">
        <f>RSQ(K15:K21,AE15:AE21)</f>
        <v>0.92331543581979969</v>
      </c>
      <c r="AF24">
        <f>RSQ(L15:L21,AF15:AF21)</f>
        <v>0.95598818345366887</v>
      </c>
      <c r="AI24" t="s">
        <v>149</v>
      </c>
      <c r="AJ24">
        <f>RSQ(I15:I21,AJ15:AJ21)</f>
        <v>0.92471872392607779</v>
      </c>
      <c r="AK24">
        <f>RSQ(J15:J21,AK15:AK21)</f>
        <v>0.90947629442294031</v>
      </c>
      <c r="AL24">
        <f>RSQ(K15:K21,AL15:AL21)</f>
        <v>0.91643559687100618</v>
      </c>
      <c r="AM24">
        <f>RSQ(L15:L21,AM15:AM21)</f>
        <v>0.96274361247772267</v>
      </c>
      <c r="AP24" t="s">
        <v>149</v>
      </c>
      <c r="AQ24">
        <f>RSQ(I15:I21,AQ15:AQ21)</f>
        <v>0.95548605028344491</v>
      </c>
      <c r="AR24">
        <f>RSQ(J15:J21,AR15:AR21)</f>
        <v>0.94011300821672272</v>
      </c>
      <c r="AS24">
        <f>RSQ(K15:K21,AS15:AS21)</f>
        <v>0.91145470273997609</v>
      </c>
      <c r="AT24">
        <f>RSQ(L15:L21,AT15:AT21)</f>
        <v>0.97134265576295842</v>
      </c>
      <c r="AW24" t="s">
        <v>149</v>
      </c>
      <c r="AX24">
        <f>RSQ(I15:I21,AX15:AX21)</f>
        <v>0.96905091533991028</v>
      </c>
      <c r="AY24">
        <f>RSQ(J15:J21,AY15:AY21)</f>
        <v>0.97305008660450709</v>
      </c>
      <c r="AZ24">
        <f>RSQ(K15:K21,AZ15:AZ21)</f>
        <v>0.92177579358313511</v>
      </c>
      <c r="BA24">
        <f>RSQ(L15:L21,BA15:BA21)</f>
        <v>0.98110779454071428</v>
      </c>
      <c r="BD24" t="s">
        <v>149</v>
      </c>
      <c r="BE24">
        <f>RSQ(I15:I21,BE15:BE21)</f>
        <v>0.84882068606443639</v>
      </c>
      <c r="BF24">
        <f>RSQ(J15:J21,BF15:BF21)</f>
        <v>0.30618175343926962</v>
      </c>
      <c r="BG24">
        <f>RSQ(K15:K21,BG15:BG21)</f>
        <v>1.4461232571969034E-2</v>
      </c>
      <c r="BH24">
        <f>RSQ(L15:L21,BH15:BH21)</f>
        <v>0.37171942834456495</v>
      </c>
      <c r="BK24" t="s">
        <v>149</v>
      </c>
      <c r="BL24">
        <f>RSQ(P15:P21,BL15:BL21)</f>
        <v>0.85126623280183211</v>
      </c>
      <c r="BM24">
        <f>RSQ(Q15:Q21,BM15:BM21)</f>
        <v>3.191462232831308E-3</v>
      </c>
      <c r="BN24">
        <f>RSQ(R15:R21,BN15:BN21)</f>
        <v>7.0079056459116509E-2</v>
      </c>
      <c r="BO24" t="e">
        <f>RSQ(S15:S21,BO15:BO21)</f>
        <v>#DIV/0!</v>
      </c>
    </row>
    <row r="25" spans="1:68" x14ac:dyDescent="0.35">
      <c r="A25" s="1"/>
      <c r="B25" s="124" t="s">
        <v>165</v>
      </c>
      <c r="H25" s="61">
        <f t="shared" ref="H25:H30" si="25">H16/(24*3600)</f>
        <v>4.1666666666666664E-2</v>
      </c>
      <c r="I25" s="271">
        <f t="shared" ref="I25:I30" si="26">I6</f>
        <v>2.0112611836523853E-2</v>
      </c>
      <c r="J25" s="271">
        <f t="shared" ref="J25:J30" si="27">K6</f>
        <v>1.9687331736456839E-2</v>
      </c>
      <c r="K25" s="271">
        <f t="shared" ref="K25:K30" si="28">M6</f>
        <v>3.7360242398613762E-2</v>
      </c>
      <c r="L25" s="271">
        <v>1.4966561096825315E-2</v>
      </c>
      <c r="O25">
        <f>O23/O24</f>
        <v>1.5219655642698029E-2</v>
      </c>
      <c r="T25">
        <f>T23/T24</f>
        <v>18987904662027.711</v>
      </c>
    </row>
    <row r="26" spans="1:68" x14ac:dyDescent="0.35">
      <c r="A26" s="26" t="s">
        <v>163</v>
      </c>
      <c r="C26" s="26" t="s">
        <v>161</v>
      </c>
      <c r="D26" s="26" t="s">
        <v>162</v>
      </c>
      <c r="E26" s="26" t="s">
        <v>123</v>
      </c>
      <c r="F26" s="26" t="s">
        <v>116</v>
      </c>
      <c r="G26" s="26" t="s">
        <v>160</v>
      </c>
      <c r="H26" s="61">
        <f t="shared" si="25"/>
        <v>0.375</v>
      </c>
      <c r="I26" s="271">
        <f t="shared" si="26"/>
        <v>1.8549406239024124E-2</v>
      </c>
      <c r="J26" s="271">
        <f t="shared" si="27"/>
        <v>2.352107350538464E-2</v>
      </c>
      <c r="K26" s="271">
        <f t="shared" si="28"/>
        <v>2.941653637365934E-2</v>
      </c>
      <c r="L26" s="271">
        <v>1.8164261923614457E-2</v>
      </c>
      <c r="U26" s="385" t="s">
        <v>154</v>
      </c>
      <c r="V26" s="385"/>
      <c r="W26" s="385"/>
      <c r="X26" s="385"/>
      <c r="Y26" s="385"/>
      <c r="AB26" s="385" t="s">
        <v>158</v>
      </c>
      <c r="AC26" s="385"/>
      <c r="AD26" s="385"/>
      <c r="AE26" s="385"/>
      <c r="AF26" s="385"/>
    </row>
    <row r="27" spans="1:68" x14ac:dyDescent="0.35">
      <c r="A27" s="14">
        <v>0.25</v>
      </c>
      <c r="B27">
        <f>A27*3600</f>
        <v>900</v>
      </c>
      <c r="C27" s="14">
        <v>0.41699999999999998</v>
      </c>
      <c r="D27">
        <f>1-C27</f>
        <v>0.58299999999999996</v>
      </c>
      <c r="E27" s="14">
        <v>3.7999999999999999E-2</v>
      </c>
      <c r="F27" s="14">
        <v>12</v>
      </c>
      <c r="G27" s="270">
        <f>E27/SQRT(F27)</f>
        <v>1.096965511460289E-2</v>
      </c>
      <c r="H27" s="61">
        <f t="shared" si="25"/>
        <v>1</v>
      </c>
      <c r="I27" s="271">
        <f t="shared" si="26"/>
        <v>1.7460317460317461E-2</v>
      </c>
      <c r="J27" s="271">
        <f t="shared" si="27"/>
        <v>3.0564765488616304E-2</v>
      </c>
      <c r="K27" s="271">
        <f t="shared" si="28"/>
        <v>2.9354476170339386E-2</v>
      </c>
      <c r="L27" s="271">
        <v>1.8940863010474297E-2</v>
      </c>
      <c r="U27" t="s">
        <v>146</v>
      </c>
      <c r="V27">
        <v>3.3020367203513459</v>
      </c>
      <c r="W27">
        <v>2.1695917471084298</v>
      </c>
      <c r="X27">
        <v>1.2728764088401801</v>
      </c>
      <c r="Y27">
        <v>2.3511184444290634</v>
      </c>
      <c r="AB27" t="s">
        <v>146</v>
      </c>
      <c r="AC27">
        <v>0.51463208120539461</v>
      </c>
      <c r="AD27">
        <v>0.51539034108630866</v>
      </c>
      <c r="AE27">
        <v>0.50910626130740833</v>
      </c>
      <c r="AF27">
        <v>0.51143827896854244</v>
      </c>
    </row>
    <row r="28" spans="1:68" x14ac:dyDescent="0.35">
      <c r="A28" s="14">
        <v>1.05</v>
      </c>
      <c r="B28">
        <f t="shared" ref="B28:B33" si="29">A28*3600</f>
        <v>3780</v>
      </c>
      <c r="C28" s="14">
        <v>0.55600000000000005</v>
      </c>
      <c r="D28">
        <f t="shared" ref="D28:D33" si="30">1-C28</f>
        <v>0.44399999999999995</v>
      </c>
      <c r="E28" s="14">
        <v>0.04</v>
      </c>
      <c r="F28" s="14">
        <v>12</v>
      </c>
      <c r="G28" s="270">
        <f t="shared" ref="G28:G33" si="31">E28/SQRT(F28)</f>
        <v>1.1547005383792516E-2</v>
      </c>
      <c r="H28" s="61">
        <f t="shared" si="25"/>
        <v>2</v>
      </c>
      <c r="I28" s="271">
        <f t="shared" si="26"/>
        <v>1.2878787878787878E-2</v>
      </c>
      <c r="J28" s="271">
        <f t="shared" si="27"/>
        <v>2.2845351917566235E-2</v>
      </c>
      <c r="K28" s="271">
        <f t="shared" si="28"/>
        <v>2.9231138035169892E-2</v>
      </c>
      <c r="L28" s="271">
        <v>1.5583721649750108E-2</v>
      </c>
      <c r="U28" t="s">
        <v>147</v>
      </c>
      <c r="V28">
        <v>0.25174846735128881</v>
      </c>
      <c r="W28">
        <v>0.195837753450672</v>
      </c>
      <c r="X28">
        <v>0.15506899691227977</v>
      </c>
      <c r="Y28">
        <v>0.22121353510059652</v>
      </c>
      <c r="AB28" t="s">
        <v>147</v>
      </c>
      <c r="AC28">
        <v>2.3256659178743181E-5</v>
      </c>
      <c r="AD28">
        <v>2.3238363297911658E-5</v>
      </c>
      <c r="AE28">
        <v>2.3261158758970942E-5</v>
      </c>
      <c r="AF28">
        <v>2.32516463320437E-5</v>
      </c>
    </row>
    <row r="29" spans="1:68" x14ac:dyDescent="0.35">
      <c r="A29" s="14">
        <v>6.75</v>
      </c>
      <c r="B29">
        <f t="shared" si="29"/>
        <v>24300</v>
      </c>
      <c r="C29" s="14">
        <v>0.64400000000000002</v>
      </c>
      <c r="D29">
        <f t="shared" si="30"/>
        <v>0.35599999999999998</v>
      </c>
      <c r="E29" s="14">
        <v>3.7999999999999999E-2</v>
      </c>
      <c r="F29" s="14">
        <v>12</v>
      </c>
      <c r="G29" s="270">
        <f t="shared" si="31"/>
        <v>1.096965511460289E-2</v>
      </c>
      <c r="H29" s="61">
        <f t="shared" si="25"/>
        <v>6</v>
      </c>
      <c r="I29" s="271">
        <f t="shared" si="26"/>
        <v>1.9083969465648856E-2</v>
      </c>
      <c r="J29" s="271">
        <f t="shared" si="27"/>
        <v>1.7996702131039554E-2</v>
      </c>
      <c r="K29" s="271">
        <f t="shared" si="28"/>
        <v>4.1427218255480951E-2</v>
      </c>
      <c r="L29" s="271">
        <v>2.8937431318601426E-2</v>
      </c>
      <c r="U29" t="s">
        <v>153</v>
      </c>
      <c r="V29">
        <v>0.11155983284963203</v>
      </c>
      <c r="W29">
        <v>0.21474611634921567</v>
      </c>
      <c r="X29">
        <v>7.6572217785620775E-2</v>
      </c>
      <c r="Y29">
        <v>0</v>
      </c>
      <c r="AB29" t="s">
        <v>150</v>
      </c>
      <c r="AC29">
        <v>0.29839126208390498</v>
      </c>
      <c r="AD29">
        <v>0.29895587974784943</v>
      </c>
      <c r="AE29">
        <v>0.2973776484848708</v>
      </c>
      <c r="AF29">
        <v>0.29850866532126202</v>
      </c>
    </row>
    <row r="30" spans="1:68" x14ac:dyDescent="0.35">
      <c r="A30" s="14">
        <v>24</v>
      </c>
      <c r="B30">
        <f t="shared" si="29"/>
        <v>86400</v>
      </c>
      <c r="C30" s="14">
        <v>0.67200000000000004</v>
      </c>
      <c r="D30">
        <f t="shared" si="30"/>
        <v>0.32799999999999996</v>
      </c>
      <c r="E30" s="14">
        <v>5.8000000000000003E-2</v>
      </c>
      <c r="F30" s="14">
        <v>25</v>
      </c>
      <c r="G30" s="270">
        <f t="shared" si="31"/>
        <v>1.1600000000000001E-2</v>
      </c>
      <c r="H30" s="61">
        <f t="shared" si="25"/>
        <v>31</v>
      </c>
      <c r="I30" s="271">
        <f t="shared" si="26"/>
        <v>1.3768898629251094E-2</v>
      </c>
      <c r="J30" s="271">
        <f t="shared" si="27"/>
        <v>2.7240594076356824E-2</v>
      </c>
      <c r="K30" s="271">
        <f t="shared" si="28"/>
        <v>4.5719677014482596E-2</v>
      </c>
      <c r="L30" s="271">
        <v>4.1037183868082971E-2</v>
      </c>
      <c r="U30" t="s">
        <v>151</v>
      </c>
      <c r="V30">
        <v>0.24248898338821398</v>
      </c>
      <c r="W30">
        <v>0.24534677204416705</v>
      </c>
      <c r="X30">
        <v>0.16121276944704505</v>
      </c>
      <c r="Y30">
        <v>0.19546011906325855</v>
      </c>
      <c r="AB30" t="s">
        <v>151</v>
      </c>
      <c r="AC30">
        <v>1.5137681050328211E-7</v>
      </c>
      <c r="AD30">
        <v>0</v>
      </c>
      <c r="AE30">
        <v>1.9354728309319604E-7</v>
      </c>
      <c r="AF30">
        <v>9.8412680046916736E-7</v>
      </c>
    </row>
    <row r="31" spans="1:68" x14ac:dyDescent="0.35">
      <c r="A31" s="14">
        <f>2*24</f>
        <v>48</v>
      </c>
      <c r="B31">
        <f t="shared" si="29"/>
        <v>172800</v>
      </c>
      <c r="C31" s="14">
        <v>0.71799999999999997</v>
      </c>
      <c r="D31">
        <f t="shared" si="30"/>
        <v>0.28200000000000003</v>
      </c>
      <c r="E31" s="14">
        <v>6.0999999999999999E-2</v>
      </c>
      <c r="F31" s="14">
        <v>25</v>
      </c>
      <c r="G31" s="270">
        <f t="shared" si="31"/>
        <v>1.2199999999999999E-2</v>
      </c>
    </row>
    <row r="32" spans="1:68" x14ac:dyDescent="0.35">
      <c r="A32" s="14">
        <f>6*24</f>
        <v>144</v>
      </c>
      <c r="B32">
        <f t="shared" si="29"/>
        <v>518400</v>
      </c>
      <c r="C32" s="14">
        <v>0.749</v>
      </c>
      <c r="D32">
        <f t="shared" si="30"/>
        <v>0.251</v>
      </c>
      <c r="E32" s="14">
        <v>6.8000000000000005E-2</v>
      </c>
      <c r="F32" s="14">
        <v>25</v>
      </c>
      <c r="G32" s="270">
        <f t="shared" si="31"/>
        <v>1.3600000000000001E-2</v>
      </c>
    </row>
    <row r="33" spans="1:33" x14ac:dyDescent="0.35">
      <c r="A33" s="14">
        <f>31*24</f>
        <v>744</v>
      </c>
      <c r="B33">
        <f t="shared" si="29"/>
        <v>2678400</v>
      </c>
      <c r="C33" s="14">
        <v>0.78700000000000003</v>
      </c>
      <c r="D33">
        <f t="shared" si="30"/>
        <v>0.21299999999999997</v>
      </c>
      <c r="E33" s="14">
        <v>6.5000000000000002E-2</v>
      </c>
      <c r="F33" s="14">
        <v>46</v>
      </c>
      <c r="G33" s="270">
        <f t="shared" si="31"/>
        <v>9.5837271500683139E-3</v>
      </c>
      <c r="U33" s="61" t="str">
        <f>H14</f>
        <v>Interval s</v>
      </c>
      <c r="V33" s="61" t="str">
        <f>I14</f>
        <v>Ebbinghaus</v>
      </c>
      <c r="W33" s="61" t="str">
        <f>J14</f>
        <v>Mack</v>
      </c>
      <c r="X33" s="61" t="str">
        <f>K14</f>
        <v>Seitz</v>
      </c>
      <c r="Y33" s="61" t="str">
        <f>L14</f>
        <v>Drost</v>
      </c>
      <c r="AB33" s="61" t="str">
        <f>H14</f>
        <v>Interval s</v>
      </c>
      <c r="AC33" s="61" t="str">
        <f>I14</f>
        <v>Ebbinghaus</v>
      </c>
      <c r="AD33" s="61" t="str">
        <f>J14</f>
        <v>Mack</v>
      </c>
      <c r="AE33" s="61" t="str">
        <f>K14</f>
        <v>Seitz</v>
      </c>
      <c r="AF33" s="61" t="str">
        <f>L14</f>
        <v>Drost</v>
      </c>
    </row>
    <row r="34" spans="1:33" ht="21" x14ac:dyDescent="0.5">
      <c r="A34" s="260"/>
      <c r="B34" s="260"/>
      <c r="C34" s="260"/>
      <c r="D34" s="260"/>
      <c r="E34" s="260"/>
      <c r="H34" s="262" t="s">
        <v>166</v>
      </c>
      <c r="U34" s="61">
        <f t="shared" ref="U34:U40" si="32">H15</f>
        <v>1200</v>
      </c>
      <c r="V34">
        <f t="shared" ref="V34:Y36" si="33">V$27*(1+$U34)^-V$28</f>
        <v>0.55400242568075631</v>
      </c>
      <c r="W34">
        <f t="shared" si="33"/>
        <v>0.54111208816600431</v>
      </c>
      <c r="X34">
        <f t="shared" si="33"/>
        <v>0.42388162672595303</v>
      </c>
      <c r="Y34">
        <f t="shared" si="33"/>
        <v>0.489821578309315</v>
      </c>
      <c r="AB34" s="61">
        <f t="shared" ref="AB34:AB40" si="34">H15</f>
        <v>1200</v>
      </c>
      <c r="AC34">
        <f>AC$27*EXP(-$AB34*AC$28)</f>
        <v>0.50046829440855733</v>
      </c>
      <c r="AD34">
        <f>AD$27*EXP(-$AB34*AD$28)</f>
        <v>0.50121668945942743</v>
      </c>
      <c r="AE34">
        <f>AE$27*EXP(-$AB34*AE$28)</f>
        <v>0.49509188375933744</v>
      </c>
      <c r="AF34">
        <f>AF$27*EXP(-$AB34*AF$28)</f>
        <v>0.49736538436055389</v>
      </c>
    </row>
    <row r="35" spans="1:33" ht="21" x14ac:dyDescent="0.5">
      <c r="A35" s="260"/>
      <c r="B35" s="260"/>
      <c r="C35" s="260"/>
      <c r="D35" s="260"/>
      <c r="E35" s="260"/>
      <c r="H35" s="61" t="str">
        <f>H14</f>
        <v>Interval s</v>
      </c>
      <c r="I35" s="61" t="str">
        <f>I14</f>
        <v>Ebbinghaus</v>
      </c>
      <c r="J35" s="61" t="str">
        <f>J14</f>
        <v>Mack</v>
      </c>
      <c r="K35" s="61" t="str">
        <f>K14</f>
        <v>Seitz</v>
      </c>
      <c r="L35" s="61" t="str">
        <f>L14</f>
        <v>Drost</v>
      </c>
      <c r="U35" s="61">
        <f t="shared" si="32"/>
        <v>3600</v>
      </c>
      <c r="V35">
        <f t="shared" si="33"/>
        <v>0.42020172262715427</v>
      </c>
      <c r="W35">
        <f t="shared" si="33"/>
        <v>0.43641141909824366</v>
      </c>
      <c r="X35">
        <f t="shared" si="33"/>
        <v>0.35751582611761035</v>
      </c>
      <c r="Y35">
        <f>Y$27*(1+$U35)^-Y$28</f>
        <v>0.38418957627802974</v>
      </c>
      <c r="AB35" s="61">
        <f t="shared" si="34"/>
        <v>3600</v>
      </c>
      <c r="AC35">
        <f t="shared" ref="AC35:AF36" si="35">AC$27*EXP(-$AB35*AC$28)</f>
        <v>0.47329944622629883</v>
      </c>
      <c r="AD35">
        <f t="shared" si="35"/>
        <v>0.47402802743361722</v>
      </c>
      <c r="AE35">
        <f t="shared" si="35"/>
        <v>0.4682098477638223</v>
      </c>
      <c r="AF35">
        <f t="shared" si="35"/>
        <v>0.47037064231272097</v>
      </c>
    </row>
    <row r="36" spans="1:33" ht="21" x14ac:dyDescent="0.5">
      <c r="A36" s="260"/>
      <c r="B36" s="260"/>
      <c r="C36" s="260"/>
      <c r="D36" s="260"/>
      <c r="E36" s="260"/>
      <c r="H36" s="61">
        <f>H24</f>
        <v>1.3888888888888888E-2</v>
      </c>
      <c r="I36">
        <f>I15/I$15</f>
        <v>1</v>
      </c>
      <c r="J36">
        <f>J15/J$15</f>
        <v>1</v>
      </c>
      <c r="K36">
        <f>K15/K$15</f>
        <v>1</v>
      </c>
      <c r="L36">
        <f>L15/L$15</f>
        <v>1</v>
      </c>
      <c r="U36" s="61">
        <f t="shared" si="32"/>
        <v>32400</v>
      </c>
      <c r="V36">
        <f t="shared" si="33"/>
        <v>0.24168835783013151</v>
      </c>
      <c r="W36">
        <f t="shared" si="33"/>
        <v>0.28381829943636588</v>
      </c>
      <c r="X36">
        <f t="shared" si="33"/>
        <v>0.25429537918761602</v>
      </c>
      <c r="Y36">
        <f t="shared" si="33"/>
        <v>0.23630773442192368</v>
      </c>
      <c r="AB36" s="61">
        <f t="shared" si="34"/>
        <v>32400</v>
      </c>
      <c r="AC36">
        <f t="shared" si="35"/>
        <v>0.24224181978343079</v>
      </c>
      <c r="AD36">
        <f t="shared" si="35"/>
        <v>0.24274259123801434</v>
      </c>
      <c r="AE36">
        <f t="shared" si="35"/>
        <v>0.23960583422986681</v>
      </c>
      <c r="AF36">
        <f t="shared" si="35"/>
        <v>0.24077757215950463</v>
      </c>
    </row>
    <row r="37" spans="1:33" ht="21" x14ac:dyDescent="0.5">
      <c r="A37" s="260"/>
      <c r="B37" s="260"/>
      <c r="C37" s="260"/>
      <c r="D37" s="260"/>
      <c r="E37" s="260"/>
      <c r="H37" s="61">
        <f t="shared" ref="H37:H42" si="36">H25</f>
        <v>4.1666666666666664E-2</v>
      </c>
      <c r="I37">
        <f t="shared" ref="I37:L42" si="37">I16/I$15</f>
        <v>0.71335943234646437</v>
      </c>
      <c r="J37">
        <f t="shared" si="37"/>
        <v>0.79350285042077662</v>
      </c>
      <c r="K37">
        <f t="shared" si="37"/>
        <v>0.73495555282454639</v>
      </c>
      <c r="L37">
        <f t="shared" si="37"/>
        <v>0.79060196452108256</v>
      </c>
      <c r="U37" s="61">
        <f t="shared" si="32"/>
        <v>86400</v>
      </c>
      <c r="V37">
        <f t="shared" ref="V37:Y40" si="38">(V$27)*(1+$U37)^-V$30+V$29</f>
        <v>0.32132360330491072</v>
      </c>
      <c r="W37">
        <f t="shared" si="38"/>
        <v>0.34816554455516835</v>
      </c>
      <c r="X37">
        <f t="shared" si="38"/>
        <v>0.28025596457214641</v>
      </c>
      <c r="Y37">
        <f t="shared" si="38"/>
        <v>0.25490711761426876</v>
      </c>
      <c r="AB37" s="61">
        <f t="shared" si="34"/>
        <v>86400</v>
      </c>
      <c r="AC37">
        <f>AC$29*EXP(-$AB37*AC$30)</f>
        <v>0.2945140261383139</v>
      </c>
      <c r="AD37">
        <f>AD$29*EXP(-$AB37*AD$30)</f>
        <v>0.29895587974784943</v>
      </c>
      <c r="AE37">
        <f>AE$29*EXP(-$AB37*AE$30)</f>
        <v>0.29244610390394493</v>
      </c>
      <c r="AF37">
        <f>AF$29*EXP(-$AB37*AF$30)</f>
        <v>0.27417604673537699</v>
      </c>
    </row>
    <row r="38" spans="1:33" ht="21" x14ac:dyDescent="0.5">
      <c r="A38" s="260"/>
      <c r="B38" s="260"/>
      <c r="C38" s="260"/>
      <c r="D38" s="260"/>
      <c r="E38" s="260"/>
      <c r="H38" s="61">
        <f t="shared" si="36"/>
        <v>0.375</v>
      </c>
      <c r="I38">
        <f t="shared" si="37"/>
        <v>0.44937960798417537</v>
      </c>
      <c r="J38">
        <f t="shared" si="37"/>
        <v>0.52383240438208722</v>
      </c>
      <c r="K38">
        <f t="shared" si="37"/>
        <v>0.61025062090765414</v>
      </c>
      <c r="L38">
        <f t="shared" si="37"/>
        <v>0.58608904859318012</v>
      </c>
      <c r="U38" s="61">
        <f t="shared" si="32"/>
        <v>172800</v>
      </c>
      <c r="V38">
        <f t="shared" si="38"/>
        <v>0.28887040556274535</v>
      </c>
      <c r="W38">
        <f t="shared" si="38"/>
        <v>0.32730063991087716</v>
      </c>
      <c r="X38">
        <f t="shared" si="38"/>
        <v>0.25872126386223937</v>
      </c>
      <c r="Y38">
        <f>(Y$27)*(1+$U38)^-Y$30+Y$29</f>
        <v>0.22260919267904863</v>
      </c>
      <c r="AB38" s="61">
        <f t="shared" si="34"/>
        <v>172800</v>
      </c>
      <c r="AC38">
        <f t="shared" ref="AC38:AF40" si="39">AC$29*EXP(-$AB38*AC$30)</f>
        <v>0.29068717021549162</v>
      </c>
      <c r="AD38">
        <f t="shared" si="39"/>
        <v>0.29895587974784943</v>
      </c>
      <c r="AE38">
        <f t="shared" si="39"/>
        <v>0.28759634129983391</v>
      </c>
      <c r="AF38">
        <f t="shared" si="39"/>
        <v>0.25182687585480046</v>
      </c>
    </row>
    <row r="39" spans="1:33" ht="21" x14ac:dyDescent="0.5">
      <c r="A39" s="260"/>
      <c r="B39" s="260"/>
      <c r="C39" s="260"/>
      <c r="D39" s="260"/>
      <c r="E39" s="260"/>
      <c r="H39" s="61">
        <f t="shared" si="36"/>
        <v>1</v>
      </c>
      <c r="I39">
        <f t="shared" si="37"/>
        <v>0.59203980099502473</v>
      </c>
      <c r="J39">
        <f t="shared" si="37"/>
        <v>0.58053082043745152</v>
      </c>
      <c r="K39">
        <f t="shared" si="37"/>
        <v>0.6108721478022201</v>
      </c>
      <c r="L39">
        <f t="shared" si="37"/>
        <v>0.67160344583044385</v>
      </c>
      <c r="U39" s="61">
        <f t="shared" si="32"/>
        <v>518400</v>
      </c>
      <c r="V39">
        <f t="shared" si="38"/>
        <v>0.24740318528891536</v>
      </c>
      <c r="W39">
        <f t="shared" si="38"/>
        <v>0.30070746198982168</v>
      </c>
      <c r="X39">
        <f t="shared" si="38"/>
        <v>0.22915626580402709</v>
      </c>
      <c r="Y39">
        <f>(Y$27)*(1+$U39)^-Y$30+Y$29</f>
        <v>0.17959127961003318</v>
      </c>
      <c r="AB39" s="61">
        <f t="shared" si="34"/>
        <v>518400</v>
      </c>
      <c r="AC39">
        <f t="shared" si="39"/>
        <v>0.2758705811243799</v>
      </c>
      <c r="AD39">
        <f t="shared" si="39"/>
        <v>0.29895587974784943</v>
      </c>
      <c r="AE39">
        <f t="shared" si="39"/>
        <v>0.26898832125224764</v>
      </c>
      <c r="AF39">
        <f t="shared" si="39"/>
        <v>0.17922242435114211</v>
      </c>
    </row>
    <row r="40" spans="1:33" ht="21" x14ac:dyDescent="0.5">
      <c r="A40" s="260"/>
      <c r="B40" s="260"/>
      <c r="C40" s="260"/>
      <c r="D40" s="260"/>
      <c r="E40" s="260"/>
      <c r="H40" s="61">
        <f t="shared" si="36"/>
        <v>2</v>
      </c>
      <c r="I40">
        <f t="shared" si="37"/>
        <v>0.48439620081411122</v>
      </c>
      <c r="J40">
        <f t="shared" si="37"/>
        <v>0.67061632328234178</v>
      </c>
      <c r="K40">
        <f t="shared" si="37"/>
        <v>0.64632454923717064</v>
      </c>
      <c r="L40">
        <f t="shared" si="37"/>
        <v>0.48762999618595171</v>
      </c>
      <c r="U40" s="61">
        <f t="shared" si="32"/>
        <v>2678400</v>
      </c>
      <c r="V40">
        <f t="shared" si="38"/>
        <v>0.20278042336536936</v>
      </c>
      <c r="W40">
        <f t="shared" si="38"/>
        <v>0.27220001328555843</v>
      </c>
      <c r="X40">
        <f t="shared" si="38"/>
        <v>0.19366513083869275</v>
      </c>
      <c r="Y40">
        <f t="shared" si="38"/>
        <v>0.13028102858775503</v>
      </c>
      <c r="AB40" s="61">
        <f t="shared" si="34"/>
        <v>2678400</v>
      </c>
      <c r="AC40">
        <f t="shared" si="39"/>
        <v>0.19893098113300667</v>
      </c>
      <c r="AD40">
        <f t="shared" si="39"/>
        <v>0.29895587974784943</v>
      </c>
      <c r="AE40">
        <f t="shared" si="39"/>
        <v>0.17708074796890005</v>
      </c>
      <c r="AF40">
        <f t="shared" si="39"/>
        <v>2.138979073179488E-2</v>
      </c>
    </row>
    <row r="41" spans="1:33" ht="21" x14ac:dyDescent="0.5">
      <c r="A41" s="260"/>
      <c r="B41" s="260"/>
      <c r="C41" s="260"/>
      <c r="D41" s="260"/>
      <c r="E41" s="260"/>
      <c r="H41" s="61">
        <f t="shared" si="36"/>
        <v>6</v>
      </c>
      <c r="I41">
        <f t="shared" si="37"/>
        <v>0.44064030990087727</v>
      </c>
      <c r="J41">
        <f t="shared" si="37"/>
        <v>0.56759311779164312</v>
      </c>
      <c r="K41">
        <f t="shared" si="37"/>
        <v>0.46428117183194129</v>
      </c>
      <c r="L41">
        <f t="shared" si="37"/>
        <v>0.35660355077507444</v>
      </c>
    </row>
    <row r="42" spans="1:33" ht="21" x14ac:dyDescent="0.5">
      <c r="A42" s="260"/>
      <c r="B42" s="260"/>
      <c r="C42" s="260"/>
      <c r="D42" s="260"/>
      <c r="E42" s="260"/>
      <c r="H42" s="61">
        <f t="shared" si="36"/>
        <v>31</v>
      </c>
      <c r="I42">
        <f t="shared" si="37"/>
        <v>0.36628143330042401</v>
      </c>
      <c r="J42">
        <f t="shared" si="37"/>
        <v>0.47478442644368962</v>
      </c>
      <c r="K42">
        <f t="shared" si="37"/>
        <v>0.45424416111046129</v>
      </c>
      <c r="L42">
        <f t="shared" si="37"/>
        <v>8.6859914606872118E-2</v>
      </c>
      <c r="U42" t="s">
        <v>148</v>
      </c>
      <c r="V42">
        <f>SUMXMY2(I15:I21,V34:V40)</f>
        <v>9.7137656420815484E-4</v>
      </c>
      <c r="W42">
        <f>SUMXMY2(J15:J21,W34:W40)</f>
        <v>2.7479620427017276E-3</v>
      </c>
      <c r="X42">
        <f>SUMXMY2(K15:K21,X34:X40)</f>
        <v>3.0898670191154389E-3</v>
      </c>
      <c r="Y42">
        <f>SUMXMY2(L15:L21,Y34:Y40)</f>
        <v>1.405661428831248E-2</v>
      </c>
      <c r="Z42">
        <f>SUM(V42:Y42)</f>
        <v>2.0865819914337801E-2</v>
      </c>
      <c r="AB42" t="s">
        <v>148</v>
      </c>
      <c r="AC42">
        <f>SUMXMY2(I15:I21,AC34:AC40)</f>
        <v>1.1818916529048521E-2</v>
      </c>
      <c r="AD42">
        <f>SUMXMY2(J15:J21,AD34:AD40)</f>
        <v>1.1823563202275728E-2</v>
      </c>
      <c r="AE42">
        <f>SUMXMY2(K15:K21,AE34:AE40)</f>
        <v>2.9393437677978026E-2</v>
      </c>
      <c r="AF42">
        <f>SUMXMY2(L15:L21,AF34:AF40)</f>
        <v>1.4226983822873357E-2</v>
      </c>
      <c r="AG42">
        <f>SUM(AC42:AF42)</f>
        <v>6.7262901232175626E-2</v>
      </c>
    </row>
    <row r="43" spans="1:33" ht="21" x14ac:dyDescent="0.5">
      <c r="A43" s="260"/>
      <c r="B43" s="260"/>
      <c r="C43" s="260"/>
      <c r="D43" s="260"/>
      <c r="E43" s="260"/>
      <c r="U43" t="s">
        <v>149</v>
      </c>
      <c r="V43">
        <f>RSQ(I15:I21,V34:V40)</f>
        <v>0.98931665266636015</v>
      </c>
      <c r="W43">
        <f>RSQ(J15:J21,W34:W40)</f>
        <v>0.95390573110553389</v>
      </c>
      <c r="X43">
        <f>RSQ(K15:K21,X34:X40)</f>
        <v>0.92313080748122811</v>
      </c>
      <c r="Y43">
        <f>RSQ(L15:L21,Y34:Y40)</f>
        <v>0.88417158171626786</v>
      </c>
      <c r="AB43" t="s">
        <v>149</v>
      </c>
      <c r="AC43">
        <f>RSQ(I15:I21,AC34:AC40)</f>
        <v>0.8695216475063593</v>
      </c>
      <c r="AD43">
        <f>RSQ(J15:J21,AD34:AD40)</f>
        <v>0.83198713339650343</v>
      </c>
      <c r="AE43">
        <f>RSQ(K15:K21,AE34:AE40)</f>
        <v>0.77584796496400488</v>
      </c>
      <c r="AF43">
        <f>RSQ(L15:L21,AF34:AF40)</f>
        <v>0.92823416104296885</v>
      </c>
    </row>
    <row r="44" spans="1:33" ht="21" x14ac:dyDescent="0.5">
      <c r="A44" s="260"/>
      <c r="B44" s="260"/>
      <c r="C44" s="260"/>
      <c r="D44" s="260"/>
      <c r="E44" s="260"/>
    </row>
    <row r="45" spans="1:33" ht="21" x14ac:dyDescent="0.5">
      <c r="A45" s="260"/>
      <c r="B45" s="260"/>
      <c r="C45" s="260"/>
      <c r="D45" s="260"/>
      <c r="E45" s="260"/>
    </row>
    <row r="46" spans="1:33" ht="21" x14ac:dyDescent="0.5">
      <c r="A46" s="260"/>
      <c r="B46" s="260"/>
      <c r="C46" s="260"/>
      <c r="D46" s="260"/>
      <c r="E46" s="260"/>
    </row>
    <row r="47" spans="1:33" ht="21" x14ac:dyDescent="0.5">
      <c r="A47" s="260"/>
      <c r="B47" s="260"/>
      <c r="C47" s="260"/>
      <c r="D47" s="260"/>
      <c r="E47" s="260"/>
    </row>
    <row r="48" spans="1:33" ht="21" x14ac:dyDescent="0.5">
      <c r="A48" s="260"/>
      <c r="B48" s="260"/>
      <c r="C48" s="260"/>
      <c r="D48" s="260"/>
      <c r="E48" s="260"/>
      <c r="I48">
        <f>1156/(0.41*13*8)</f>
        <v>27.110694183864915</v>
      </c>
    </row>
    <row r="49" spans="1:5" ht="21" x14ac:dyDescent="0.5">
      <c r="A49" s="260"/>
      <c r="B49" s="260"/>
      <c r="C49" s="260"/>
      <c r="D49" s="260"/>
      <c r="E49" s="260"/>
    </row>
    <row r="50" spans="1:5" ht="21" x14ac:dyDescent="0.5">
      <c r="A50" s="260"/>
      <c r="B50" s="260"/>
      <c r="C50" s="260"/>
      <c r="D50" s="260"/>
      <c r="E50" s="260"/>
    </row>
    <row r="51" spans="1:5" ht="21" x14ac:dyDescent="0.5">
      <c r="A51" s="260"/>
      <c r="B51" s="260"/>
      <c r="C51" s="260"/>
      <c r="D51" s="260"/>
      <c r="E51" s="260"/>
    </row>
    <row r="52" spans="1:5" ht="21" x14ac:dyDescent="0.5">
      <c r="A52" s="260"/>
      <c r="B52" s="260"/>
      <c r="C52" s="260"/>
      <c r="D52" s="260"/>
      <c r="E52" s="260"/>
    </row>
    <row r="53" spans="1:5" ht="21" x14ac:dyDescent="0.5">
      <c r="A53" s="260"/>
      <c r="B53" s="260"/>
      <c r="C53" s="260"/>
      <c r="D53" s="260"/>
      <c r="E53" s="260"/>
    </row>
    <row r="54" spans="1:5" ht="21" x14ac:dyDescent="0.5">
      <c r="A54" s="260"/>
      <c r="B54" s="260"/>
      <c r="C54" s="260"/>
      <c r="D54" s="260"/>
      <c r="E54" s="260"/>
    </row>
    <row r="55" spans="1:5" ht="21" x14ac:dyDescent="0.5">
      <c r="A55" s="260"/>
      <c r="B55" s="260"/>
      <c r="C55" s="260"/>
      <c r="D55" s="260"/>
      <c r="E55" s="260"/>
    </row>
    <row r="56" spans="1:5" ht="21" x14ac:dyDescent="0.5">
      <c r="A56" s="260"/>
      <c r="B56" s="260"/>
      <c r="C56" s="260"/>
      <c r="D56" s="260"/>
      <c r="E56" s="260"/>
    </row>
    <row r="57" spans="1:5" ht="21" x14ac:dyDescent="0.5">
      <c r="A57" s="260"/>
      <c r="B57" s="260"/>
      <c r="C57" s="260"/>
      <c r="D57" s="260"/>
      <c r="E57" s="260"/>
    </row>
    <row r="58" spans="1:5" ht="21" x14ac:dyDescent="0.5">
      <c r="A58" s="260"/>
      <c r="B58" s="260"/>
      <c r="C58" s="260"/>
      <c r="D58" s="260"/>
      <c r="E58" s="260"/>
    </row>
    <row r="59" spans="1:5" ht="21" x14ac:dyDescent="0.5">
      <c r="A59" s="260"/>
      <c r="B59" s="260"/>
      <c r="C59" s="260"/>
      <c r="D59" s="260"/>
      <c r="E59" s="260"/>
    </row>
    <row r="60" spans="1:5" ht="21" x14ac:dyDescent="0.5">
      <c r="A60" s="260"/>
      <c r="B60" s="260"/>
      <c r="C60" s="260"/>
      <c r="D60" s="260"/>
      <c r="E60" s="260"/>
    </row>
    <row r="61" spans="1:5" ht="21" x14ac:dyDescent="0.5">
      <c r="A61" s="260"/>
      <c r="B61" s="260"/>
      <c r="C61" s="260"/>
      <c r="D61" s="260"/>
      <c r="E61" s="260"/>
    </row>
    <row r="62" spans="1:5" ht="21" x14ac:dyDescent="0.5">
      <c r="A62" s="260"/>
      <c r="B62" s="260"/>
      <c r="C62" s="260"/>
      <c r="D62" s="260"/>
      <c r="E62" s="260"/>
    </row>
    <row r="63" spans="1:5" ht="21" x14ac:dyDescent="0.5">
      <c r="A63" s="260"/>
      <c r="B63" s="260"/>
      <c r="C63" s="260"/>
      <c r="D63" s="260"/>
      <c r="E63" s="260"/>
    </row>
    <row r="64" spans="1:5" ht="21" x14ac:dyDescent="0.5">
      <c r="A64" s="260"/>
      <c r="B64" s="260"/>
      <c r="C64" s="260"/>
      <c r="D64" s="260"/>
      <c r="E64" s="260"/>
    </row>
    <row r="65" spans="1:5" ht="21" x14ac:dyDescent="0.5">
      <c r="A65" s="260"/>
      <c r="B65" s="260"/>
      <c r="C65" s="260"/>
      <c r="D65" s="260"/>
      <c r="E65" s="260"/>
    </row>
    <row r="66" spans="1:5" ht="21" x14ac:dyDescent="0.5">
      <c r="A66" s="260"/>
      <c r="B66" s="260"/>
      <c r="C66" s="260"/>
      <c r="D66" s="260"/>
      <c r="E66" s="260"/>
    </row>
    <row r="67" spans="1:5" ht="21" x14ac:dyDescent="0.5">
      <c r="A67" s="260"/>
      <c r="B67" s="260"/>
      <c r="C67" s="260"/>
      <c r="D67" s="260"/>
      <c r="E67" s="260"/>
    </row>
    <row r="68" spans="1:5" ht="21" x14ac:dyDescent="0.5">
      <c r="A68" s="260"/>
      <c r="B68" s="260"/>
      <c r="C68" s="260"/>
      <c r="D68" s="260"/>
      <c r="E68" s="260"/>
    </row>
  </sheetData>
  <mergeCells count="19">
    <mergeCell ref="BK7:BP7"/>
    <mergeCell ref="A13:F13"/>
    <mergeCell ref="U26:Y26"/>
    <mergeCell ref="AB26:AF26"/>
    <mergeCell ref="N7:R7"/>
    <mergeCell ref="U7:Y7"/>
    <mergeCell ref="AB7:AF7"/>
    <mergeCell ref="AI7:AM7"/>
    <mergeCell ref="AP7:AT7"/>
    <mergeCell ref="AW7:BA7"/>
    <mergeCell ref="AW1:BA1"/>
    <mergeCell ref="A2:G2"/>
    <mergeCell ref="B3:C3"/>
    <mergeCell ref="D3:E3"/>
    <mergeCell ref="F3:G3"/>
    <mergeCell ref="H3:I3"/>
    <mergeCell ref="J3:K3"/>
    <mergeCell ref="L3:M3"/>
    <mergeCell ref="Q3:W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"/>
  <dimension ref="A1:T95"/>
  <sheetViews>
    <sheetView topLeftCell="A7" zoomScale="80" zoomScaleNormal="80" workbookViewId="0">
      <selection activeCell="B36" sqref="B36"/>
    </sheetView>
  </sheetViews>
  <sheetFormatPr defaultRowHeight="14.5" x14ac:dyDescent="0.35"/>
  <cols>
    <col min="1" max="1" width="13" customWidth="1"/>
    <col min="2" max="3" width="9.08984375" style="1" customWidth="1"/>
    <col min="4" max="17" width="12.6328125" customWidth="1"/>
    <col min="20" max="20" width="3.54296875" customWidth="1"/>
  </cols>
  <sheetData>
    <row r="1" spans="1:20" x14ac:dyDescent="0.35">
      <c r="E1" s="358"/>
      <c r="F1" s="358"/>
    </row>
    <row r="2" spans="1:20" x14ac:dyDescent="0.35">
      <c r="E2" s="26"/>
      <c r="F2" s="26"/>
    </row>
    <row r="3" spans="1:20" x14ac:dyDescent="0.35">
      <c r="D3" s="186" t="s">
        <v>89</v>
      </c>
      <c r="E3" s="26"/>
      <c r="F3" s="26"/>
    </row>
    <row r="4" spans="1:20" x14ac:dyDescent="0.35">
      <c r="C4" s="236"/>
      <c r="D4" s="7" t="s">
        <v>133</v>
      </c>
      <c r="E4" s="26"/>
      <c r="F4" s="26" t="s">
        <v>134</v>
      </c>
    </row>
    <row r="5" spans="1:20" x14ac:dyDescent="0.35">
      <c r="C5" s="237"/>
      <c r="D5" s="9" t="s">
        <v>43</v>
      </c>
      <c r="E5" s="26"/>
      <c r="F5" s="26"/>
    </row>
    <row r="6" spans="1:20" x14ac:dyDescent="0.35">
      <c r="C6" s="238"/>
      <c r="D6" s="9" t="s">
        <v>44</v>
      </c>
      <c r="E6" s="26"/>
      <c r="F6" s="26"/>
    </row>
    <row r="7" spans="1:20" x14ac:dyDescent="0.35">
      <c r="C7" s="239"/>
      <c r="D7" s="9" t="s">
        <v>45</v>
      </c>
      <c r="E7" s="26"/>
      <c r="F7" s="26"/>
    </row>
    <row r="8" spans="1:20" x14ac:dyDescent="0.35">
      <c r="C8" s="240"/>
      <c r="D8" s="9" t="s">
        <v>46</v>
      </c>
      <c r="E8" s="26"/>
      <c r="F8" s="26"/>
    </row>
    <row r="9" spans="1:20" x14ac:dyDescent="0.35">
      <c r="C9" s="241"/>
      <c r="D9" s="9" t="s">
        <v>48</v>
      </c>
      <c r="E9" s="26"/>
      <c r="F9" s="26"/>
    </row>
    <row r="10" spans="1:20" x14ac:dyDescent="0.35">
      <c r="C10" s="242"/>
      <c r="D10" s="8" t="s">
        <v>49</v>
      </c>
      <c r="E10" s="26"/>
      <c r="F10" s="26"/>
    </row>
    <row r="11" spans="1:20" x14ac:dyDescent="0.35">
      <c r="C11" s="243" t="s">
        <v>135</v>
      </c>
      <c r="D11" s="50"/>
      <c r="E11" s="149"/>
      <c r="F11" s="41"/>
      <c r="G11" s="51"/>
    </row>
    <row r="12" spans="1:20" x14ac:dyDescent="0.35">
      <c r="C12" s="243" t="s">
        <v>136</v>
      </c>
      <c r="D12" s="50"/>
      <c r="E12" s="150"/>
      <c r="F12" s="26"/>
    </row>
    <row r="13" spans="1:20" ht="15" thickBot="1" x14ac:dyDescent="0.4">
      <c r="D13" s="390"/>
      <c r="E13" s="390"/>
    </row>
    <row r="14" spans="1:20" ht="15" thickBot="1" x14ac:dyDescent="0.4">
      <c r="A14" s="121"/>
      <c r="B14" s="122"/>
      <c r="C14" s="122"/>
      <c r="D14" s="402"/>
      <c r="E14" s="402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19"/>
    </row>
    <row r="15" spans="1:20" x14ac:dyDescent="0.35">
      <c r="A15" s="69"/>
      <c r="B15" s="70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2"/>
      <c r="T15" s="120"/>
    </row>
    <row r="16" spans="1:20" x14ac:dyDescent="0.35">
      <c r="A16" s="65"/>
      <c r="B16" s="124"/>
      <c r="D16" s="224" t="s">
        <v>41</v>
      </c>
      <c r="E16" s="224" t="s">
        <v>40</v>
      </c>
      <c r="F16" s="226" t="s">
        <v>41</v>
      </c>
      <c r="G16" s="226" t="s">
        <v>40</v>
      </c>
      <c r="H16" s="228" t="s">
        <v>41</v>
      </c>
      <c r="I16" s="228" t="s">
        <v>40</v>
      </c>
      <c r="J16" s="230" t="s">
        <v>41</v>
      </c>
      <c r="K16" s="230" t="s">
        <v>40</v>
      </c>
      <c r="L16" s="232" t="s">
        <v>41</v>
      </c>
      <c r="M16" s="232" t="s">
        <v>40</v>
      </c>
      <c r="N16" s="140" t="s">
        <v>41</v>
      </c>
      <c r="O16" s="140" t="s">
        <v>40</v>
      </c>
      <c r="P16" s="234" t="s">
        <v>41</v>
      </c>
      <c r="Q16" s="234" t="s">
        <v>40</v>
      </c>
      <c r="S16" s="66"/>
      <c r="T16" s="120"/>
    </row>
    <row r="17" spans="1:20" x14ac:dyDescent="0.35">
      <c r="A17" s="65"/>
      <c r="B17" s="124"/>
      <c r="D17" s="225" t="s">
        <v>42</v>
      </c>
      <c r="E17" s="225" t="s">
        <v>42</v>
      </c>
      <c r="F17" s="227" t="s">
        <v>43</v>
      </c>
      <c r="G17" s="227" t="s">
        <v>43</v>
      </c>
      <c r="H17" s="229" t="s">
        <v>44</v>
      </c>
      <c r="I17" s="229" t="s">
        <v>44</v>
      </c>
      <c r="J17" s="231" t="s">
        <v>45</v>
      </c>
      <c r="K17" s="231" t="s">
        <v>45</v>
      </c>
      <c r="L17" s="233" t="s">
        <v>46</v>
      </c>
      <c r="M17" s="233" t="s">
        <v>46</v>
      </c>
      <c r="N17" s="90" t="s">
        <v>47</v>
      </c>
      <c r="O17" s="90" t="s">
        <v>48</v>
      </c>
      <c r="P17" s="235" t="s">
        <v>49</v>
      </c>
      <c r="Q17" s="235" t="s">
        <v>49</v>
      </c>
      <c r="R17" s="14"/>
      <c r="S17" s="75"/>
      <c r="T17" s="120"/>
    </row>
    <row r="18" spans="1:20" x14ac:dyDescent="0.35">
      <c r="A18" s="73" t="s">
        <v>51</v>
      </c>
      <c r="B18" s="4" t="s">
        <v>50</v>
      </c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66"/>
      <c r="T18" s="120"/>
    </row>
    <row r="19" spans="1:20" x14ac:dyDescent="0.35">
      <c r="A19" s="65" t="s">
        <v>52</v>
      </c>
      <c r="B19" s="2">
        <v>40878</v>
      </c>
      <c r="C19" s="2"/>
      <c r="F19" s="13"/>
      <c r="G19" s="13"/>
      <c r="H19" s="13"/>
      <c r="I19" s="13"/>
      <c r="J19" s="18" t="s">
        <v>0</v>
      </c>
      <c r="K19" s="13"/>
      <c r="L19" s="13"/>
      <c r="M19" s="13"/>
      <c r="N19" s="21" t="s">
        <v>0</v>
      </c>
      <c r="O19" s="12"/>
      <c r="P19" s="13"/>
      <c r="Q19" s="13"/>
      <c r="S19" s="66"/>
      <c r="T19" s="120"/>
    </row>
    <row r="20" spans="1:20" x14ac:dyDescent="0.35">
      <c r="A20" s="65" t="s">
        <v>53</v>
      </c>
      <c r="B20" s="2">
        <v>40879</v>
      </c>
      <c r="C20" s="2"/>
      <c r="D20" s="15" t="s">
        <v>2</v>
      </c>
      <c r="E20" s="15" t="s">
        <v>2</v>
      </c>
      <c r="H20" s="13"/>
      <c r="I20" s="13"/>
      <c r="J20" s="13"/>
      <c r="K20" s="18" t="s">
        <v>0</v>
      </c>
      <c r="L20" s="20" t="s">
        <v>2</v>
      </c>
      <c r="M20" s="13"/>
      <c r="N20" s="12"/>
      <c r="O20" s="12"/>
      <c r="P20" s="13"/>
      <c r="Q20" s="13"/>
      <c r="S20" s="66"/>
      <c r="T20" s="120"/>
    </row>
    <row r="21" spans="1:20" x14ac:dyDescent="0.35">
      <c r="A21" s="65" t="s">
        <v>54</v>
      </c>
      <c r="B21" s="2">
        <v>40880</v>
      </c>
      <c r="C21" s="2"/>
      <c r="D21" s="13"/>
      <c r="E21" s="13"/>
      <c r="F21" s="13"/>
      <c r="G21" s="13"/>
      <c r="H21" s="13"/>
      <c r="I21" s="13"/>
      <c r="J21" s="13"/>
      <c r="K21" s="13"/>
      <c r="L21" s="13"/>
      <c r="M21" s="13"/>
      <c r="O21" s="12"/>
      <c r="P21" s="19" t="s">
        <v>0</v>
      </c>
      <c r="Q21" s="13"/>
      <c r="S21" s="66"/>
      <c r="T21" s="120"/>
    </row>
    <row r="22" spans="1:20" x14ac:dyDescent="0.35">
      <c r="A22" s="65" t="s">
        <v>55</v>
      </c>
      <c r="B22" s="2">
        <v>40881</v>
      </c>
      <c r="C22" s="2"/>
      <c r="F22" s="13"/>
      <c r="G22" s="13"/>
      <c r="H22" s="13"/>
      <c r="I22" s="13"/>
      <c r="L22" s="13"/>
      <c r="M22" s="20" t="s">
        <v>2</v>
      </c>
      <c r="N22" s="12"/>
      <c r="O22" s="12"/>
      <c r="P22" s="13"/>
      <c r="Q22" s="13"/>
      <c r="S22" s="66"/>
      <c r="T22" s="120"/>
    </row>
    <row r="23" spans="1:20" x14ac:dyDescent="0.35">
      <c r="A23" s="65" t="s">
        <v>56</v>
      </c>
      <c r="B23" s="2">
        <v>40882</v>
      </c>
      <c r="C23" s="2"/>
      <c r="L23" s="13"/>
      <c r="M23" s="13"/>
      <c r="N23" s="12"/>
      <c r="O23" s="12"/>
      <c r="Q23" s="13"/>
      <c r="S23" s="66"/>
      <c r="T23" s="120"/>
    </row>
    <row r="24" spans="1:20" x14ac:dyDescent="0.35">
      <c r="A24" s="65" t="s">
        <v>57</v>
      </c>
      <c r="B24" s="2">
        <v>40883</v>
      </c>
      <c r="C24" s="2"/>
      <c r="F24" s="13"/>
      <c r="G24" s="13"/>
      <c r="H24" s="13"/>
      <c r="I24" s="13"/>
      <c r="J24" s="13"/>
      <c r="K24" s="13"/>
      <c r="N24" s="12"/>
      <c r="O24" s="12"/>
      <c r="Q24" s="13"/>
      <c r="S24" s="66"/>
      <c r="T24" s="120"/>
    </row>
    <row r="25" spans="1:20" x14ac:dyDescent="0.35">
      <c r="A25" s="65" t="s">
        <v>58</v>
      </c>
      <c r="B25" s="2">
        <v>40884</v>
      </c>
      <c r="C25" s="2"/>
      <c r="D25" s="15" t="s">
        <v>5</v>
      </c>
      <c r="E25" s="15" t="s">
        <v>5</v>
      </c>
      <c r="F25" s="16" t="s">
        <v>2</v>
      </c>
      <c r="G25" s="16" t="s">
        <v>2</v>
      </c>
      <c r="H25" s="13"/>
      <c r="I25" s="13"/>
      <c r="J25" s="13"/>
      <c r="K25" s="13"/>
      <c r="N25" s="12"/>
      <c r="O25" s="21" t="s">
        <v>0</v>
      </c>
      <c r="Q25" s="13"/>
      <c r="S25" s="66"/>
      <c r="T25" s="120"/>
    </row>
    <row r="26" spans="1:20" x14ac:dyDescent="0.35">
      <c r="A26" s="65" t="s">
        <v>52</v>
      </c>
      <c r="B26" s="2">
        <v>40885</v>
      </c>
      <c r="C26" s="2"/>
      <c r="D26" s="13"/>
      <c r="E26" s="13"/>
      <c r="H26" s="13"/>
      <c r="I26" s="13"/>
      <c r="N26" s="12"/>
      <c r="O26" s="12"/>
      <c r="Q26" s="13"/>
      <c r="S26" s="66"/>
      <c r="T26" s="120"/>
    </row>
    <row r="27" spans="1:20" x14ac:dyDescent="0.35">
      <c r="A27" s="65" t="s">
        <v>53</v>
      </c>
      <c r="B27" s="2">
        <v>40886</v>
      </c>
      <c r="C27" s="2"/>
      <c r="F27" s="16" t="s">
        <v>5</v>
      </c>
      <c r="G27" s="16" t="s">
        <v>5</v>
      </c>
      <c r="N27" s="21" t="s">
        <v>4</v>
      </c>
      <c r="O27" s="12"/>
      <c r="P27" s="19" t="s">
        <v>5</v>
      </c>
      <c r="Q27" s="13"/>
      <c r="S27" s="66"/>
      <c r="T27" s="120"/>
    </row>
    <row r="28" spans="1:20" x14ac:dyDescent="0.35">
      <c r="A28" s="65" t="s">
        <v>54</v>
      </c>
      <c r="B28" s="2">
        <v>40887</v>
      </c>
      <c r="C28" s="2"/>
      <c r="D28" s="13"/>
      <c r="E28" s="13"/>
      <c r="F28" s="13"/>
      <c r="G28" s="13"/>
      <c r="H28" s="17" t="s">
        <v>0</v>
      </c>
      <c r="I28" s="17" t="s">
        <v>2</v>
      </c>
      <c r="M28" s="13"/>
      <c r="N28" s="12"/>
      <c r="O28" s="12"/>
      <c r="P28" s="19" t="s">
        <v>6</v>
      </c>
      <c r="Q28" s="13"/>
      <c r="S28" s="66"/>
      <c r="T28" s="120"/>
    </row>
    <row r="29" spans="1:20" x14ac:dyDescent="0.35">
      <c r="A29" s="65" t="s">
        <v>55</v>
      </c>
      <c r="B29" s="2">
        <v>40888</v>
      </c>
      <c r="C29" s="2"/>
      <c r="D29" s="13"/>
      <c r="E29" s="13"/>
      <c r="H29" s="13"/>
      <c r="I29" s="13"/>
      <c r="J29" s="18" t="s">
        <v>5</v>
      </c>
      <c r="K29" s="13"/>
      <c r="M29" s="13"/>
      <c r="N29" s="12"/>
      <c r="O29" s="12"/>
      <c r="P29" s="19" t="s">
        <v>7</v>
      </c>
      <c r="Q29" s="13"/>
      <c r="S29" s="66"/>
      <c r="T29" s="120"/>
    </row>
    <row r="30" spans="1:20" x14ac:dyDescent="0.35">
      <c r="A30" s="65" t="s">
        <v>56</v>
      </c>
      <c r="B30" s="2">
        <v>40889</v>
      </c>
      <c r="C30" s="2"/>
      <c r="D30" s="13"/>
      <c r="E30" s="13"/>
      <c r="H30" s="13"/>
      <c r="I30" s="13"/>
      <c r="J30" s="13"/>
      <c r="K30" s="18" t="s">
        <v>5</v>
      </c>
      <c r="L30" s="20" t="s">
        <v>5</v>
      </c>
      <c r="N30" s="21" t="s">
        <v>6</v>
      </c>
      <c r="O30" s="12"/>
      <c r="Q30" s="13"/>
      <c r="S30" s="66"/>
      <c r="T30" s="120"/>
    </row>
    <row r="31" spans="1:20" x14ac:dyDescent="0.35">
      <c r="A31" s="65" t="s">
        <v>57</v>
      </c>
      <c r="B31" s="2">
        <v>40890</v>
      </c>
      <c r="C31" s="2"/>
      <c r="D31" s="13"/>
      <c r="E31" s="13"/>
      <c r="F31" s="13"/>
      <c r="G31" s="13"/>
      <c r="H31" s="17" t="s">
        <v>5</v>
      </c>
      <c r="I31" s="17" t="s">
        <v>4</v>
      </c>
      <c r="J31" s="13"/>
      <c r="K31" s="13"/>
      <c r="N31" s="12"/>
      <c r="O31" s="12"/>
      <c r="Q31" s="13"/>
      <c r="S31" s="66"/>
      <c r="T31" s="120"/>
    </row>
    <row r="32" spans="1:20" x14ac:dyDescent="0.35">
      <c r="A32" s="65" t="s">
        <v>58</v>
      </c>
      <c r="B32" s="2">
        <v>40891</v>
      </c>
      <c r="C32" s="2"/>
      <c r="D32" s="15" t="s">
        <v>6</v>
      </c>
      <c r="E32" s="15" t="s">
        <v>6</v>
      </c>
      <c r="F32" s="13"/>
      <c r="G32" s="13"/>
      <c r="H32" s="13"/>
      <c r="I32" s="13"/>
      <c r="L32" s="13"/>
      <c r="M32" s="20" t="s">
        <v>5</v>
      </c>
      <c r="N32" s="12"/>
      <c r="O32" s="12"/>
      <c r="P32" s="19" t="s">
        <v>8</v>
      </c>
      <c r="Q32" s="13"/>
      <c r="S32" s="66"/>
      <c r="T32" s="120"/>
    </row>
    <row r="33" spans="1:20" x14ac:dyDescent="0.35">
      <c r="A33" s="65" t="s">
        <v>52</v>
      </c>
      <c r="B33" s="2">
        <v>40892</v>
      </c>
      <c r="C33" s="2"/>
      <c r="D33" s="15" t="s">
        <v>9</v>
      </c>
      <c r="E33" s="15" t="s">
        <v>9</v>
      </c>
      <c r="H33" s="13"/>
      <c r="I33" s="13"/>
      <c r="L33" s="13"/>
      <c r="N33" s="12"/>
      <c r="O33" s="21" t="s">
        <v>4</v>
      </c>
      <c r="P33" s="19" t="s">
        <v>10</v>
      </c>
      <c r="S33" s="66"/>
      <c r="T33" s="120"/>
    </row>
    <row r="34" spans="1:20" x14ac:dyDescent="0.35">
      <c r="A34" s="65" t="s">
        <v>53</v>
      </c>
      <c r="B34" s="2">
        <v>40893</v>
      </c>
      <c r="C34" s="2"/>
      <c r="J34" s="13"/>
      <c r="K34" s="13"/>
      <c r="L34" s="20" t="s">
        <v>6</v>
      </c>
      <c r="M34" s="13"/>
      <c r="N34" s="12"/>
      <c r="O34" s="12"/>
      <c r="S34" s="66"/>
      <c r="T34" s="120"/>
    </row>
    <row r="35" spans="1:20" x14ac:dyDescent="0.35">
      <c r="A35" s="65" t="s">
        <v>54</v>
      </c>
      <c r="B35" s="2">
        <v>40894</v>
      </c>
      <c r="C35" s="2"/>
      <c r="F35" s="13"/>
      <c r="G35" s="13"/>
      <c r="J35" s="13"/>
      <c r="K35" s="13"/>
      <c r="L35" s="13"/>
      <c r="M35" s="13"/>
      <c r="N35" s="12"/>
      <c r="O35" s="12"/>
      <c r="P35" s="19" t="s">
        <v>12</v>
      </c>
      <c r="Q35" s="13"/>
      <c r="S35" s="66"/>
      <c r="T35" s="120"/>
    </row>
    <row r="36" spans="1:20" x14ac:dyDescent="0.35">
      <c r="A36" s="65" t="s">
        <v>55</v>
      </c>
      <c r="B36" s="2">
        <v>40895</v>
      </c>
      <c r="C36" s="2"/>
      <c r="D36" s="13"/>
      <c r="E36" s="13"/>
      <c r="F36" s="13"/>
      <c r="G36" s="13"/>
      <c r="H36" s="13"/>
      <c r="I36" s="13"/>
      <c r="J36" s="13"/>
      <c r="K36" s="13"/>
      <c r="M36" s="20" t="s">
        <v>6</v>
      </c>
      <c r="N36" s="12"/>
      <c r="O36" s="21" t="s">
        <v>6</v>
      </c>
      <c r="Q36" s="13"/>
      <c r="S36" s="66"/>
      <c r="T36" s="120"/>
    </row>
    <row r="37" spans="1:20" x14ac:dyDescent="0.35">
      <c r="A37" s="65" t="s">
        <v>56</v>
      </c>
      <c r="B37" s="2">
        <v>40896</v>
      </c>
      <c r="C37" s="2"/>
      <c r="F37" s="16" t="s">
        <v>6</v>
      </c>
      <c r="G37" s="16" t="s">
        <v>6</v>
      </c>
      <c r="H37" s="13"/>
      <c r="I37" s="13"/>
      <c r="N37" s="12"/>
      <c r="O37" s="12"/>
      <c r="P37" s="19" t="s">
        <v>13</v>
      </c>
      <c r="Q37" s="13"/>
      <c r="S37" s="66"/>
      <c r="T37" s="120"/>
    </row>
    <row r="38" spans="1:20" x14ac:dyDescent="0.35">
      <c r="A38" s="65" t="s">
        <v>57</v>
      </c>
      <c r="B38" s="2">
        <v>40897</v>
      </c>
      <c r="C38" s="2"/>
      <c r="D38" s="13"/>
      <c r="E38" s="13"/>
      <c r="H38" s="17" t="s">
        <v>15</v>
      </c>
      <c r="I38" s="17" t="s">
        <v>6</v>
      </c>
      <c r="J38" s="18" t="s">
        <v>6</v>
      </c>
      <c r="K38" s="13"/>
      <c r="N38" s="21" t="s">
        <v>9</v>
      </c>
      <c r="O38" s="12"/>
      <c r="Q38" s="13"/>
      <c r="S38" s="66"/>
      <c r="T38" s="120"/>
    </row>
    <row r="39" spans="1:20" x14ac:dyDescent="0.35">
      <c r="A39" s="65" t="s">
        <v>58</v>
      </c>
      <c r="B39" s="2">
        <v>40898</v>
      </c>
      <c r="C39" s="2"/>
      <c r="D39" s="13"/>
      <c r="E39" s="13"/>
      <c r="F39" s="16" t="s">
        <v>7</v>
      </c>
      <c r="G39" s="16" t="s">
        <v>7</v>
      </c>
      <c r="K39" s="18" t="s">
        <v>6</v>
      </c>
      <c r="N39" s="12"/>
      <c r="O39" s="12"/>
      <c r="Q39" s="13"/>
      <c r="S39" s="66"/>
      <c r="T39" s="120"/>
    </row>
    <row r="40" spans="1:20" x14ac:dyDescent="0.35">
      <c r="A40" s="65" t="s">
        <v>52</v>
      </c>
      <c r="B40" s="2">
        <v>40899</v>
      </c>
      <c r="C40" s="2"/>
      <c r="D40" s="13"/>
      <c r="E40" s="13"/>
      <c r="F40" s="13"/>
      <c r="G40" s="13"/>
      <c r="H40" s="13"/>
      <c r="I40" s="13"/>
      <c r="O40" s="12"/>
      <c r="P40" s="19" t="s">
        <v>11</v>
      </c>
      <c r="S40" s="66"/>
      <c r="T40" s="120"/>
    </row>
    <row r="41" spans="1:20" x14ac:dyDescent="0.35">
      <c r="A41" s="65" t="s">
        <v>53</v>
      </c>
      <c r="B41" s="2">
        <v>40900</v>
      </c>
      <c r="C41" s="2"/>
      <c r="F41" s="13"/>
      <c r="G41" s="13"/>
      <c r="H41" s="13"/>
      <c r="I41" s="13"/>
      <c r="M41" s="13"/>
      <c r="N41" s="21" t="s">
        <v>16</v>
      </c>
      <c r="O41" s="12"/>
      <c r="P41" s="19" t="s">
        <v>14</v>
      </c>
      <c r="Q41" s="13"/>
      <c r="S41" s="66"/>
      <c r="T41" s="120"/>
    </row>
    <row r="42" spans="1:20" x14ac:dyDescent="0.35">
      <c r="A42" s="65" t="s">
        <v>54</v>
      </c>
      <c r="B42" s="2">
        <v>40901</v>
      </c>
      <c r="C42" s="2"/>
      <c r="D42" s="13"/>
      <c r="E42" s="13"/>
      <c r="F42" s="13"/>
      <c r="G42" s="13"/>
      <c r="J42" s="13"/>
      <c r="K42" s="13"/>
      <c r="L42" s="13"/>
      <c r="N42" s="12"/>
      <c r="O42" s="12"/>
      <c r="P42" s="13"/>
      <c r="Q42" s="13"/>
      <c r="S42" s="66"/>
      <c r="T42" s="120"/>
    </row>
    <row r="43" spans="1:20" x14ac:dyDescent="0.35">
      <c r="A43" s="65" t="s">
        <v>55</v>
      </c>
      <c r="B43" s="2">
        <v>40902</v>
      </c>
      <c r="C43" s="2"/>
      <c r="D43" s="13"/>
      <c r="E43" s="13"/>
      <c r="F43" s="13"/>
      <c r="G43" s="13"/>
      <c r="L43" s="13"/>
      <c r="N43" s="12"/>
      <c r="O43" s="12"/>
      <c r="P43" s="13"/>
      <c r="Q43" s="13"/>
      <c r="S43" s="66"/>
      <c r="T43" s="120"/>
    </row>
    <row r="44" spans="1:20" x14ac:dyDescent="0.35">
      <c r="A44" s="65" t="s">
        <v>56</v>
      </c>
      <c r="B44" s="2">
        <v>40903</v>
      </c>
      <c r="C44" s="2"/>
      <c r="D44" s="13"/>
      <c r="E44" s="13"/>
      <c r="H44" s="13"/>
      <c r="I44" s="13"/>
      <c r="N44" s="12"/>
      <c r="O44" s="21" t="s">
        <v>9</v>
      </c>
      <c r="P44" s="13"/>
      <c r="Q44" s="13"/>
      <c r="S44" s="66"/>
      <c r="T44" s="120"/>
    </row>
    <row r="45" spans="1:20" x14ac:dyDescent="0.35">
      <c r="A45" s="65" t="s">
        <v>57</v>
      </c>
      <c r="B45" s="2">
        <v>40904</v>
      </c>
      <c r="C45" s="2"/>
      <c r="F45" s="13"/>
      <c r="G45" s="13"/>
      <c r="H45" s="13"/>
      <c r="I45" s="13"/>
      <c r="J45" s="18" t="s">
        <v>7</v>
      </c>
      <c r="L45" s="20" t="s">
        <v>7</v>
      </c>
      <c r="M45" s="13"/>
      <c r="N45" s="12"/>
      <c r="O45" s="12"/>
      <c r="P45" s="13"/>
      <c r="Q45" s="13"/>
      <c r="S45" s="66"/>
      <c r="T45" s="120"/>
    </row>
    <row r="46" spans="1:20" x14ac:dyDescent="0.35">
      <c r="A46" s="65" t="s">
        <v>58</v>
      </c>
      <c r="B46" s="2">
        <v>40905</v>
      </c>
      <c r="C46" s="2"/>
      <c r="D46" s="15" t="s">
        <v>8</v>
      </c>
      <c r="E46" s="15" t="s">
        <v>8</v>
      </c>
      <c r="F46" s="13"/>
      <c r="G46" s="13"/>
      <c r="H46" s="13"/>
      <c r="I46" s="13"/>
      <c r="K46" s="18" t="s">
        <v>7</v>
      </c>
      <c r="L46" s="13"/>
      <c r="M46" s="13"/>
      <c r="N46" s="12"/>
      <c r="P46" s="13"/>
      <c r="Q46" s="13"/>
      <c r="S46" s="66"/>
      <c r="T46" s="120"/>
    </row>
    <row r="47" spans="1:20" x14ac:dyDescent="0.35">
      <c r="A47" s="65" t="s">
        <v>52</v>
      </c>
      <c r="B47" s="2">
        <v>40906</v>
      </c>
      <c r="C47" s="2"/>
      <c r="F47" s="16" t="s">
        <v>8</v>
      </c>
      <c r="G47" s="16" t="s">
        <v>8</v>
      </c>
      <c r="H47" s="13"/>
      <c r="I47" s="13"/>
      <c r="L47" s="13"/>
      <c r="M47" s="20" t="s">
        <v>7</v>
      </c>
      <c r="O47" s="21" t="s">
        <v>16</v>
      </c>
      <c r="P47" s="13"/>
      <c r="Q47" s="13"/>
      <c r="S47" s="66"/>
      <c r="T47" s="120"/>
    </row>
    <row r="48" spans="1:20" x14ac:dyDescent="0.35">
      <c r="A48" s="65" t="s">
        <v>53</v>
      </c>
      <c r="B48" s="2">
        <v>40907</v>
      </c>
      <c r="C48" s="2"/>
      <c r="F48" s="13"/>
      <c r="G48" s="13"/>
      <c r="L48" s="13"/>
      <c r="M48" s="13"/>
      <c r="N48" s="12"/>
      <c r="O48" s="12"/>
      <c r="P48" s="13"/>
      <c r="Q48" s="13"/>
      <c r="S48" s="66"/>
      <c r="T48" s="120"/>
    </row>
    <row r="49" spans="1:20" x14ac:dyDescent="0.35">
      <c r="A49" s="65" t="s">
        <v>54</v>
      </c>
      <c r="B49" s="2">
        <v>40908</v>
      </c>
      <c r="C49" s="2"/>
      <c r="D49" s="13"/>
      <c r="E49" s="13"/>
      <c r="F49" s="13"/>
      <c r="G49" s="13"/>
      <c r="H49" s="17" t="s">
        <v>9</v>
      </c>
      <c r="I49" s="17" t="s">
        <v>7</v>
      </c>
      <c r="N49" s="12"/>
      <c r="O49" s="12"/>
      <c r="P49" s="13"/>
      <c r="S49" s="66"/>
      <c r="T49" s="120"/>
    </row>
    <row r="50" spans="1:20" x14ac:dyDescent="0.35">
      <c r="A50" s="65" t="s">
        <v>55</v>
      </c>
      <c r="B50" s="2">
        <v>40909</v>
      </c>
      <c r="C50" s="2"/>
      <c r="D50" s="13"/>
      <c r="E50" s="13"/>
      <c r="H50" s="13"/>
      <c r="I50" s="13"/>
      <c r="J50" s="13"/>
      <c r="K50" s="13"/>
      <c r="N50" s="12"/>
      <c r="O50" s="12"/>
      <c r="P50" s="13"/>
      <c r="Q50" s="13"/>
      <c r="S50" s="66"/>
      <c r="T50" s="120"/>
    </row>
    <row r="51" spans="1:20" x14ac:dyDescent="0.35">
      <c r="A51" s="65" t="s">
        <v>56</v>
      </c>
      <c r="B51" s="2">
        <v>40910</v>
      </c>
      <c r="C51" s="2"/>
      <c r="F51" s="13"/>
      <c r="G51" s="13"/>
      <c r="H51" s="13"/>
      <c r="I51" s="13"/>
      <c r="O51" s="12"/>
      <c r="P51" s="13"/>
      <c r="Q51" s="13"/>
      <c r="S51" s="66"/>
      <c r="T51" s="120"/>
    </row>
    <row r="52" spans="1:20" x14ac:dyDescent="0.35">
      <c r="A52" s="65" t="s">
        <v>57</v>
      </c>
      <c r="B52" s="2">
        <v>40911</v>
      </c>
      <c r="C52" s="2"/>
      <c r="D52" s="13"/>
      <c r="E52" s="13"/>
      <c r="F52" s="13"/>
      <c r="G52" s="13"/>
      <c r="L52" s="13"/>
      <c r="M52" s="13"/>
      <c r="N52" s="21" t="s">
        <v>10</v>
      </c>
      <c r="O52" s="12"/>
      <c r="P52" s="13"/>
      <c r="S52" s="66"/>
      <c r="T52" s="120"/>
    </row>
    <row r="53" spans="1:20" x14ac:dyDescent="0.35">
      <c r="A53" s="65" t="s">
        <v>58</v>
      </c>
      <c r="B53" s="2">
        <v>40912</v>
      </c>
      <c r="C53" s="2"/>
      <c r="D53" s="13"/>
      <c r="E53" s="13"/>
      <c r="H53" s="13"/>
      <c r="I53" s="13"/>
      <c r="J53" s="13"/>
      <c r="K53" s="13"/>
      <c r="L53" s="13"/>
      <c r="N53" s="12"/>
      <c r="P53" s="13"/>
      <c r="Q53" s="13"/>
      <c r="S53" s="66"/>
      <c r="T53" s="120"/>
    </row>
    <row r="54" spans="1:20" x14ac:dyDescent="0.35">
      <c r="A54" s="65" t="s">
        <v>52</v>
      </c>
      <c r="B54" s="2">
        <v>40913</v>
      </c>
      <c r="C54" s="2"/>
      <c r="D54" s="13"/>
      <c r="E54" s="13"/>
      <c r="F54" s="13"/>
      <c r="G54" s="13"/>
      <c r="H54" s="17" t="s">
        <v>8</v>
      </c>
      <c r="I54" s="17" t="s">
        <v>16</v>
      </c>
      <c r="J54" s="18" t="s">
        <v>16</v>
      </c>
      <c r="K54" s="13"/>
      <c r="L54" s="13"/>
      <c r="M54" s="13"/>
      <c r="N54" s="12"/>
      <c r="O54" s="12"/>
      <c r="P54" s="13"/>
      <c r="Q54" s="19" t="s">
        <v>0</v>
      </c>
      <c r="S54" s="66"/>
      <c r="T54" s="120"/>
    </row>
    <row r="55" spans="1:20" x14ac:dyDescent="0.35">
      <c r="A55" s="65" t="s">
        <v>53</v>
      </c>
      <c r="B55" s="2">
        <v>40914</v>
      </c>
      <c r="C55" s="2"/>
      <c r="H55" s="13"/>
      <c r="I55" s="13"/>
      <c r="J55" s="13"/>
      <c r="K55" s="18" t="s">
        <v>16</v>
      </c>
      <c r="L55" s="20" t="s">
        <v>8</v>
      </c>
      <c r="M55" s="13"/>
      <c r="N55" s="12"/>
      <c r="O55" s="12"/>
      <c r="P55" s="13"/>
      <c r="S55" s="66"/>
      <c r="T55" s="120"/>
    </row>
    <row r="56" spans="1:20" x14ac:dyDescent="0.35">
      <c r="A56" s="65" t="s">
        <v>54</v>
      </c>
      <c r="B56" s="2">
        <v>40915</v>
      </c>
      <c r="C56" s="2"/>
      <c r="D56" s="15" t="s">
        <v>18</v>
      </c>
      <c r="E56" s="15" t="s">
        <v>18</v>
      </c>
      <c r="F56" s="13"/>
      <c r="G56" s="13"/>
      <c r="J56" s="13"/>
      <c r="K56" s="13"/>
      <c r="L56" s="13"/>
      <c r="M56" s="13"/>
      <c r="N56" s="21" t="s">
        <v>17</v>
      </c>
      <c r="O56" s="12"/>
      <c r="P56" s="13"/>
      <c r="S56" s="66"/>
      <c r="T56" s="120"/>
    </row>
    <row r="57" spans="1:20" x14ac:dyDescent="0.35">
      <c r="A57" s="65" t="s">
        <v>55</v>
      </c>
      <c r="B57" s="2">
        <v>40916</v>
      </c>
      <c r="C57" s="2"/>
      <c r="F57" s="13"/>
      <c r="G57" s="13"/>
      <c r="J57" s="13"/>
      <c r="K57" s="13"/>
      <c r="L57" s="13"/>
      <c r="M57" s="20" t="s">
        <v>8</v>
      </c>
      <c r="N57" s="12"/>
      <c r="P57" s="13"/>
      <c r="S57" s="66"/>
      <c r="T57" s="120"/>
    </row>
    <row r="58" spans="1:20" x14ac:dyDescent="0.35">
      <c r="A58" s="65" t="s">
        <v>56</v>
      </c>
      <c r="B58" s="2">
        <v>40917</v>
      </c>
      <c r="C58" s="2"/>
      <c r="F58" s="13"/>
      <c r="G58" s="13"/>
      <c r="H58" s="13"/>
      <c r="I58" s="13"/>
      <c r="L58" s="13"/>
      <c r="M58" s="13"/>
      <c r="O58" s="21" t="s">
        <v>10</v>
      </c>
      <c r="P58" s="13"/>
      <c r="Q58" s="19" t="s">
        <v>5</v>
      </c>
      <c r="S58" s="66"/>
      <c r="T58" s="120"/>
    </row>
    <row r="59" spans="1:20" x14ac:dyDescent="0.35">
      <c r="A59" s="65" t="s">
        <v>57</v>
      </c>
      <c r="B59" s="2">
        <v>40918</v>
      </c>
      <c r="C59" s="2"/>
      <c r="D59" s="13"/>
      <c r="E59" s="13"/>
      <c r="F59" s="16" t="s">
        <v>10</v>
      </c>
      <c r="G59" s="16" t="s">
        <v>10</v>
      </c>
      <c r="H59" s="13"/>
      <c r="I59" s="13"/>
      <c r="L59" s="13"/>
      <c r="M59" s="13"/>
      <c r="O59" s="12"/>
      <c r="P59" s="13"/>
      <c r="Q59" s="19" t="s">
        <v>6</v>
      </c>
      <c r="S59" s="66"/>
      <c r="T59" s="120"/>
    </row>
    <row r="60" spans="1:20" x14ac:dyDescent="0.35">
      <c r="A60" s="65" t="s">
        <v>58</v>
      </c>
      <c r="B60" s="2">
        <v>40919</v>
      </c>
      <c r="C60" s="2"/>
      <c r="F60" s="13"/>
      <c r="G60" s="13"/>
      <c r="J60" s="18" t="s">
        <v>10</v>
      </c>
      <c r="K60" s="13"/>
      <c r="M60" s="13"/>
      <c r="N60" s="21" t="s">
        <v>13</v>
      </c>
      <c r="O60" s="12"/>
      <c r="P60" s="13"/>
      <c r="Q60" s="19" t="s">
        <v>7</v>
      </c>
      <c r="S60" s="66"/>
      <c r="T60" s="120"/>
    </row>
    <row r="61" spans="1:20" x14ac:dyDescent="0.35">
      <c r="A61" s="65" t="s">
        <v>52</v>
      </c>
      <c r="B61" s="2">
        <v>40920</v>
      </c>
      <c r="C61" s="2"/>
      <c r="D61" s="13"/>
      <c r="E61" s="13"/>
      <c r="J61" s="13"/>
      <c r="K61" s="18" t="s">
        <v>10</v>
      </c>
      <c r="L61" s="20" t="s">
        <v>10</v>
      </c>
      <c r="O61" s="12"/>
      <c r="P61" s="13"/>
      <c r="S61" s="66"/>
      <c r="T61" s="120"/>
    </row>
    <row r="62" spans="1:20" x14ac:dyDescent="0.35">
      <c r="A62" s="65" t="s">
        <v>53</v>
      </c>
      <c r="B62" s="2">
        <v>40921</v>
      </c>
      <c r="C62" s="2"/>
      <c r="F62" s="16" t="s">
        <v>12</v>
      </c>
      <c r="G62" s="16" t="s">
        <v>12</v>
      </c>
      <c r="H62" s="13"/>
      <c r="I62" s="13"/>
      <c r="O62" s="21" t="s">
        <v>17</v>
      </c>
      <c r="P62" s="13"/>
      <c r="Q62" s="19" t="s">
        <v>8</v>
      </c>
      <c r="S62" s="66"/>
      <c r="T62" s="120"/>
    </row>
    <row r="63" spans="1:20" x14ac:dyDescent="0.35">
      <c r="A63" s="65" t="s">
        <v>54</v>
      </c>
      <c r="B63" s="2">
        <v>40922</v>
      </c>
      <c r="C63" s="2"/>
      <c r="D63" s="13"/>
      <c r="E63" s="13"/>
      <c r="F63" s="13"/>
      <c r="G63" s="13"/>
      <c r="H63" s="17" t="s">
        <v>10</v>
      </c>
      <c r="I63" s="17" t="s">
        <v>18</v>
      </c>
      <c r="L63" s="20" t="s">
        <v>12</v>
      </c>
      <c r="M63" s="20" t="s">
        <v>10</v>
      </c>
      <c r="O63" s="12"/>
      <c r="P63" s="13"/>
      <c r="S63" s="66"/>
      <c r="T63" s="120"/>
    </row>
    <row r="64" spans="1:20" x14ac:dyDescent="0.35">
      <c r="A64" s="65" t="s">
        <v>55</v>
      </c>
      <c r="B64" s="2">
        <v>40923</v>
      </c>
      <c r="C64" s="2"/>
      <c r="N64" s="12"/>
      <c r="P64" s="13"/>
      <c r="Q64" s="19" t="s">
        <v>10</v>
      </c>
      <c r="S64" s="66"/>
      <c r="T64" s="120"/>
    </row>
    <row r="65" spans="1:20" x14ac:dyDescent="0.35">
      <c r="A65" s="65" t="s">
        <v>56</v>
      </c>
      <c r="B65" s="2">
        <v>40924</v>
      </c>
      <c r="C65" s="2"/>
      <c r="F65" s="13"/>
      <c r="G65" s="13"/>
      <c r="H65" s="17" t="s">
        <v>17</v>
      </c>
      <c r="I65" s="17" t="s">
        <v>12</v>
      </c>
      <c r="M65" s="20" t="s">
        <v>12</v>
      </c>
      <c r="P65" s="13"/>
      <c r="S65" s="66"/>
      <c r="T65" s="120"/>
    </row>
    <row r="66" spans="1:20" x14ac:dyDescent="0.35">
      <c r="A66" s="65" t="s">
        <v>57</v>
      </c>
      <c r="B66" s="2">
        <v>40925</v>
      </c>
      <c r="C66" s="2"/>
      <c r="M66" s="13"/>
      <c r="O66" s="21" t="s">
        <v>13</v>
      </c>
      <c r="P66" s="13"/>
      <c r="Q66" s="19" t="s">
        <v>12</v>
      </c>
      <c r="S66" s="66"/>
      <c r="T66" s="120"/>
    </row>
    <row r="67" spans="1:20" x14ac:dyDescent="0.35">
      <c r="A67" s="65" t="s">
        <v>58</v>
      </c>
      <c r="B67" s="2">
        <v>40926</v>
      </c>
      <c r="C67" s="2"/>
      <c r="D67" s="15" t="s">
        <v>17</v>
      </c>
      <c r="E67" s="15" t="s">
        <v>17</v>
      </c>
      <c r="H67" s="13"/>
      <c r="I67" s="13"/>
      <c r="N67" s="21" t="s">
        <v>11</v>
      </c>
      <c r="P67" s="13"/>
      <c r="S67" s="66"/>
      <c r="T67" s="120"/>
    </row>
    <row r="68" spans="1:20" x14ac:dyDescent="0.35">
      <c r="A68" s="65" t="s">
        <v>52</v>
      </c>
      <c r="B68" s="2">
        <v>40927</v>
      </c>
      <c r="C68" s="2"/>
      <c r="L68" s="13"/>
      <c r="P68" s="13"/>
      <c r="Q68" s="19" t="s">
        <v>13</v>
      </c>
      <c r="S68" s="66"/>
      <c r="T68" s="120"/>
    </row>
    <row r="69" spans="1:20" x14ac:dyDescent="0.35">
      <c r="A69" s="65" t="s">
        <v>53</v>
      </c>
      <c r="B69" s="2">
        <v>40928</v>
      </c>
      <c r="C69" s="2"/>
      <c r="F69" s="16" t="s">
        <v>13</v>
      </c>
      <c r="G69" s="16" t="s">
        <v>13</v>
      </c>
      <c r="J69" s="18" t="s">
        <v>12</v>
      </c>
      <c r="P69" s="13"/>
      <c r="S69" s="66"/>
      <c r="T69" s="120"/>
    </row>
    <row r="70" spans="1:20" x14ac:dyDescent="0.35">
      <c r="A70" s="65" t="s">
        <v>54</v>
      </c>
      <c r="B70" s="2">
        <v>40929</v>
      </c>
      <c r="C70" s="2"/>
      <c r="K70" s="18" t="s">
        <v>12</v>
      </c>
      <c r="L70" s="13"/>
      <c r="M70" s="13"/>
      <c r="O70" s="12"/>
      <c r="P70" s="13"/>
      <c r="S70" s="66"/>
      <c r="T70" s="120"/>
    </row>
    <row r="71" spans="1:20" x14ac:dyDescent="0.35">
      <c r="A71" s="65" t="s">
        <v>55</v>
      </c>
      <c r="B71" s="2">
        <v>40930</v>
      </c>
      <c r="C71" s="2"/>
      <c r="N71" s="12"/>
      <c r="P71" s="13"/>
      <c r="Q71" s="19" t="s">
        <v>11</v>
      </c>
      <c r="S71" s="66"/>
      <c r="T71" s="120"/>
    </row>
    <row r="72" spans="1:20" x14ac:dyDescent="0.35">
      <c r="A72" s="65" t="s">
        <v>56</v>
      </c>
      <c r="B72" s="2">
        <v>40931</v>
      </c>
      <c r="C72" s="2"/>
      <c r="M72" s="13"/>
      <c r="P72" s="13"/>
      <c r="Q72" s="19" t="s">
        <v>14</v>
      </c>
      <c r="S72" s="66"/>
      <c r="T72" s="120"/>
    </row>
    <row r="73" spans="1:20" x14ac:dyDescent="0.35">
      <c r="A73" s="65" t="s">
        <v>57</v>
      </c>
      <c r="B73" s="2">
        <v>40932</v>
      </c>
      <c r="C73" s="2"/>
      <c r="F73" s="13"/>
      <c r="G73" s="13"/>
      <c r="N73" s="21" t="s">
        <v>14</v>
      </c>
      <c r="O73" s="21" t="s">
        <v>11</v>
      </c>
      <c r="P73" s="13"/>
      <c r="Q73" s="13"/>
      <c r="S73" s="66"/>
      <c r="T73" s="120"/>
    </row>
    <row r="74" spans="1:20" x14ac:dyDescent="0.35">
      <c r="A74" s="65" t="s">
        <v>58</v>
      </c>
      <c r="B74" s="2">
        <v>40933</v>
      </c>
      <c r="C74" s="2"/>
      <c r="D74" s="15" t="s">
        <v>13</v>
      </c>
      <c r="E74" s="15" t="s">
        <v>13</v>
      </c>
      <c r="H74" s="13"/>
      <c r="I74" s="13"/>
      <c r="J74" s="13"/>
      <c r="L74" s="13"/>
      <c r="N74" s="12"/>
      <c r="P74" s="13"/>
      <c r="Q74" s="13"/>
      <c r="S74" s="66"/>
      <c r="T74" s="120"/>
    </row>
    <row r="75" spans="1:20" x14ac:dyDescent="0.35">
      <c r="A75" s="65" t="s">
        <v>52</v>
      </c>
      <c r="B75" s="2">
        <v>40934</v>
      </c>
      <c r="C75" s="2"/>
      <c r="H75" s="13"/>
      <c r="I75" s="13"/>
      <c r="N75" s="12"/>
      <c r="P75" s="13"/>
      <c r="Q75" s="13"/>
      <c r="S75" s="66"/>
      <c r="T75" s="120"/>
    </row>
    <row r="76" spans="1:20" x14ac:dyDescent="0.35">
      <c r="A76" s="65" t="s">
        <v>53</v>
      </c>
      <c r="B76" s="2">
        <v>40935</v>
      </c>
      <c r="C76" s="2"/>
      <c r="F76" s="16" t="s">
        <v>20</v>
      </c>
      <c r="G76" s="16" t="s">
        <v>20</v>
      </c>
      <c r="H76" s="13"/>
      <c r="I76" s="13"/>
      <c r="N76" s="12"/>
      <c r="P76" s="13"/>
      <c r="Q76" s="13"/>
      <c r="S76" s="66"/>
      <c r="T76" s="120"/>
    </row>
    <row r="77" spans="1:20" x14ac:dyDescent="0.35">
      <c r="A77" s="65" t="s">
        <v>54</v>
      </c>
      <c r="B77" s="2">
        <v>40936</v>
      </c>
      <c r="C77" s="2"/>
      <c r="F77" s="13"/>
      <c r="G77" s="13"/>
      <c r="N77" s="12"/>
      <c r="O77" s="12"/>
      <c r="P77" s="13"/>
      <c r="Q77" s="13"/>
      <c r="S77" s="66"/>
      <c r="T77" s="120"/>
    </row>
    <row r="78" spans="1:20" x14ac:dyDescent="0.35">
      <c r="A78" s="65" t="s">
        <v>55</v>
      </c>
      <c r="B78" s="2">
        <v>40937</v>
      </c>
      <c r="C78" s="2"/>
      <c r="D78" s="13"/>
      <c r="E78" s="13"/>
      <c r="F78" s="13"/>
      <c r="G78" s="13"/>
      <c r="H78" s="13"/>
      <c r="I78" s="13"/>
      <c r="N78" s="12"/>
      <c r="P78" s="13"/>
      <c r="Q78" s="13"/>
      <c r="S78" s="66"/>
      <c r="T78" s="120"/>
    </row>
    <row r="79" spans="1:20" x14ac:dyDescent="0.35">
      <c r="A79" s="65" t="s">
        <v>56</v>
      </c>
      <c r="B79" s="2">
        <v>40938</v>
      </c>
      <c r="C79" s="2"/>
      <c r="D79" s="15" t="s">
        <v>20</v>
      </c>
      <c r="E79" s="15" t="s">
        <v>20</v>
      </c>
      <c r="H79" s="13"/>
      <c r="I79" s="13"/>
      <c r="N79" s="12"/>
      <c r="O79" s="21" t="s">
        <v>14</v>
      </c>
      <c r="P79" s="13"/>
      <c r="Q79" s="13"/>
      <c r="S79" s="66"/>
      <c r="T79" s="120"/>
    </row>
    <row r="80" spans="1:20" x14ac:dyDescent="0.35">
      <c r="A80" s="65" t="s">
        <v>57</v>
      </c>
      <c r="B80" s="2">
        <v>40939</v>
      </c>
      <c r="C80" s="2"/>
      <c r="F80" s="13"/>
      <c r="G80" s="13"/>
      <c r="N80" s="12"/>
      <c r="O80" s="12"/>
      <c r="P80" s="13"/>
      <c r="Q80" s="13"/>
      <c r="S80" s="66"/>
      <c r="T80" s="120"/>
    </row>
    <row r="81" spans="1:20" x14ac:dyDescent="0.35">
      <c r="A81" s="65" t="s">
        <v>58</v>
      </c>
      <c r="B81" s="2">
        <v>40940</v>
      </c>
      <c r="C81" s="2"/>
      <c r="S81" s="66"/>
      <c r="T81" s="120"/>
    </row>
    <row r="82" spans="1:20" x14ac:dyDescent="0.35">
      <c r="A82" s="65" t="s">
        <v>52</v>
      </c>
      <c r="B82" s="2">
        <v>40941</v>
      </c>
      <c r="C82" s="2"/>
      <c r="S82" s="66"/>
      <c r="T82" s="120"/>
    </row>
    <row r="83" spans="1:20" x14ac:dyDescent="0.35">
      <c r="A83" s="65" t="s">
        <v>53</v>
      </c>
      <c r="B83" s="2">
        <v>40942</v>
      </c>
      <c r="C83" s="2"/>
      <c r="L83" s="20" t="s">
        <v>19</v>
      </c>
      <c r="S83" s="66"/>
      <c r="T83" s="120"/>
    </row>
    <row r="84" spans="1:20" x14ac:dyDescent="0.35">
      <c r="A84" s="65" t="s">
        <v>54</v>
      </c>
      <c r="B84" s="2">
        <v>40943</v>
      </c>
      <c r="C84" s="2"/>
      <c r="S84" s="66"/>
      <c r="T84" s="120"/>
    </row>
    <row r="85" spans="1:20" x14ac:dyDescent="0.35">
      <c r="A85" s="65" t="s">
        <v>55</v>
      </c>
      <c r="B85" s="2">
        <v>40944</v>
      </c>
      <c r="C85" s="2"/>
      <c r="L85" s="20" t="s">
        <v>20</v>
      </c>
      <c r="M85" s="20" t="s">
        <v>19</v>
      </c>
      <c r="S85" s="66"/>
      <c r="T85" s="120"/>
    </row>
    <row r="86" spans="1:20" x14ac:dyDescent="0.35">
      <c r="A86" s="65" t="s">
        <v>56</v>
      </c>
      <c r="B86" s="2">
        <v>40945</v>
      </c>
      <c r="C86" s="2"/>
      <c r="S86" s="66"/>
      <c r="T86" s="120"/>
    </row>
    <row r="87" spans="1:20" x14ac:dyDescent="0.35">
      <c r="A87" s="65" t="s">
        <v>57</v>
      </c>
      <c r="B87" s="2">
        <v>40946</v>
      </c>
      <c r="C87" s="2"/>
      <c r="J87" s="18" t="s">
        <v>19</v>
      </c>
      <c r="M87" s="20" t="s">
        <v>20</v>
      </c>
      <c r="S87" s="66"/>
      <c r="T87" s="120"/>
    </row>
    <row r="88" spans="1:20" x14ac:dyDescent="0.35">
      <c r="A88" s="65" t="s">
        <v>58</v>
      </c>
      <c r="B88" s="2">
        <v>40947</v>
      </c>
      <c r="C88" s="2"/>
      <c r="J88" s="18" t="s">
        <v>11</v>
      </c>
      <c r="K88" s="18" t="s">
        <v>19</v>
      </c>
      <c r="L88" s="13"/>
      <c r="S88" s="66"/>
      <c r="T88" s="120"/>
    </row>
    <row r="89" spans="1:20" x14ac:dyDescent="0.35">
      <c r="A89" s="65" t="s">
        <v>52</v>
      </c>
      <c r="B89" s="2">
        <v>40948</v>
      </c>
      <c r="C89" s="2"/>
      <c r="H89" s="17" t="s">
        <v>13</v>
      </c>
      <c r="I89" s="17" t="s">
        <v>19</v>
      </c>
      <c r="J89" s="13"/>
      <c r="K89" s="18" t="s">
        <v>11</v>
      </c>
      <c r="S89" s="66"/>
      <c r="T89" s="120"/>
    </row>
    <row r="90" spans="1:20" x14ac:dyDescent="0.35">
      <c r="A90" s="65" t="s">
        <v>53</v>
      </c>
      <c r="B90" s="2">
        <v>40949</v>
      </c>
      <c r="C90" s="2"/>
      <c r="F90" s="16" t="s">
        <v>14</v>
      </c>
      <c r="G90" s="16" t="s">
        <v>14</v>
      </c>
      <c r="J90" s="18" t="s">
        <v>21</v>
      </c>
      <c r="K90" s="13"/>
      <c r="L90" s="20" t="s">
        <v>21</v>
      </c>
      <c r="S90" s="66"/>
      <c r="T90" s="120"/>
    </row>
    <row r="91" spans="1:20" x14ac:dyDescent="0.35">
      <c r="A91" s="65" t="s">
        <v>54</v>
      </c>
      <c r="B91" s="2">
        <v>40950</v>
      </c>
      <c r="C91" s="2"/>
      <c r="K91" s="18" t="s">
        <v>21</v>
      </c>
      <c r="S91" s="66"/>
      <c r="T91" s="120"/>
    </row>
    <row r="92" spans="1:20" x14ac:dyDescent="0.35">
      <c r="A92" s="65" t="s">
        <v>55</v>
      </c>
      <c r="B92" s="2">
        <v>40951</v>
      </c>
      <c r="C92" s="2"/>
      <c r="D92" s="15" t="s">
        <v>14</v>
      </c>
      <c r="E92" s="15" t="s">
        <v>14</v>
      </c>
      <c r="M92" s="20" t="s">
        <v>21</v>
      </c>
      <c r="S92" s="66"/>
      <c r="T92" s="120"/>
    </row>
    <row r="93" spans="1:20" x14ac:dyDescent="0.35">
      <c r="A93" s="65" t="s">
        <v>56</v>
      </c>
      <c r="B93" s="2">
        <v>40952</v>
      </c>
      <c r="C93" s="2"/>
      <c r="H93" s="17" t="s">
        <v>20</v>
      </c>
      <c r="I93" s="17" t="s">
        <v>11</v>
      </c>
      <c r="S93" s="66"/>
      <c r="T93" s="120"/>
    </row>
    <row r="94" spans="1:20" ht="15" thickBot="1" x14ac:dyDescent="0.4">
      <c r="A94" s="67"/>
      <c r="B94" s="76"/>
      <c r="C94" s="76"/>
      <c r="D94" s="74"/>
      <c r="E94" s="74"/>
      <c r="F94" s="74"/>
      <c r="G94" s="74"/>
      <c r="H94" s="77"/>
      <c r="I94" s="77"/>
      <c r="J94" s="74"/>
      <c r="K94" s="74"/>
      <c r="L94" s="74"/>
      <c r="M94" s="74"/>
      <c r="N94" s="74"/>
      <c r="O94" s="74"/>
      <c r="P94" s="74"/>
      <c r="Q94" s="74"/>
      <c r="R94" s="74"/>
      <c r="S94" s="68"/>
      <c r="T94" s="120"/>
    </row>
    <row r="95" spans="1:20" ht="15" thickBot="1" x14ac:dyDescent="0.4">
      <c r="A95" s="115"/>
      <c r="B95" s="116"/>
      <c r="C95" s="116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/>
    </row>
  </sheetData>
  <mergeCells count="3">
    <mergeCell ref="E1:F1"/>
    <mergeCell ref="D13:E13"/>
    <mergeCell ref="D14:E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6"/>
  <dimension ref="A1:AE95"/>
  <sheetViews>
    <sheetView topLeftCell="A13" zoomScale="90" zoomScaleNormal="90" workbookViewId="0">
      <selection activeCell="A19" sqref="A19:A93"/>
    </sheetView>
  </sheetViews>
  <sheetFormatPr defaultRowHeight="14.5" x14ac:dyDescent="0.35"/>
  <cols>
    <col min="1" max="1" width="13" customWidth="1"/>
    <col min="2" max="3" width="9.08984375" style="1" customWidth="1"/>
    <col min="4" max="17" width="12.6328125" customWidth="1"/>
    <col min="24" max="24" width="12.54296875" bestFit="1" customWidth="1"/>
    <col min="25" max="26" width="12.54296875" customWidth="1"/>
    <col min="27" max="27" width="13.6328125" customWidth="1"/>
    <col min="28" max="28" width="15.453125" customWidth="1"/>
    <col min="29" max="30" width="3" customWidth="1"/>
    <col min="31" max="31" width="12" bestFit="1" customWidth="1"/>
  </cols>
  <sheetData>
    <row r="1" spans="1:19" x14ac:dyDescent="0.35">
      <c r="E1" s="358"/>
      <c r="F1" s="358"/>
    </row>
    <row r="2" spans="1:19" x14ac:dyDescent="0.35">
      <c r="E2" s="26"/>
      <c r="F2" s="26"/>
    </row>
    <row r="3" spans="1:19" x14ac:dyDescent="0.35">
      <c r="D3" s="186" t="s">
        <v>89</v>
      </c>
      <c r="E3" s="26"/>
      <c r="F3" s="26"/>
    </row>
    <row r="4" spans="1:19" x14ac:dyDescent="0.35">
      <c r="C4" s="236"/>
      <c r="D4" s="7" t="s">
        <v>133</v>
      </c>
      <c r="E4" s="26"/>
      <c r="F4" s="26" t="s">
        <v>134</v>
      </c>
    </row>
    <row r="5" spans="1:19" x14ac:dyDescent="0.35">
      <c r="C5" s="237"/>
      <c r="D5" s="9" t="s">
        <v>43</v>
      </c>
      <c r="E5" s="26"/>
      <c r="F5" s="26"/>
    </row>
    <row r="6" spans="1:19" x14ac:dyDescent="0.35">
      <c r="C6" s="238"/>
      <c r="D6" s="9" t="s">
        <v>44</v>
      </c>
      <c r="E6" s="26"/>
      <c r="F6" s="26"/>
    </row>
    <row r="7" spans="1:19" x14ac:dyDescent="0.35">
      <c r="C7" s="239"/>
      <c r="D7" s="9" t="s">
        <v>45</v>
      </c>
      <c r="E7" s="26"/>
      <c r="F7" s="26"/>
    </row>
    <row r="8" spans="1:19" x14ac:dyDescent="0.35">
      <c r="C8" s="240"/>
      <c r="D8" s="9" t="s">
        <v>46</v>
      </c>
      <c r="E8" s="26"/>
      <c r="F8" s="26"/>
    </row>
    <row r="9" spans="1:19" x14ac:dyDescent="0.35">
      <c r="C9" s="241"/>
      <c r="D9" s="9" t="s">
        <v>48</v>
      </c>
      <c r="E9" s="26"/>
      <c r="F9" s="26"/>
    </row>
    <row r="10" spans="1:19" x14ac:dyDescent="0.35">
      <c r="C10" s="242"/>
      <c r="D10" s="8" t="s">
        <v>49</v>
      </c>
      <c r="E10" s="26"/>
      <c r="F10" s="26"/>
    </row>
    <row r="11" spans="1:19" x14ac:dyDescent="0.35">
      <c r="C11" s="243" t="s">
        <v>135</v>
      </c>
      <c r="D11" s="50"/>
      <c r="E11" s="149"/>
      <c r="F11" s="41"/>
      <c r="G11" s="51"/>
    </row>
    <row r="12" spans="1:19" x14ac:dyDescent="0.35">
      <c r="C12" s="243" t="s">
        <v>136</v>
      </c>
      <c r="D12" s="50"/>
      <c r="E12" s="150"/>
      <c r="F12" s="26"/>
    </row>
    <row r="13" spans="1:19" ht="15" thickBot="1" x14ac:dyDescent="0.4">
      <c r="D13" s="390"/>
      <c r="E13" s="390"/>
    </row>
    <row r="14" spans="1:19" ht="15" thickBot="1" x14ac:dyDescent="0.4">
      <c r="A14" s="121"/>
      <c r="B14" s="122"/>
      <c r="C14" s="122"/>
      <c r="D14" s="402"/>
      <c r="E14" s="402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</row>
    <row r="15" spans="1:19" x14ac:dyDescent="0.35">
      <c r="A15" s="69"/>
      <c r="B15" s="70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2"/>
    </row>
    <row r="16" spans="1:19" x14ac:dyDescent="0.35">
      <c r="A16" s="65"/>
      <c r="B16" s="124"/>
      <c r="D16" s="224" t="s">
        <v>41</v>
      </c>
      <c r="E16" s="224" t="s">
        <v>29</v>
      </c>
      <c r="F16" s="226" t="s">
        <v>41</v>
      </c>
      <c r="G16" s="226" t="s">
        <v>29</v>
      </c>
      <c r="H16" s="228" t="s">
        <v>41</v>
      </c>
      <c r="I16" s="228" t="s">
        <v>29</v>
      </c>
      <c r="J16" s="230" t="s">
        <v>41</v>
      </c>
      <c r="K16" s="230" t="s">
        <v>29</v>
      </c>
      <c r="L16" s="232" t="s">
        <v>41</v>
      </c>
      <c r="M16" s="232" t="s">
        <v>29</v>
      </c>
      <c r="N16" s="140" t="s">
        <v>41</v>
      </c>
      <c r="O16" s="140" t="s">
        <v>29</v>
      </c>
      <c r="P16" s="234" t="s">
        <v>41</v>
      </c>
      <c r="Q16" s="234" t="s">
        <v>29</v>
      </c>
      <c r="S16" s="66"/>
    </row>
    <row r="17" spans="1:31" x14ac:dyDescent="0.35">
      <c r="A17" s="65"/>
      <c r="B17" s="124"/>
      <c r="D17" s="225" t="s">
        <v>42</v>
      </c>
      <c r="E17" s="225" t="s">
        <v>42</v>
      </c>
      <c r="F17" s="227" t="s">
        <v>43</v>
      </c>
      <c r="G17" s="227" t="s">
        <v>43</v>
      </c>
      <c r="H17" s="229" t="s">
        <v>44</v>
      </c>
      <c r="I17" s="229" t="s">
        <v>44</v>
      </c>
      <c r="J17" s="231" t="s">
        <v>45</v>
      </c>
      <c r="K17" s="231" t="s">
        <v>45</v>
      </c>
      <c r="L17" s="233" t="s">
        <v>46</v>
      </c>
      <c r="M17" s="233" t="s">
        <v>46</v>
      </c>
      <c r="N17" s="90" t="s">
        <v>47</v>
      </c>
      <c r="O17" s="90" t="s">
        <v>48</v>
      </c>
      <c r="P17" s="235" t="s">
        <v>49</v>
      </c>
      <c r="Q17" s="235" t="s">
        <v>49</v>
      </c>
      <c r="R17" s="14"/>
      <c r="S17" s="75"/>
      <c r="U17" s="390" t="s">
        <v>176</v>
      </c>
      <c r="V17" s="390"/>
      <c r="W17" s="390" t="s">
        <v>177</v>
      </c>
      <c r="X17" s="390"/>
    </row>
    <row r="18" spans="1:31" x14ac:dyDescent="0.35">
      <c r="A18" s="73" t="s">
        <v>51</v>
      </c>
      <c r="B18" s="4" t="s">
        <v>50</v>
      </c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273" t="s">
        <v>50</v>
      </c>
      <c r="S18" s="273" t="s">
        <v>167</v>
      </c>
      <c r="T18" s="61" t="s">
        <v>168</v>
      </c>
      <c r="U18" s="61" t="s">
        <v>169</v>
      </c>
      <c r="V18" s="61" t="s">
        <v>167</v>
      </c>
      <c r="W18" s="61" t="s">
        <v>178</v>
      </c>
      <c r="X18" s="61" t="s">
        <v>179</v>
      </c>
      <c r="AA18" s="274" t="s">
        <v>173</v>
      </c>
    </row>
    <row r="19" spans="1:31" x14ac:dyDescent="0.35">
      <c r="A19" s="65" t="s">
        <v>52</v>
      </c>
      <c r="B19" s="2">
        <v>40878</v>
      </c>
      <c r="C19" s="2"/>
      <c r="F19" s="13"/>
      <c r="G19" s="13"/>
      <c r="H19" s="13"/>
      <c r="I19" s="13"/>
      <c r="J19" s="18"/>
      <c r="K19" s="62">
        <v>1670</v>
      </c>
      <c r="L19" s="13"/>
      <c r="M19" s="13"/>
      <c r="N19" s="21"/>
      <c r="O19" s="62">
        <v>1780</v>
      </c>
      <c r="P19" s="13"/>
      <c r="Q19" s="13"/>
      <c r="R19" s="25">
        <f>B19-$B$19</f>
        <v>0</v>
      </c>
      <c r="S19">
        <f t="shared" ref="S19:S50" si="0">IFERROR(AVERAGE(E19:Q19),"")</f>
        <v>1725</v>
      </c>
      <c r="Z19" s="274" t="s">
        <v>170</v>
      </c>
      <c r="AA19" t="s">
        <v>175</v>
      </c>
      <c r="AB19" t="s">
        <v>174</v>
      </c>
    </row>
    <row r="20" spans="1:31" x14ac:dyDescent="0.35">
      <c r="A20" s="65" t="s">
        <v>53</v>
      </c>
      <c r="B20" s="2">
        <v>40879</v>
      </c>
      <c r="C20" s="2"/>
      <c r="D20" s="15"/>
      <c r="E20" s="15">
        <v>1405</v>
      </c>
      <c r="H20" s="13"/>
      <c r="I20" s="13"/>
      <c r="J20" s="13"/>
      <c r="L20" s="20"/>
      <c r="M20" s="13">
        <v>1710</v>
      </c>
      <c r="N20" s="12"/>
      <c r="P20" s="13"/>
      <c r="Q20" s="13"/>
      <c r="R20" s="25">
        <f>B20-$B$19</f>
        <v>1</v>
      </c>
      <c r="S20">
        <f t="shared" si="0"/>
        <v>1557.5</v>
      </c>
      <c r="Z20" s="1">
        <v>1</v>
      </c>
      <c r="AA20">
        <v>7</v>
      </c>
      <c r="AB20">
        <v>1653.5714285714287</v>
      </c>
      <c r="AC20">
        <f>Z20</f>
        <v>1</v>
      </c>
      <c r="AD20">
        <f>AA20</f>
        <v>7</v>
      </c>
      <c r="AE20">
        <f>AB20</f>
        <v>1653.5714285714287</v>
      </c>
    </row>
    <row r="21" spans="1:31" x14ac:dyDescent="0.35">
      <c r="A21" s="65" t="s">
        <v>54</v>
      </c>
      <c r="B21" s="2">
        <v>40880</v>
      </c>
      <c r="C21" s="2"/>
      <c r="D21" s="13"/>
      <c r="F21" s="13"/>
      <c r="G21" s="13"/>
      <c r="H21" s="13"/>
      <c r="I21" s="13"/>
      <c r="J21" s="13"/>
      <c r="L21" s="13"/>
      <c r="M21" s="13"/>
      <c r="P21" s="19"/>
      <c r="Q21" s="13">
        <v>1480</v>
      </c>
      <c r="R21" s="25">
        <f t="shared" ref="R21:R84" si="1">B21-$B$19</f>
        <v>2</v>
      </c>
      <c r="S21">
        <f t="shared" si="0"/>
        <v>1480</v>
      </c>
      <c r="Z21" s="1">
        <v>2</v>
      </c>
      <c r="AA21">
        <v>14</v>
      </c>
      <c r="AB21">
        <v>1769.6428571428571</v>
      </c>
      <c r="AC21">
        <f t="shared" ref="AC21:AC29" si="2">Z21</f>
        <v>2</v>
      </c>
      <c r="AD21">
        <f t="shared" ref="AD21:AD29" si="3">AD20+AA21</f>
        <v>21</v>
      </c>
      <c r="AE21">
        <f t="shared" ref="AE21:AE29" si="4">AB21</f>
        <v>1769.6428571428571</v>
      </c>
    </row>
    <row r="22" spans="1:31" x14ac:dyDescent="0.35">
      <c r="A22" s="65" t="s">
        <v>55</v>
      </c>
      <c r="B22" s="2">
        <v>40881</v>
      </c>
      <c r="C22" s="2"/>
      <c r="F22" s="13"/>
      <c r="G22" s="13"/>
      <c r="H22" s="13"/>
      <c r="I22" s="13"/>
      <c r="L22" s="13"/>
      <c r="N22" s="12"/>
      <c r="P22" s="13"/>
      <c r="R22" s="25">
        <f t="shared" si="1"/>
        <v>3</v>
      </c>
      <c r="S22" t="str">
        <f t="shared" si="0"/>
        <v/>
      </c>
      <c r="Z22" s="1">
        <v>3</v>
      </c>
      <c r="AA22">
        <v>11</v>
      </c>
      <c r="AB22">
        <v>1915</v>
      </c>
      <c r="AC22">
        <f t="shared" si="2"/>
        <v>3</v>
      </c>
      <c r="AD22">
        <f t="shared" si="3"/>
        <v>32</v>
      </c>
      <c r="AE22">
        <f t="shared" si="4"/>
        <v>1915</v>
      </c>
    </row>
    <row r="23" spans="1:31" x14ac:dyDescent="0.35">
      <c r="A23" s="65" t="s">
        <v>56</v>
      </c>
      <c r="B23" s="2">
        <v>40882</v>
      </c>
      <c r="C23" s="2"/>
      <c r="L23" s="13"/>
      <c r="N23" s="12"/>
      <c r="R23" s="25">
        <f t="shared" si="1"/>
        <v>4</v>
      </c>
      <c r="S23" t="str">
        <f t="shared" si="0"/>
        <v/>
      </c>
      <c r="Z23" s="1">
        <v>4</v>
      </c>
      <c r="AA23">
        <v>7</v>
      </c>
      <c r="AB23">
        <v>1791.4285714285713</v>
      </c>
      <c r="AC23">
        <f t="shared" si="2"/>
        <v>4</v>
      </c>
      <c r="AD23">
        <f t="shared" si="3"/>
        <v>39</v>
      </c>
      <c r="AE23">
        <f t="shared" si="4"/>
        <v>1791.4285714285713</v>
      </c>
    </row>
    <row r="24" spans="1:31" x14ac:dyDescent="0.35">
      <c r="A24" s="65" t="s">
        <v>57</v>
      </c>
      <c r="B24" s="2">
        <v>40883</v>
      </c>
      <c r="C24" s="2"/>
      <c r="F24" s="13"/>
      <c r="G24" s="13"/>
      <c r="H24" s="13"/>
      <c r="I24" s="13"/>
      <c r="J24" s="13"/>
      <c r="N24" s="12"/>
      <c r="R24" s="25">
        <f t="shared" si="1"/>
        <v>5</v>
      </c>
      <c r="S24" t="str">
        <f t="shared" si="0"/>
        <v/>
      </c>
      <c r="Z24" s="1">
        <v>5</v>
      </c>
      <c r="AA24">
        <v>5</v>
      </c>
      <c r="AB24">
        <v>1737</v>
      </c>
      <c r="AC24">
        <f t="shared" si="2"/>
        <v>5</v>
      </c>
      <c r="AD24">
        <f t="shared" si="3"/>
        <v>44</v>
      </c>
      <c r="AE24">
        <f t="shared" si="4"/>
        <v>1737</v>
      </c>
    </row>
    <row r="25" spans="1:31" x14ac:dyDescent="0.35">
      <c r="A25" s="65" t="s">
        <v>58</v>
      </c>
      <c r="B25" s="2">
        <v>40884</v>
      </c>
      <c r="C25" s="2"/>
      <c r="D25" s="15"/>
      <c r="E25" s="13">
        <v>1840</v>
      </c>
      <c r="F25" s="16"/>
      <c r="G25" s="62">
        <v>1690</v>
      </c>
      <c r="H25" s="13"/>
      <c r="I25" s="13"/>
      <c r="J25" s="13"/>
      <c r="N25" s="12"/>
      <c r="R25" s="25">
        <f t="shared" si="1"/>
        <v>6</v>
      </c>
      <c r="S25">
        <f t="shared" si="0"/>
        <v>1765</v>
      </c>
      <c r="Z25" s="1">
        <v>6</v>
      </c>
      <c r="AA25">
        <v>9</v>
      </c>
      <c r="AB25">
        <v>1847.7777777777778</v>
      </c>
      <c r="AC25">
        <f t="shared" si="2"/>
        <v>6</v>
      </c>
      <c r="AD25">
        <f t="shared" si="3"/>
        <v>53</v>
      </c>
      <c r="AE25">
        <f t="shared" si="4"/>
        <v>1847.7777777777778</v>
      </c>
    </row>
    <row r="26" spans="1:31" x14ac:dyDescent="0.35">
      <c r="A26" s="65" t="s">
        <v>52</v>
      </c>
      <c r="B26" s="2">
        <v>40885</v>
      </c>
      <c r="C26" s="2"/>
      <c r="D26" s="13"/>
      <c r="H26" s="13"/>
      <c r="I26" s="13"/>
      <c r="N26" s="12"/>
      <c r="R26" s="25">
        <f t="shared" si="1"/>
        <v>7</v>
      </c>
      <c r="S26" t="str">
        <f t="shared" si="0"/>
        <v/>
      </c>
      <c r="T26">
        <v>1</v>
      </c>
      <c r="U26">
        <f>COUNT(D19:Q26)</f>
        <v>7</v>
      </c>
      <c r="V26">
        <f>AVERAGE(D19:Q26)</f>
        <v>1653.5714285714287</v>
      </c>
      <c r="W26">
        <f>COUNT(D19:O26)</f>
        <v>6</v>
      </c>
      <c r="X26">
        <f>AVERAGE(D19:O26)</f>
        <v>1682.5</v>
      </c>
      <c r="Z26" s="1">
        <v>7</v>
      </c>
      <c r="AA26">
        <v>7</v>
      </c>
      <c r="AB26">
        <v>1898.5714285714287</v>
      </c>
      <c r="AC26">
        <f t="shared" si="2"/>
        <v>7</v>
      </c>
      <c r="AD26">
        <f t="shared" si="3"/>
        <v>60</v>
      </c>
      <c r="AE26">
        <f t="shared" si="4"/>
        <v>1898.5714285714287</v>
      </c>
    </row>
    <row r="27" spans="1:31" x14ac:dyDescent="0.35">
      <c r="A27" s="65" t="s">
        <v>53</v>
      </c>
      <c r="B27" s="2">
        <v>40886</v>
      </c>
      <c r="C27" s="2"/>
      <c r="F27" s="16"/>
      <c r="G27" s="14">
        <v>1790</v>
      </c>
      <c r="N27" s="21"/>
      <c r="O27" s="14">
        <v>1605</v>
      </c>
      <c r="P27" s="19"/>
      <c r="Q27" s="13">
        <v>1680</v>
      </c>
      <c r="R27" s="25">
        <f t="shared" si="1"/>
        <v>8</v>
      </c>
      <c r="S27">
        <f t="shared" si="0"/>
        <v>1691.6666666666667</v>
      </c>
      <c r="Z27" s="1">
        <v>8</v>
      </c>
      <c r="AA27">
        <v>4</v>
      </c>
      <c r="AB27">
        <v>1856.25</v>
      </c>
      <c r="AC27">
        <f t="shared" si="2"/>
        <v>8</v>
      </c>
      <c r="AD27">
        <f t="shared" si="3"/>
        <v>64</v>
      </c>
      <c r="AE27">
        <f t="shared" si="4"/>
        <v>1856.25</v>
      </c>
    </row>
    <row r="28" spans="1:31" x14ac:dyDescent="0.35">
      <c r="A28" s="65" t="s">
        <v>54</v>
      </c>
      <c r="B28" s="2">
        <v>40887</v>
      </c>
      <c r="C28" s="2"/>
      <c r="D28" s="13"/>
      <c r="F28" s="13"/>
      <c r="H28" s="17"/>
      <c r="I28" s="17">
        <v>1815</v>
      </c>
      <c r="N28" s="12"/>
      <c r="P28" s="19"/>
      <c r="Q28" s="13">
        <v>1770</v>
      </c>
      <c r="R28" s="25">
        <f t="shared" si="1"/>
        <v>9</v>
      </c>
      <c r="S28">
        <f t="shared" si="0"/>
        <v>1792.5</v>
      </c>
      <c r="Z28" s="1">
        <v>9</v>
      </c>
      <c r="AA28">
        <v>2</v>
      </c>
      <c r="AB28">
        <v>1870</v>
      </c>
      <c r="AC28">
        <f t="shared" si="2"/>
        <v>9</v>
      </c>
      <c r="AD28">
        <f t="shared" si="3"/>
        <v>66</v>
      </c>
      <c r="AE28">
        <f t="shared" si="4"/>
        <v>1870</v>
      </c>
    </row>
    <row r="29" spans="1:31" x14ac:dyDescent="0.35">
      <c r="A29" s="65" t="s">
        <v>55</v>
      </c>
      <c r="B29" s="2">
        <v>40888</v>
      </c>
      <c r="C29" s="2"/>
      <c r="D29" s="13"/>
      <c r="H29" s="13"/>
      <c r="J29" s="18"/>
      <c r="K29" s="14">
        <v>1840</v>
      </c>
      <c r="N29" s="12"/>
      <c r="O29" s="12"/>
      <c r="P29" s="19"/>
      <c r="Q29" s="13">
        <v>1440</v>
      </c>
      <c r="R29" s="25">
        <f t="shared" si="1"/>
        <v>10</v>
      </c>
      <c r="S29">
        <f t="shared" si="0"/>
        <v>1640</v>
      </c>
      <c r="Z29" s="1">
        <v>10</v>
      </c>
      <c r="AA29">
        <v>5</v>
      </c>
      <c r="AB29">
        <v>1925</v>
      </c>
      <c r="AC29">
        <f t="shared" si="2"/>
        <v>10</v>
      </c>
      <c r="AD29">
        <f t="shared" si="3"/>
        <v>71</v>
      </c>
      <c r="AE29">
        <f t="shared" si="4"/>
        <v>1925</v>
      </c>
    </row>
    <row r="30" spans="1:31" x14ac:dyDescent="0.35">
      <c r="A30" s="65" t="s">
        <v>56</v>
      </c>
      <c r="B30" s="2">
        <v>40889</v>
      </c>
      <c r="C30" s="2"/>
      <c r="D30" s="13"/>
      <c r="E30" s="13"/>
      <c r="H30" s="13"/>
      <c r="J30" s="13"/>
      <c r="L30" s="20"/>
      <c r="M30" s="13">
        <v>1635</v>
      </c>
      <c r="N30" s="21"/>
      <c r="O30" s="14">
        <v>1870</v>
      </c>
      <c r="R30" s="25">
        <f t="shared" si="1"/>
        <v>11</v>
      </c>
      <c r="S30">
        <f t="shared" si="0"/>
        <v>1752.5</v>
      </c>
      <c r="Z30" s="1">
        <v>10.5</v>
      </c>
      <c r="AA30">
        <v>8</v>
      </c>
      <c r="AB30">
        <v>1915</v>
      </c>
    </row>
    <row r="31" spans="1:31" x14ac:dyDescent="0.35">
      <c r="A31" s="65" t="s">
        <v>57</v>
      </c>
      <c r="B31" s="2">
        <v>40890</v>
      </c>
      <c r="C31" s="2"/>
      <c r="D31" s="13"/>
      <c r="E31" s="13"/>
      <c r="F31" s="13"/>
      <c r="H31" s="17"/>
      <c r="I31" s="13">
        <v>1780</v>
      </c>
      <c r="J31" s="13"/>
      <c r="K31" s="13"/>
      <c r="N31" s="12"/>
      <c r="O31" s="12"/>
      <c r="Q31" s="13"/>
      <c r="R31" s="25">
        <f t="shared" si="1"/>
        <v>12</v>
      </c>
      <c r="S31">
        <f t="shared" si="0"/>
        <v>1780</v>
      </c>
      <c r="Z31" s="1" t="s">
        <v>171</v>
      </c>
    </row>
    <row r="32" spans="1:31" x14ac:dyDescent="0.35">
      <c r="A32" s="65" t="s">
        <v>58</v>
      </c>
      <c r="B32" s="2">
        <v>40891</v>
      </c>
      <c r="C32" s="2"/>
      <c r="D32" s="15"/>
      <c r="E32">
        <v>1830</v>
      </c>
      <c r="F32" s="13"/>
      <c r="H32" s="13"/>
      <c r="L32" s="13"/>
      <c r="M32" s="13"/>
      <c r="N32" s="12"/>
      <c r="O32" s="12"/>
      <c r="P32" s="19"/>
      <c r="Q32" s="13">
        <v>1650</v>
      </c>
      <c r="R32" s="25">
        <f t="shared" si="1"/>
        <v>13</v>
      </c>
      <c r="S32">
        <f t="shared" si="0"/>
        <v>1740</v>
      </c>
      <c r="Z32" s="1" t="s">
        <v>172</v>
      </c>
      <c r="AA32">
        <v>79</v>
      </c>
      <c r="AB32">
        <v>20179.242063492064</v>
      </c>
    </row>
    <row r="33" spans="1:31" x14ac:dyDescent="0.35">
      <c r="A33" s="65" t="s">
        <v>52</v>
      </c>
      <c r="B33" s="2">
        <v>40892</v>
      </c>
      <c r="C33" s="2"/>
      <c r="D33" s="15"/>
      <c r="E33">
        <v>2180</v>
      </c>
      <c r="H33" s="13"/>
      <c r="L33" s="13"/>
      <c r="N33" s="12"/>
      <c r="O33" s="12"/>
      <c r="P33" s="19"/>
      <c r="Q33" s="13">
        <v>1890</v>
      </c>
      <c r="R33" s="25">
        <f t="shared" si="1"/>
        <v>14</v>
      </c>
      <c r="S33">
        <f t="shared" si="0"/>
        <v>2035</v>
      </c>
      <c r="T33">
        <v>2</v>
      </c>
      <c r="U33">
        <f>COUNT(D26:Q33)</f>
        <v>14</v>
      </c>
      <c r="V33">
        <f>AVERAGE(D26:Q33)</f>
        <v>1769.6428571428571</v>
      </c>
      <c r="W33">
        <f>COUNT(D26:O33)</f>
        <v>9</v>
      </c>
      <c r="X33">
        <f>AVERAGE(D26:O33)</f>
        <v>1816.1111111111111</v>
      </c>
    </row>
    <row r="34" spans="1:31" x14ac:dyDescent="0.35">
      <c r="A34" s="65" t="s">
        <v>53</v>
      </c>
      <c r="B34" s="2">
        <v>40893</v>
      </c>
      <c r="C34" s="2"/>
      <c r="J34" s="13"/>
      <c r="K34" s="13"/>
      <c r="L34" s="20"/>
      <c r="M34">
        <v>1950</v>
      </c>
      <c r="N34" s="12"/>
      <c r="O34" s="12"/>
      <c r="R34" s="25">
        <f t="shared" si="1"/>
        <v>15</v>
      </c>
      <c r="S34">
        <f t="shared" si="0"/>
        <v>1950</v>
      </c>
    </row>
    <row r="35" spans="1:31" x14ac:dyDescent="0.35">
      <c r="A35" s="65" t="s">
        <v>54</v>
      </c>
      <c r="B35" s="2">
        <v>40894</v>
      </c>
      <c r="C35" s="2"/>
      <c r="F35" s="13"/>
      <c r="G35" s="13"/>
      <c r="J35" s="13"/>
      <c r="K35" s="13"/>
      <c r="L35" s="13"/>
      <c r="M35" s="13"/>
      <c r="N35" s="12"/>
      <c r="O35" s="12"/>
      <c r="P35" s="19"/>
      <c r="Q35" s="13">
        <v>1815</v>
      </c>
      <c r="R35" s="25">
        <f t="shared" si="1"/>
        <v>16</v>
      </c>
      <c r="S35">
        <f t="shared" si="0"/>
        <v>1815</v>
      </c>
    </row>
    <row r="36" spans="1:31" x14ac:dyDescent="0.35">
      <c r="A36" s="65" t="s">
        <v>55</v>
      </c>
      <c r="B36" s="2">
        <v>40895</v>
      </c>
      <c r="C36" s="2"/>
      <c r="D36" s="13"/>
      <c r="E36" s="13"/>
      <c r="F36" s="13"/>
      <c r="G36" s="13"/>
      <c r="H36" s="13"/>
      <c r="J36" s="13"/>
      <c r="K36" s="13"/>
      <c r="M36" s="13"/>
      <c r="N36" s="12"/>
      <c r="O36" s="12"/>
      <c r="Q36" s="13"/>
      <c r="R36" s="25">
        <f t="shared" si="1"/>
        <v>17</v>
      </c>
      <c r="S36" t="str">
        <f t="shared" si="0"/>
        <v/>
      </c>
      <c r="AA36" s="274" t="s">
        <v>173</v>
      </c>
    </row>
    <row r="37" spans="1:31" x14ac:dyDescent="0.35">
      <c r="A37" s="65" t="s">
        <v>56</v>
      </c>
      <c r="B37" s="2">
        <v>40896</v>
      </c>
      <c r="C37" s="2"/>
      <c r="F37" s="16"/>
      <c r="G37" s="14">
        <v>2070</v>
      </c>
      <c r="H37" s="13"/>
      <c r="I37" s="13"/>
      <c r="N37" s="12"/>
      <c r="O37" s="12"/>
      <c r="P37" s="19"/>
      <c r="Q37" s="13">
        <v>1910</v>
      </c>
      <c r="R37" s="25">
        <f t="shared" si="1"/>
        <v>18</v>
      </c>
      <c r="S37">
        <f t="shared" si="0"/>
        <v>1990</v>
      </c>
      <c r="Z37" s="274" t="s">
        <v>170</v>
      </c>
      <c r="AA37" t="s">
        <v>180</v>
      </c>
      <c r="AB37" t="s">
        <v>181</v>
      </c>
    </row>
    <row r="38" spans="1:31" x14ac:dyDescent="0.35">
      <c r="A38" s="65" t="s">
        <v>57</v>
      </c>
      <c r="B38" s="2">
        <v>40897</v>
      </c>
      <c r="C38" s="2"/>
      <c r="D38" s="13"/>
      <c r="E38" s="13"/>
      <c r="H38" s="17"/>
      <c r="I38" s="13">
        <v>1935</v>
      </c>
      <c r="J38" s="18"/>
      <c r="K38" s="14">
        <v>1930</v>
      </c>
      <c r="N38" s="21"/>
      <c r="O38" s="14">
        <v>2020</v>
      </c>
      <c r="Q38" s="13"/>
      <c r="R38" s="25">
        <f t="shared" si="1"/>
        <v>19</v>
      </c>
      <c r="S38">
        <f t="shared" si="0"/>
        <v>1961.6666666666667</v>
      </c>
      <c r="Z38" s="1">
        <v>1</v>
      </c>
      <c r="AA38">
        <v>6</v>
      </c>
      <c r="AB38">
        <v>1682.5</v>
      </c>
      <c r="AC38">
        <f>Z38</f>
        <v>1</v>
      </c>
      <c r="AD38">
        <f>AA38</f>
        <v>6</v>
      </c>
      <c r="AE38">
        <f>AB38</f>
        <v>1682.5</v>
      </c>
    </row>
    <row r="39" spans="1:31" x14ac:dyDescent="0.35">
      <c r="A39" s="65" t="s">
        <v>58</v>
      </c>
      <c r="B39" s="2">
        <v>40898</v>
      </c>
      <c r="C39" s="2"/>
      <c r="D39" s="13"/>
      <c r="E39" s="13"/>
      <c r="F39" s="16"/>
      <c r="G39" s="14">
        <v>1875</v>
      </c>
      <c r="N39" s="12"/>
      <c r="O39" s="12"/>
      <c r="Q39" s="13"/>
      <c r="R39" s="25">
        <f t="shared" si="1"/>
        <v>20</v>
      </c>
      <c r="S39">
        <f t="shared" si="0"/>
        <v>1875</v>
      </c>
      <c r="Z39" s="1">
        <v>2</v>
      </c>
      <c r="AA39">
        <v>9</v>
      </c>
      <c r="AB39">
        <v>1816.1111111111111</v>
      </c>
      <c r="AC39">
        <f t="shared" ref="AC39:AC47" si="5">Z39</f>
        <v>2</v>
      </c>
      <c r="AD39">
        <f t="shared" ref="AD39:AD47" si="6">AD38+AA39</f>
        <v>15</v>
      </c>
      <c r="AE39">
        <f t="shared" ref="AE39:AE47" si="7">AB39</f>
        <v>1816.1111111111111</v>
      </c>
    </row>
    <row r="40" spans="1:31" x14ac:dyDescent="0.35">
      <c r="A40" s="65" t="s">
        <v>52</v>
      </c>
      <c r="B40" s="2">
        <v>40899</v>
      </c>
      <c r="C40" s="2"/>
      <c r="D40" s="13"/>
      <c r="E40" s="13"/>
      <c r="F40" s="13"/>
      <c r="G40" s="13"/>
      <c r="H40" s="13"/>
      <c r="I40" s="13"/>
      <c r="O40" s="12"/>
      <c r="P40" s="19"/>
      <c r="Q40" s="13">
        <v>1490</v>
      </c>
      <c r="R40" s="25">
        <f t="shared" si="1"/>
        <v>21</v>
      </c>
      <c r="S40">
        <f t="shared" si="0"/>
        <v>1490</v>
      </c>
      <c r="T40">
        <v>3</v>
      </c>
      <c r="U40">
        <f>COUNT(D33:Q40)</f>
        <v>11</v>
      </c>
      <c r="V40">
        <f>AVERAGE(D33:Q40)</f>
        <v>1915</v>
      </c>
      <c r="W40">
        <f>COUNT(D33:O40)</f>
        <v>7</v>
      </c>
      <c r="X40">
        <f>AVERAGE(D33:O40)</f>
        <v>1994.2857142857142</v>
      </c>
      <c r="Z40" s="1">
        <v>3</v>
      </c>
      <c r="AA40">
        <v>7</v>
      </c>
      <c r="AB40">
        <v>1994.2857142857142</v>
      </c>
      <c r="AC40">
        <f t="shared" si="5"/>
        <v>3</v>
      </c>
      <c r="AD40">
        <f t="shared" si="6"/>
        <v>22</v>
      </c>
      <c r="AE40">
        <f t="shared" si="7"/>
        <v>1994.2857142857142</v>
      </c>
    </row>
    <row r="41" spans="1:31" x14ac:dyDescent="0.35">
      <c r="A41" s="65" t="s">
        <v>53</v>
      </c>
      <c r="B41" s="2">
        <v>40900</v>
      </c>
      <c r="C41" s="2"/>
      <c r="F41" s="13"/>
      <c r="G41" s="13"/>
      <c r="H41" s="13"/>
      <c r="I41" s="13"/>
      <c r="M41" s="13"/>
      <c r="N41" s="21"/>
      <c r="O41" s="14">
        <v>2090</v>
      </c>
      <c r="P41" s="19"/>
      <c r="Q41" s="13">
        <v>1710</v>
      </c>
      <c r="R41" s="25">
        <f t="shared" si="1"/>
        <v>22</v>
      </c>
      <c r="S41">
        <f t="shared" si="0"/>
        <v>1900</v>
      </c>
      <c r="Z41" s="1">
        <v>4</v>
      </c>
      <c r="AA41">
        <v>5</v>
      </c>
      <c r="AB41">
        <v>1868</v>
      </c>
      <c r="AC41">
        <f t="shared" si="5"/>
        <v>4</v>
      </c>
      <c r="AD41">
        <f t="shared" si="6"/>
        <v>27</v>
      </c>
      <c r="AE41">
        <f t="shared" si="7"/>
        <v>1868</v>
      </c>
    </row>
    <row r="42" spans="1:31" x14ac:dyDescent="0.35">
      <c r="A42" s="65" t="s">
        <v>54</v>
      </c>
      <c r="B42" s="2">
        <v>40901</v>
      </c>
      <c r="C42" s="2"/>
      <c r="D42" s="13"/>
      <c r="E42" s="13"/>
      <c r="F42" s="13"/>
      <c r="G42" s="13"/>
      <c r="J42" s="13"/>
      <c r="K42" s="13"/>
      <c r="L42" s="13"/>
      <c r="N42" s="12"/>
      <c r="O42" s="12"/>
      <c r="P42" s="13"/>
      <c r="Q42" s="13"/>
      <c r="R42" s="25">
        <f t="shared" si="1"/>
        <v>23</v>
      </c>
      <c r="S42" t="str">
        <f t="shared" si="0"/>
        <v/>
      </c>
      <c r="Z42" s="1">
        <v>5</v>
      </c>
      <c r="AA42">
        <v>5</v>
      </c>
      <c r="AB42">
        <v>1737</v>
      </c>
      <c r="AC42">
        <f t="shared" si="5"/>
        <v>5</v>
      </c>
      <c r="AD42">
        <f t="shared" si="6"/>
        <v>32</v>
      </c>
      <c r="AE42">
        <f t="shared" si="7"/>
        <v>1737</v>
      </c>
    </row>
    <row r="43" spans="1:31" x14ac:dyDescent="0.35">
      <c r="A43" s="65" t="s">
        <v>55</v>
      </c>
      <c r="B43" s="2">
        <v>40902</v>
      </c>
      <c r="C43" s="2"/>
      <c r="D43" s="13"/>
      <c r="E43" s="13"/>
      <c r="F43" s="13"/>
      <c r="G43" s="13"/>
      <c r="L43" s="13"/>
      <c r="N43" s="12"/>
      <c r="O43" s="12"/>
      <c r="P43" s="13"/>
      <c r="Q43" s="13"/>
      <c r="R43" s="25">
        <f t="shared" si="1"/>
        <v>24</v>
      </c>
      <c r="S43" t="str">
        <f t="shared" si="0"/>
        <v/>
      </c>
      <c r="Z43" s="1">
        <v>6</v>
      </c>
      <c r="AA43">
        <v>9</v>
      </c>
      <c r="AB43">
        <v>1847.7777777777778</v>
      </c>
      <c r="AC43">
        <f t="shared" si="5"/>
        <v>6</v>
      </c>
      <c r="AD43">
        <f t="shared" si="6"/>
        <v>41</v>
      </c>
      <c r="AE43">
        <f t="shared" si="7"/>
        <v>1847.7777777777778</v>
      </c>
    </row>
    <row r="44" spans="1:31" x14ac:dyDescent="0.35">
      <c r="A44" s="65" t="s">
        <v>56</v>
      </c>
      <c r="B44" s="2">
        <v>40903</v>
      </c>
      <c r="C44" s="2"/>
      <c r="D44" s="13"/>
      <c r="E44" s="13"/>
      <c r="H44" s="13"/>
      <c r="I44" s="13"/>
      <c r="N44" s="12"/>
      <c r="O44" s="12"/>
      <c r="P44" s="13"/>
      <c r="Q44" s="13"/>
      <c r="R44" s="25">
        <f t="shared" si="1"/>
        <v>25</v>
      </c>
      <c r="S44" t="str">
        <f t="shared" si="0"/>
        <v/>
      </c>
      <c r="Z44" s="1">
        <v>7</v>
      </c>
      <c r="AA44">
        <v>7</v>
      </c>
      <c r="AB44">
        <v>1898.5714285714287</v>
      </c>
      <c r="AC44">
        <f t="shared" si="5"/>
        <v>7</v>
      </c>
      <c r="AD44">
        <f t="shared" si="6"/>
        <v>48</v>
      </c>
      <c r="AE44">
        <f t="shared" si="7"/>
        <v>1898.5714285714287</v>
      </c>
    </row>
    <row r="45" spans="1:31" x14ac:dyDescent="0.35">
      <c r="A45" s="65" t="s">
        <v>57</v>
      </c>
      <c r="B45" s="2">
        <v>40904</v>
      </c>
      <c r="C45" s="2"/>
      <c r="F45" s="13"/>
      <c r="G45" s="13"/>
      <c r="H45" s="13"/>
      <c r="I45" s="13"/>
      <c r="J45" s="18"/>
      <c r="K45" s="14">
        <v>1740</v>
      </c>
      <c r="L45" s="20"/>
      <c r="M45">
        <v>1935</v>
      </c>
      <c r="N45" s="12"/>
      <c r="O45" s="12"/>
      <c r="P45" s="13"/>
      <c r="Q45" s="13"/>
      <c r="R45" s="25">
        <f t="shared" si="1"/>
        <v>26</v>
      </c>
      <c r="S45">
        <f t="shared" si="0"/>
        <v>1837.5</v>
      </c>
      <c r="Z45" s="1">
        <v>8</v>
      </c>
      <c r="AA45">
        <v>4</v>
      </c>
      <c r="AB45">
        <v>1856.25</v>
      </c>
      <c r="AC45">
        <f t="shared" si="5"/>
        <v>8</v>
      </c>
      <c r="AD45">
        <f t="shared" si="6"/>
        <v>52</v>
      </c>
      <c r="AE45">
        <f t="shared" si="7"/>
        <v>1856.25</v>
      </c>
    </row>
    <row r="46" spans="1:31" x14ac:dyDescent="0.35">
      <c r="A46" s="65" t="s">
        <v>58</v>
      </c>
      <c r="B46" s="2">
        <v>40905</v>
      </c>
      <c r="C46" s="2"/>
      <c r="D46" s="15"/>
      <c r="E46">
        <v>1800</v>
      </c>
      <c r="F46" s="13"/>
      <c r="G46" s="13"/>
      <c r="H46" s="13"/>
      <c r="I46" s="13"/>
      <c r="L46" s="13"/>
      <c r="M46" s="13"/>
      <c r="N46" s="12"/>
      <c r="P46" s="13"/>
      <c r="Q46" s="13"/>
      <c r="R46" s="25">
        <f t="shared" si="1"/>
        <v>27</v>
      </c>
      <c r="S46">
        <f t="shared" si="0"/>
        <v>1800</v>
      </c>
      <c r="Z46" s="1">
        <v>9</v>
      </c>
      <c r="AA46">
        <v>2</v>
      </c>
      <c r="AB46">
        <v>1870</v>
      </c>
      <c r="AC46">
        <f t="shared" si="5"/>
        <v>9</v>
      </c>
      <c r="AD46">
        <f t="shared" si="6"/>
        <v>54</v>
      </c>
      <c r="AE46">
        <f t="shared" si="7"/>
        <v>1870</v>
      </c>
    </row>
    <row r="47" spans="1:31" x14ac:dyDescent="0.35">
      <c r="A47" s="65" t="s">
        <v>52</v>
      </c>
      <c r="B47" s="2">
        <v>40906</v>
      </c>
      <c r="C47" s="2"/>
      <c r="F47" s="16"/>
      <c r="G47" s="14">
        <v>1775</v>
      </c>
      <c r="H47" s="13"/>
      <c r="I47" s="13"/>
      <c r="L47" s="13"/>
      <c r="M47" s="13"/>
      <c r="O47" s="12"/>
      <c r="P47" s="13"/>
      <c r="Q47" s="13"/>
      <c r="R47" s="25">
        <f t="shared" si="1"/>
        <v>28</v>
      </c>
      <c r="S47">
        <f t="shared" si="0"/>
        <v>1775</v>
      </c>
      <c r="T47">
        <v>4</v>
      </c>
      <c r="U47">
        <f>COUNT(D40:Q47)</f>
        <v>7</v>
      </c>
      <c r="V47">
        <f>AVERAGE(D40:Q47)</f>
        <v>1791.4285714285713</v>
      </c>
      <c r="W47">
        <f>COUNT(D40:O47)</f>
        <v>5</v>
      </c>
      <c r="X47">
        <f>AVERAGE(D40:O47)</f>
        <v>1868</v>
      </c>
      <c r="Z47" s="1">
        <v>10</v>
      </c>
      <c r="AA47">
        <v>5</v>
      </c>
      <c r="AB47">
        <v>1925</v>
      </c>
      <c r="AC47">
        <f t="shared" si="5"/>
        <v>10</v>
      </c>
      <c r="AD47">
        <f t="shared" si="6"/>
        <v>59</v>
      </c>
      <c r="AE47">
        <f t="shared" si="7"/>
        <v>1925</v>
      </c>
    </row>
    <row r="48" spans="1:31" x14ac:dyDescent="0.35">
      <c r="A48" s="65" t="s">
        <v>53</v>
      </c>
      <c r="B48" s="2">
        <v>40907</v>
      </c>
      <c r="C48" s="2"/>
      <c r="F48" s="13"/>
      <c r="G48" s="13"/>
      <c r="L48" s="13"/>
      <c r="M48" s="13"/>
      <c r="N48" s="12"/>
      <c r="O48" s="12"/>
      <c r="P48" s="13"/>
      <c r="Q48" s="13"/>
      <c r="R48" s="25">
        <f t="shared" si="1"/>
        <v>29</v>
      </c>
      <c r="S48" t="str">
        <f t="shared" si="0"/>
        <v/>
      </c>
      <c r="Z48" s="1">
        <v>10.5</v>
      </c>
      <c r="AA48">
        <v>8</v>
      </c>
      <c r="AB48">
        <v>1915</v>
      </c>
    </row>
    <row r="49" spans="1:28" x14ac:dyDescent="0.35">
      <c r="A49" s="65" t="s">
        <v>54</v>
      </c>
      <c r="B49" s="2">
        <v>40908</v>
      </c>
      <c r="C49" s="2"/>
      <c r="D49" s="13"/>
      <c r="E49" s="13"/>
      <c r="F49" s="13"/>
      <c r="G49" s="13"/>
      <c r="H49" s="17"/>
      <c r="I49" s="17">
        <v>1525</v>
      </c>
      <c r="N49" s="12"/>
      <c r="O49" s="12"/>
      <c r="P49" s="13"/>
      <c r="R49" s="25">
        <f t="shared" si="1"/>
        <v>30</v>
      </c>
      <c r="S49">
        <f t="shared" si="0"/>
        <v>1525</v>
      </c>
      <c r="Z49" s="1" t="s">
        <v>171</v>
      </c>
    </row>
    <row r="50" spans="1:28" x14ac:dyDescent="0.35">
      <c r="A50" s="65" t="s">
        <v>55</v>
      </c>
      <c r="B50" s="2">
        <v>40909</v>
      </c>
      <c r="C50" s="2"/>
      <c r="D50" s="13"/>
      <c r="E50" s="13"/>
      <c r="H50" s="13"/>
      <c r="I50" s="13"/>
      <c r="J50" s="13"/>
      <c r="K50" s="13"/>
      <c r="N50" s="12"/>
      <c r="O50" s="12"/>
      <c r="P50" s="13"/>
      <c r="Q50" s="13"/>
      <c r="R50" s="25">
        <f t="shared" si="1"/>
        <v>31</v>
      </c>
      <c r="S50" t="str">
        <f t="shared" si="0"/>
        <v/>
      </c>
      <c r="Z50" s="1" t="s">
        <v>172</v>
      </c>
      <c r="AA50">
        <v>67</v>
      </c>
      <c r="AB50">
        <v>20410.496031746032</v>
      </c>
    </row>
    <row r="51" spans="1:28" x14ac:dyDescent="0.35">
      <c r="A51" s="65" t="s">
        <v>56</v>
      </c>
      <c r="B51" s="2">
        <v>40910</v>
      </c>
      <c r="C51" s="2"/>
      <c r="F51" s="13"/>
      <c r="G51" s="13"/>
      <c r="H51" s="13"/>
      <c r="I51" s="13"/>
      <c r="O51" s="12"/>
      <c r="P51" s="13"/>
      <c r="Q51" s="13"/>
      <c r="R51" s="25">
        <f t="shared" si="1"/>
        <v>32</v>
      </c>
      <c r="S51" t="str">
        <f t="shared" ref="S51:S82" si="8">IFERROR(AVERAGE(E51:Q51),"")</f>
        <v/>
      </c>
    </row>
    <row r="52" spans="1:28" x14ac:dyDescent="0.35">
      <c r="A52" s="65" t="s">
        <v>57</v>
      </c>
      <c r="B52" s="2">
        <v>40911</v>
      </c>
      <c r="C52" s="2"/>
      <c r="D52" s="13"/>
      <c r="E52" s="13"/>
      <c r="F52" s="13"/>
      <c r="G52" s="13"/>
      <c r="L52" s="13"/>
      <c r="M52" s="13"/>
      <c r="N52" s="21"/>
      <c r="O52" s="14">
        <v>1740</v>
      </c>
      <c r="P52" s="13"/>
      <c r="R52" s="25">
        <f t="shared" si="1"/>
        <v>33</v>
      </c>
      <c r="S52">
        <f t="shared" si="8"/>
        <v>1740</v>
      </c>
      <c r="Z52">
        <v>1</v>
      </c>
      <c r="AA52">
        <v>1480</v>
      </c>
    </row>
    <row r="53" spans="1:28" x14ac:dyDescent="0.35">
      <c r="A53" s="65" t="s">
        <v>58</v>
      </c>
      <c r="B53" s="2">
        <v>40912</v>
      </c>
      <c r="C53" s="2"/>
      <c r="D53" s="13"/>
      <c r="E53" s="13"/>
      <c r="H53" s="13"/>
      <c r="I53" s="13"/>
      <c r="J53" s="13"/>
      <c r="K53" s="13"/>
      <c r="L53" s="13"/>
      <c r="N53" s="12"/>
      <c r="P53" s="13"/>
      <c r="Q53" s="13"/>
      <c r="R53" s="25">
        <f t="shared" si="1"/>
        <v>34</v>
      </c>
      <c r="S53" t="str">
        <f t="shared" si="8"/>
        <v/>
      </c>
      <c r="Z53">
        <v>2</v>
      </c>
      <c r="AA53" s="13">
        <v>1680</v>
      </c>
    </row>
    <row r="54" spans="1:28" x14ac:dyDescent="0.35">
      <c r="A54" s="65" t="s">
        <v>52</v>
      </c>
      <c r="B54" s="2">
        <v>40913</v>
      </c>
      <c r="C54" s="2"/>
      <c r="D54" s="13"/>
      <c r="E54" s="13"/>
      <c r="F54" s="13"/>
      <c r="G54" s="13"/>
      <c r="H54" s="17"/>
      <c r="I54" s="13">
        <v>1770</v>
      </c>
      <c r="J54" s="18"/>
      <c r="K54" s="14">
        <v>1875</v>
      </c>
      <c r="L54" s="13"/>
      <c r="M54" s="13"/>
      <c r="N54" s="12"/>
      <c r="O54" s="12"/>
      <c r="P54" s="13"/>
      <c r="Q54" s="13"/>
      <c r="R54" s="25">
        <f t="shared" si="1"/>
        <v>35</v>
      </c>
      <c r="S54">
        <f t="shared" si="8"/>
        <v>1822.5</v>
      </c>
      <c r="T54">
        <v>5</v>
      </c>
      <c r="U54">
        <f>COUNT(D47:Q54)</f>
        <v>5</v>
      </c>
      <c r="V54">
        <f>AVERAGE(D47:Q54)</f>
        <v>1737</v>
      </c>
      <c r="W54">
        <f>COUNT(D47:O54)</f>
        <v>5</v>
      </c>
      <c r="X54">
        <f>AVERAGE(D47:O54)</f>
        <v>1737</v>
      </c>
      <c r="Z54">
        <v>3</v>
      </c>
      <c r="AA54" s="13">
        <v>1770</v>
      </c>
    </row>
    <row r="55" spans="1:28" x14ac:dyDescent="0.35">
      <c r="A55" s="65" t="s">
        <v>53</v>
      </c>
      <c r="B55" s="2">
        <v>40914</v>
      </c>
      <c r="C55" s="2"/>
      <c r="H55" s="13"/>
      <c r="I55" s="13"/>
      <c r="J55" s="13"/>
      <c r="L55" s="20"/>
      <c r="M55">
        <v>1830</v>
      </c>
      <c r="N55" s="12"/>
      <c r="O55" s="12"/>
      <c r="P55" s="13"/>
      <c r="R55" s="25">
        <f t="shared" si="1"/>
        <v>36</v>
      </c>
      <c r="S55">
        <f t="shared" si="8"/>
        <v>1830</v>
      </c>
      <c r="Z55">
        <v>4</v>
      </c>
      <c r="AA55" s="13">
        <v>1440</v>
      </c>
    </row>
    <row r="56" spans="1:28" x14ac:dyDescent="0.35">
      <c r="A56" s="65" t="s">
        <v>54</v>
      </c>
      <c r="B56" s="2">
        <v>40915</v>
      </c>
      <c r="C56" s="2"/>
      <c r="D56" s="15"/>
      <c r="E56" s="15">
        <v>1815</v>
      </c>
      <c r="F56" s="13"/>
      <c r="G56" s="13"/>
      <c r="J56" s="13"/>
      <c r="K56" s="13"/>
      <c r="L56" s="13"/>
      <c r="M56" s="13"/>
      <c r="N56" s="21"/>
      <c r="O56" s="14">
        <v>1710</v>
      </c>
      <c r="P56" s="13"/>
      <c r="R56" s="25">
        <f t="shared" si="1"/>
        <v>37</v>
      </c>
      <c r="S56">
        <f t="shared" si="8"/>
        <v>1762.5</v>
      </c>
      <c r="Z56">
        <v>5</v>
      </c>
      <c r="AA56" s="13">
        <v>1650</v>
      </c>
    </row>
    <row r="57" spans="1:28" x14ac:dyDescent="0.35">
      <c r="A57" s="65" t="s">
        <v>55</v>
      </c>
      <c r="B57" s="2">
        <v>40916</v>
      </c>
      <c r="C57" s="2"/>
      <c r="F57" s="13"/>
      <c r="G57" s="13"/>
      <c r="J57" s="13"/>
      <c r="K57" s="13"/>
      <c r="L57" s="13"/>
      <c r="M57" s="13"/>
      <c r="N57" s="12"/>
      <c r="P57" s="13"/>
      <c r="R57" s="25">
        <f t="shared" si="1"/>
        <v>38</v>
      </c>
      <c r="S57" t="str">
        <f t="shared" si="8"/>
        <v/>
      </c>
      <c r="Z57">
        <v>6</v>
      </c>
      <c r="AA57" s="13">
        <v>1890</v>
      </c>
    </row>
    <row r="58" spans="1:28" x14ac:dyDescent="0.35">
      <c r="A58" s="65" t="s">
        <v>56</v>
      </c>
      <c r="B58" s="2">
        <v>40917</v>
      </c>
      <c r="C58" s="2"/>
      <c r="F58" s="13"/>
      <c r="G58" s="13"/>
      <c r="H58" s="13"/>
      <c r="I58" s="13"/>
      <c r="L58" s="13"/>
      <c r="M58" s="13"/>
      <c r="O58" s="12"/>
      <c r="P58" s="13"/>
      <c r="Q58" s="13"/>
      <c r="R58" s="25">
        <f t="shared" si="1"/>
        <v>39</v>
      </c>
      <c r="S58" t="str">
        <f t="shared" si="8"/>
        <v/>
      </c>
      <c r="Z58">
        <v>7</v>
      </c>
      <c r="AA58" s="13">
        <v>1815</v>
      </c>
    </row>
    <row r="59" spans="1:28" x14ac:dyDescent="0.35">
      <c r="A59" s="65" t="s">
        <v>57</v>
      </c>
      <c r="B59" s="2">
        <v>40918</v>
      </c>
      <c r="C59" s="2"/>
      <c r="D59" s="13"/>
      <c r="E59" s="13"/>
      <c r="F59" s="16"/>
      <c r="G59" s="14">
        <v>1765</v>
      </c>
      <c r="H59" s="13"/>
      <c r="I59" s="13"/>
      <c r="L59" s="13"/>
      <c r="M59" s="13"/>
      <c r="O59" s="12"/>
      <c r="P59" s="13"/>
      <c r="Q59" s="13"/>
      <c r="R59" s="25">
        <f t="shared" si="1"/>
        <v>40</v>
      </c>
      <c r="S59">
        <f t="shared" si="8"/>
        <v>1765</v>
      </c>
      <c r="Z59">
        <v>8</v>
      </c>
      <c r="AA59" s="13">
        <v>1910</v>
      </c>
    </row>
    <row r="60" spans="1:28" x14ac:dyDescent="0.35">
      <c r="A60" s="65" t="s">
        <v>58</v>
      </c>
      <c r="B60" s="2">
        <v>40919</v>
      </c>
      <c r="C60" s="2"/>
      <c r="F60" s="13"/>
      <c r="G60" s="13"/>
      <c r="J60" s="18"/>
      <c r="K60" s="14">
        <v>1710</v>
      </c>
      <c r="M60" s="13"/>
      <c r="N60" s="21"/>
      <c r="O60" s="14">
        <v>2025</v>
      </c>
      <c r="P60" s="13"/>
      <c r="Q60" s="13"/>
      <c r="R60" s="25">
        <f t="shared" si="1"/>
        <v>41</v>
      </c>
      <c r="S60">
        <f t="shared" si="8"/>
        <v>1867.5</v>
      </c>
      <c r="Z60">
        <v>9</v>
      </c>
      <c r="AA60" s="13">
        <v>1490</v>
      </c>
    </row>
    <row r="61" spans="1:28" x14ac:dyDescent="0.35">
      <c r="A61" s="65" t="s">
        <v>52</v>
      </c>
      <c r="B61" s="2">
        <v>40920</v>
      </c>
      <c r="C61" s="2"/>
      <c r="D61" s="13"/>
      <c r="E61" s="13"/>
      <c r="J61" s="13"/>
      <c r="L61" s="20"/>
      <c r="M61">
        <v>2130</v>
      </c>
      <c r="O61" s="12"/>
      <c r="P61" s="13"/>
      <c r="R61" s="25">
        <f t="shared" si="1"/>
        <v>42</v>
      </c>
      <c r="S61">
        <f t="shared" si="8"/>
        <v>2130</v>
      </c>
      <c r="T61">
        <v>6</v>
      </c>
      <c r="U61">
        <f>COUNT(D54:Q61)</f>
        <v>9</v>
      </c>
      <c r="V61">
        <f>AVERAGE(D54:Q61)</f>
        <v>1847.7777777777778</v>
      </c>
      <c r="W61">
        <f>COUNT(D54:O61)</f>
        <v>9</v>
      </c>
      <c r="X61">
        <f>AVERAGE(D54:O61)</f>
        <v>1847.7777777777778</v>
      </c>
      <c r="Z61" s="6">
        <v>10</v>
      </c>
      <c r="AA61" s="275">
        <v>1710</v>
      </c>
    </row>
    <row r="62" spans="1:28" x14ac:dyDescent="0.35">
      <c r="A62" s="65" t="s">
        <v>53</v>
      </c>
      <c r="B62" s="2">
        <v>40921</v>
      </c>
      <c r="C62" s="2"/>
      <c r="F62" s="16"/>
      <c r="G62" s="14">
        <v>1680</v>
      </c>
      <c r="H62" s="13"/>
      <c r="I62" s="13"/>
      <c r="O62" s="12"/>
      <c r="P62" s="13"/>
      <c r="Q62" s="13"/>
      <c r="R62" s="25">
        <f t="shared" si="1"/>
        <v>43</v>
      </c>
      <c r="S62">
        <f t="shared" si="8"/>
        <v>1680</v>
      </c>
      <c r="Y62" t="s">
        <v>182</v>
      </c>
      <c r="Z62">
        <v>14</v>
      </c>
      <c r="AA62">
        <f>AVERAGE(AA52:AA61)</f>
        <v>1683.5</v>
      </c>
    </row>
    <row r="63" spans="1:28" x14ac:dyDescent="0.35">
      <c r="A63" s="65" t="s">
        <v>54</v>
      </c>
      <c r="B63" s="2">
        <v>40922</v>
      </c>
      <c r="C63" s="2"/>
      <c r="D63" s="13"/>
      <c r="E63" s="13"/>
      <c r="F63" s="13"/>
      <c r="G63" s="13"/>
      <c r="H63" s="17"/>
      <c r="I63" s="13">
        <v>1815</v>
      </c>
      <c r="L63" s="20"/>
      <c r="M63" s="13">
        <v>1890</v>
      </c>
      <c r="O63" s="12"/>
      <c r="P63" s="13"/>
      <c r="R63" s="25">
        <f t="shared" si="1"/>
        <v>44</v>
      </c>
      <c r="S63">
        <f t="shared" si="8"/>
        <v>1852.5</v>
      </c>
    </row>
    <row r="64" spans="1:28" x14ac:dyDescent="0.35">
      <c r="A64" s="65" t="s">
        <v>55</v>
      </c>
      <c r="B64" s="2">
        <v>40923</v>
      </c>
      <c r="C64" s="2"/>
      <c r="N64" s="12"/>
      <c r="P64" s="13"/>
      <c r="Q64" s="13"/>
      <c r="R64" s="25">
        <f t="shared" si="1"/>
        <v>45</v>
      </c>
      <c r="S64" t="str">
        <f t="shared" si="8"/>
        <v/>
      </c>
    </row>
    <row r="65" spans="1:24" x14ac:dyDescent="0.35">
      <c r="A65" s="65" t="s">
        <v>56</v>
      </c>
      <c r="B65" s="2">
        <v>40924</v>
      </c>
      <c r="C65" s="2"/>
      <c r="F65" s="13"/>
      <c r="G65" s="13"/>
      <c r="H65" s="17"/>
      <c r="I65">
        <v>1635</v>
      </c>
      <c r="M65" s="13"/>
      <c r="P65" s="13"/>
      <c r="R65" s="25">
        <f t="shared" si="1"/>
        <v>46</v>
      </c>
      <c r="S65">
        <f t="shared" si="8"/>
        <v>1635</v>
      </c>
    </row>
    <row r="66" spans="1:24" x14ac:dyDescent="0.35">
      <c r="A66" s="65" t="s">
        <v>57</v>
      </c>
      <c r="B66" s="2">
        <v>40925</v>
      </c>
      <c r="C66" s="2"/>
      <c r="M66" s="13"/>
      <c r="O66" s="12"/>
      <c r="P66" s="13"/>
      <c r="Q66" s="13"/>
      <c r="R66" s="25">
        <f t="shared" si="1"/>
        <v>47</v>
      </c>
      <c r="S66" t="str">
        <f t="shared" si="8"/>
        <v/>
      </c>
    </row>
    <row r="67" spans="1:24" x14ac:dyDescent="0.35">
      <c r="A67" s="65" t="s">
        <v>58</v>
      </c>
      <c r="B67" s="2">
        <v>40926</v>
      </c>
      <c r="C67" s="2"/>
      <c r="D67" s="15"/>
      <c r="E67" s="13">
        <v>2040</v>
      </c>
      <c r="H67" s="13"/>
      <c r="I67" s="13"/>
      <c r="N67" s="21"/>
      <c r="O67" s="14">
        <v>2100</v>
      </c>
      <c r="P67" s="13"/>
      <c r="R67" s="25">
        <f t="shared" si="1"/>
        <v>48</v>
      </c>
      <c r="S67">
        <f t="shared" si="8"/>
        <v>2070</v>
      </c>
    </row>
    <row r="68" spans="1:24" x14ac:dyDescent="0.35">
      <c r="A68" s="65" t="s">
        <v>52</v>
      </c>
      <c r="B68" s="2">
        <v>40927</v>
      </c>
      <c r="C68" s="2"/>
      <c r="L68" s="13"/>
      <c r="P68" s="13"/>
      <c r="Q68" s="13"/>
      <c r="R68" s="25">
        <f t="shared" si="1"/>
        <v>49</v>
      </c>
      <c r="S68" t="str">
        <f t="shared" si="8"/>
        <v/>
      </c>
      <c r="T68">
        <v>7</v>
      </c>
      <c r="U68">
        <f>COUNT(D61:Q68)</f>
        <v>7</v>
      </c>
      <c r="V68">
        <f>AVERAGE(D61:Q68)</f>
        <v>1898.5714285714287</v>
      </c>
      <c r="W68">
        <f>COUNT(D61:O68)</f>
        <v>7</v>
      </c>
      <c r="X68">
        <f>AVERAGE(D61:O68)</f>
        <v>1898.5714285714287</v>
      </c>
    </row>
    <row r="69" spans="1:24" x14ac:dyDescent="0.35">
      <c r="A69" s="65" t="s">
        <v>53</v>
      </c>
      <c r="B69" s="2">
        <v>40928</v>
      </c>
      <c r="C69" s="2"/>
      <c r="F69" s="16"/>
      <c r="G69" s="14">
        <v>1905</v>
      </c>
      <c r="J69" s="18"/>
      <c r="K69" s="14">
        <v>1905</v>
      </c>
      <c r="P69" s="13"/>
      <c r="R69" s="25">
        <f t="shared" si="1"/>
        <v>50</v>
      </c>
      <c r="S69">
        <f t="shared" si="8"/>
        <v>1905</v>
      </c>
    </row>
    <row r="70" spans="1:24" x14ac:dyDescent="0.35">
      <c r="A70" s="65" t="s">
        <v>54</v>
      </c>
      <c r="B70" s="2">
        <v>40929</v>
      </c>
      <c r="C70" s="2"/>
      <c r="L70" s="13"/>
      <c r="M70" s="13"/>
      <c r="O70" s="12"/>
      <c r="P70" s="13"/>
      <c r="R70" s="25">
        <f t="shared" si="1"/>
        <v>51</v>
      </c>
      <c r="S70" t="str">
        <f t="shared" si="8"/>
        <v/>
      </c>
    </row>
    <row r="71" spans="1:24" x14ac:dyDescent="0.35">
      <c r="A71" s="65" t="s">
        <v>55</v>
      </c>
      <c r="B71" s="2">
        <v>40930</v>
      </c>
      <c r="C71" s="2"/>
      <c r="N71" s="12"/>
      <c r="P71" s="13"/>
      <c r="Q71" s="13"/>
      <c r="R71" s="25">
        <f t="shared" si="1"/>
        <v>52</v>
      </c>
      <c r="S71" t="str">
        <f t="shared" si="8"/>
        <v/>
      </c>
    </row>
    <row r="72" spans="1:24" x14ac:dyDescent="0.35">
      <c r="A72" s="65" t="s">
        <v>56</v>
      </c>
      <c r="B72" s="2">
        <v>40931</v>
      </c>
      <c r="C72" s="2"/>
      <c r="M72" s="13"/>
      <c r="P72" s="13"/>
      <c r="Q72" s="13"/>
      <c r="R72" s="25">
        <f t="shared" si="1"/>
        <v>53</v>
      </c>
      <c r="S72" t="str">
        <f t="shared" si="8"/>
        <v/>
      </c>
    </row>
    <row r="73" spans="1:24" x14ac:dyDescent="0.35">
      <c r="A73" s="65" t="s">
        <v>57</v>
      </c>
      <c r="B73" s="2">
        <v>40932</v>
      </c>
      <c r="C73" s="2"/>
      <c r="F73" s="13"/>
      <c r="G73" s="13"/>
      <c r="N73" s="21"/>
      <c r="O73" s="63">
        <v>1890</v>
      </c>
      <c r="P73" s="13"/>
      <c r="Q73" s="13"/>
      <c r="R73" s="25">
        <f t="shared" si="1"/>
        <v>54</v>
      </c>
      <c r="S73">
        <f t="shared" si="8"/>
        <v>1890</v>
      </c>
    </row>
    <row r="74" spans="1:24" x14ac:dyDescent="0.35">
      <c r="A74" s="65" t="s">
        <v>58</v>
      </c>
      <c r="B74" s="2">
        <v>40933</v>
      </c>
      <c r="C74" s="2"/>
      <c r="D74" s="15"/>
      <c r="E74">
        <v>1725</v>
      </c>
      <c r="H74" s="13"/>
      <c r="I74" s="13"/>
      <c r="J74" s="13"/>
      <c r="L74" s="13"/>
      <c r="N74" s="12"/>
      <c r="P74" s="13"/>
      <c r="Q74" s="13"/>
      <c r="R74" s="25">
        <f t="shared" si="1"/>
        <v>55</v>
      </c>
      <c r="S74">
        <f t="shared" si="8"/>
        <v>1725</v>
      </c>
    </row>
    <row r="75" spans="1:24" x14ac:dyDescent="0.35">
      <c r="A75" s="65" t="s">
        <v>52</v>
      </c>
      <c r="B75" s="2">
        <v>40934</v>
      </c>
      <c r="C75" s="2"/>
      <c r="H75" s="13"/>
      <c r="I75" s="13"/>
      <c r="N75" s="12"/>
      <c r="P75" s="13"/>
      <c r="Q75" s="13"/>
      <c r="R75" s="25">
        <f t="shared" si="1"/>
        <v>56</v>
      </c>
      <c r="S75" t="str">
        <f t="shared" si="8"/>
        <v/>
      </c>
      <c r="T75">
        <v>8</v>
      </c>
      <c r="U75">
        <f>COUNT(D68:Q75)</f>
        <v>4</v>
      </c>
      <c r="V75">
        <f>AVERAGE(D68:Q75)</f>
        <v>1856.25</v>
      </c>
      <c r="W75">
        <f>COUNT(D68:O75)</f>
        <v>4</v>
      </c>
      <c r="X75">
        <f>AVERAGE(D68:O75)</f>
        <v>1856.25</v>
      </c>
    </row>
    <row r="76" spans="1:24" x14ac:dyDescent="0.35">
      <c r="A76" s="65" t="s">
        <v>53</v>
      </c>
      <c r="B76" s="2">
        <v>40935</v>
      </c>
      <c r="C76" s="2"/>
      <c r="F76" s="16"/>
      <c r="G76" s="14">
        <v>1805</v>
      </c>
      <c r="H76" s="13"/>
      <c r="I76" s="13"/>
      <c r="N76" s="12"/>
      <c r="P76" s="13"/>
      <c r="Q76" s="13"/>
      <c r="R76" s="25">
        <f t="shared" si="1"/>
        <v>57</v>
      </c>
      <c r="S76">
        <f t="shared" si="8"/>
        <v>1805</v>
      </c>
    </row>
    <row r="77" spans="1:24" x14ac:dyDescent="0.35">
      <c r="A77" s="65" t="s">
        <v>54</v>
      </c>
      <c r="B77" s="2">
        <v>40936</v>
      </c>
      <c r="C77" s="2"/>
      <c r="F77" s="13"/>
      <c r="G77" s="13"/>
      <c r="N77" s="12"/>
      <c r="O77" s="12"/>
      <c r="P77" s="13"/>
      <c r="Q77" s="13"/>
      <c r="R77" s="25">
        <f t="shared" si="1"/>
        <v>58</v>
      </c>
      <c r="S77" t="str">
        <f t="shared" si="8"/>
        <v/>
      </c>
    </row>
    <row r="78" spans="1:24" x14ac:dyDescent="0.35">
      <c r="A78" s="65" t="s">
        <v>55</v>
      </c>
      <c r="B78" s="2">
        <v>40937</v>
      </c>
      <c r="C78" s="2"/>
      <c r="D78" s="13"/>
      <c r="E78" s="13"/>
      <c r="F78" s="13"/>
      <c r="G78" s="13"/>
      <c r="H78" s="13"/>
      <c r="I78" s="13"/>
      <c r="N78" s="12"/>
      <c r="P78" s="13"/>
      <c r="Q78" s="13"/>
      <c r="R78" s="25">
        <f t="shared" si="1"/>
        <v>59</v>
      </c>
      <c r="S78" t="str">
        <f t="shared" si="8"/>
        <v/>
      </c>
    </row>
    <row r="79" spans="1:24" x14ac:dyDescent="0.35">
      <c r="A79" s="65" t="s">
        <v>56</v>
      </c>
      <c r="B79" s="2">
        <v>40938</v>
      </c>
      <c r="C79" s="2"/>
      <c r="D79" s="15"/>
      <c r="E79" s="13">
        <v>1935</v>
      </c>
      <c r="H79" s="13"/>
      <c r="I79" s="13"/>
      <c r="N79" s="12"/>
      <c r="O79" s="12"/>
      <c r="P79" s="13"/>
      <c r="Q79" s="13"/>
      <c r="R79" s="25">
        <f t="shared" si="1"/>
        <v>60</v>
      </c>
      <c r="S79">
        <f t="shared" si="8"/>
        <v>1935</v>
      </c>
    </row>
    <row r="80" spans="1:24" x14ac:dyDescent="0.35">
      <c r="A80" s="65" t="s">
        <v>57</v>
      </c>
      <c r="B80" s="2">
        <v>40939</v>
      </c>
      <c r="C80" s="2"/>
      <c r="F80" s="13"/>
      <c r="G80" s="13"/>
      <c r="N80" s="12"/>
      <c r="O80" s="12"/>
      <c r="P80" s="13"/>
      <c r="Q80" s="13"/>
      <c r="R80" s="25">
        <f t="shared" si="1"/>
        <v>61</v>
      </c>
      <c r="S80" t="str">
        <f t="shared" si="8"/>
        <v/>
      </c>
    </row>
    <row r="81" spans="1:24" x14ac:dyDescent="0.35">
      <c r="A81" s="65" t="s">
        <v>58</v>
      </c>
      <c r="B81" s="2">
        <v>40940</v>
      </c>
      <c r="C81" s="2"/>
      <c r="R81" s="25">
        <f t="shared" si="1"/>
        <v>62</v>
      </c>
      <c r="S81" t="str">
        <f t="shared" si="8"/>
        <v/>
      </c>
    </row>
    <row r="82" spans="1:24" x14ac:dyDescent="0.35">
      <c r="A82" s="65" t="s">
        <v>52</v>
      </c>
      <c r="B82" s="2">
        <v>40941</v>
      </c>
      <c r="C82" s="2"/>
      <c r="R82" s="25">
        <f t="shared" si="1"/>
        <v>63</v>
      </c>
      <c r="S82" t="str">
        <f t="shared" si="8"/>
        <v/>
      </c>
      <c r="T82">
        <v>9</v>
      </c>
      <c r="U82">
        <f>COUNT(D75:Q82)</f>
        <v>2</v>
      </c>
      <c r="V82">
        <f>AVERAGE(D75:Q82)</f>
        <v>1870</v>
      </c>
      <c r="W82">
        <f>COUNT(D75:O82)</f>
        <v>2</v>
      </c>
      <c r="X82">
        <f>AVERAGE(D75:O82)</f>
        <v>1870</v>
      </c>
    </row>
    <row r="83" spans="1:24" x14ac:dyDescent="0.35">
      <c r="A83" s="65" t="s">
        <v>53</v>
      </c>
      <c r="B83" s="2">
        <v>40942</v>
      </c>
      <c r="C83" s="2"/>
      <c r="L83" s="20"/>
      <c r="M83" s="13">
        <v>2085</v>
      </c>
      <c r="R83" s="25">
        <f t="shared" si="1"/>
        <v>64</v>
      </c>
      <c r="S83">
        <f t="shared" ref="S83:S94" si="9">IFERROR(AVERAGE(E83:Q83),"")</f>
        <v>2085</v>
      </c>
    </row>
    <row r="84" spans="1:24" x14ac:dyDescent="0.35">
      <c r="A84" s="65" t="s">
        <v>54</v>
      </c>
      <c r="B84" s="2">
        <v>40943</v>
      </c>
      <c r="C84" s="2"/>
      <c r="R84" s="25">
        <f t="shared" si="1"/>
        <v>65</v>
      </c>
      <c r="S84" t="str">
        <f t="shared" si="9"/>
        <v/>
      </c>
    </row>
    <row r="85" spans="1:24" x14ac:dyDescent="0.35">
      <c r="A85" s="65" t="s">
        <v>55</v>
      </c>
      <c r="B85" s="2">
        <v>40944</v>
      </c>
      <c r="C85" s="2"/>
      <c r="L85" s="20"/>
      <c r="M85">
        <v>1740</v>
      </c>
      <c r="R85" s="25">
        <f t="shared" ref="R85:R93" si="10">B85-$B$19</f>
        <v>66</v>
      </c>
      <c r="S85">
        <f t="shared" si="9"/>
        <v>1740</v>
      </c>
    </row>
    <row r="86" spans="1:24" x14ac:dyDescent="0.35">
      <c r="A86" s="65" t="s">
        <v>56</v>
      </c>
      <c r="B86" s="2">
        <v>40945</v>
      </c>
      <c r="C86" s="2"/>
      <c r="R86" s="25">
        <f t="shared" si="10"/>
        <v>67</v>
      </c>
      <c r="S86" t="str">
        <f t="shared" si="9"/>
        <v/>
      </c>
    </row>
    <row r="87" spans="1:24" x14ac:dyDescent="0.35">
      <c r="A87" s="65" t="s">
        <v>57</v>
      </c>
      <c r="B87" s="2">
        <v>40946</v>
      </c>
      <c r="C87" s="2"/>
      <c r="J87" s="18"/>
      <c r="K87" s="14">
        <v>2095</v>
      </c>
      <c r="R87" s="25">
        <f t="shared" si="10"/>
        <v>68</v>
      </c>
      <c r="S87">
        <f t="shared" si="9"/>
        <v>2095</v>
      </c>
    </row>
    <row r="88" spans="1:24" x14ac:dyDescent="0.35">
      <c r="A88" s="65" t="s">
        <v>58</v>
      </c>
      <c r="B88" s="2">
        <v>40947</v>
      </c>
      <c r="C88" s="2"/>
      <c r="J88" s="18"/>
      <c r="K88" s="14">
        <v>1860</v>
      </c>
      <c r="L88" s="13"/>
      <c r="R88" s="25">
        <f t="shared" si="10"/>
        <v>69</v>
      </c>
      <c r="S88">
        <f t="shared" si="9"/>
        <v>1860</v>
      </c>
    </row>
    <row r="89" spans="1:24" x14ac:dyDescent="0.35">
      <c r="A89" s="65" t="s">
        <v>52</v>
      </c>
      <c r="B89" s="2">
        <v>40948</v>
      </c>
      <c r="C89" s="2"/>
      <c r="H89" s="17"/>
      <c r="I89">
        <v>1845</v>
      </c>
      <c r="J89" s="13"/>
      <c r="K89" s="13"/>
      <c r="R89" s="25">
        <f t="shared" si="10"/>
        <v>70</v>
      </c>
      <c r="S89">
        <f t="shared" si="9"/>
        <v>1845</v>
      </c>
      <c r="T89">
        <v>10</v>
      </c>
      <c r="U89">
        <f>COUNT(D82:Q89)</f>
        <v>5</v>
      </c>
      <c r="V89">
        <f>AVERAGE(D82:Q89)</f>
        <v>1925</v>
      </c>
      <c r="W89">
        <f>COUNT(D82:O89)</f>
        <v>5</v>
      </c>
      <c r="X89">
        <f>AVERAGE(D82:O89)</f>
        <v>1925</v>
      </c>
    </row>
    <row r="90" spans="1:24" x14ac:dyDescent="0.35">
      <c r="A90" s="65" t="s">
        <v>53</v>
      </c>
      <c r="B90" s="2">
        <v>40949</v>
      </c>
      <c r="C90" s="2"/>
      <c r="F90" s="16"/>
      <c r="G90" s="63">
        <v>2065</v>
      </c>
      <c r="J90" s="18"/>
      <c r="K90" s="63">
        <v>1980</v>
      </c>
      <c r="L90" s="20"/>
      <c r="M90">
        <v>1695</v>
      </c>
      <c r="R90" s="25">
        <f t="shared" si="10"/>
        <v>71</v>
      </c>
      <c r="S90">
        <f t="shared" si="9"/>
        <v>1913.3333333333333</v>
      </c>
    </row>
    <row r="91" spans="1:24" x14ac:dyDescent="0.35">
      <c r="A91" s="65" t="s">
        <v>54</v>
      </c>
      <c r="B91" s="2">
        <v>40950</v>
      </c>
      <c r="C91" s="2"/>
      <c r="R91" s="25">
        <f t="shared" si="10"/>
        <v>72</v>
      </c>
      <c r="S91" t="str">
        <f t="shared" si="9"/>
        <v/>
      </c>
    </row>
    <row r="92" spans="1:24" x14ac:dyDescent="0.35">
      <c r="A92" s="65" t="s">
        <v>55</v>
      </c>
      <c r="B92" s="2">
        <v>40951</v>
      </c>
      <c r="C92" s="2"/>
      <c r="D92" s="15"/>
      <c r="E92" s="13">
        <v>1830</v>
      </c>
      <c r="R92" s="25">
        <f t="shared" si="10"/>
        <v>73</v>
      </c>
      <c r="S92">
        <f t="shared" si="9"/>
        <v>1830</v>
      </c>
    </row>
    <row r="93" spans="1:24" x14ac:dyDescent="0.35">
      <c r="A93" s="65" t="s">
        <v>56</v>
      </c>
      <c r="B93" s="2">
        <v>40952</v>
      </c>
      <c r="C93" s="2"/>
      <c r="H93" s="17"/>
      <c r="I93" s="13">
        <v>1950</v>
      </c>
      <c r="R93" s="25">
        <f t="shared" si="10"/>
        <v>74</v>
      </c>
      <c r="S93">
        <f t="shared" si="9"/>
        <v>1950</v>
      </c>
      <c r="T93">
        <v>10.5</v>
      </c>
      <c r="U93">
        <f>COUNT(D86:Q93)</f>
        <v>8</v>
      </c>
      <c r="V93">
        <f>AVERAGE(D86:Q93)</f>
        <v>1915</v>
      </c>
      <c r="W93">
        <f>COUNT(D86:O93)</f>
        <v>8</v>
      </c>
      <c r="X93">
        <f>AVERAGE(D86:O93)</f>
        <v>1915</v>
      </c>
    </row>
    <row r="94" spans="1:24" ht="15" thickBot="1" x14ac:dyDescent="0.4">
      <c r="A94" s="67"/>
      <c r="B94" s="76"/>
      <c r="C94" s="76"/>
      <c r="D94" s="74"/>
      <c r="E94" s="74"/>
      <c r="F94" s="74"/>
      <c r="G94" s="74"/>
      <c r="H94" s="77"/>
      <c r="I94" s="77"/>
      <c r="J94" s="74"/>
      <c r="K94" s="74"/>
      <c r="L94" s="74"/>
      <c r="M94" s="74"/>
      <c r="N94" s="74"/>
      <c r="O94" s="74"/>
      <c r="P94" s="74"/>
      <c r="Q94" s="74"/>
      <c r="R94" s="25"/>
      <c r="S94" t="str">
        <f t="shared" si="9"/>
        <v/>
      </c>
    </row>
    <row r="95" spans="1:24" ht="15" thickBot="1" x14ac:dyDescent="0.4">
      <c r="A95" s="115"/>
      <c r="B95" s="116"/>
      <c r="C95" s="116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</row>
  </sheetData>
  <mergeCells count="5">
    <mergeCell ref="E1:F1"/>
    <mergeCell ref="D13:E13"/>
    <mergeCell ref="D14:E14"/>
    <mergeCell ref="U17:V17"/>
    <mergeCell ref="W17:X17"/>
  </mergeCells>
  <pageMargins left="0.7" right="0.7" top="0.75" bottom="0.75" header="0.3" footer="0.3"/>
  <pageSetup orientation="portrait" r:id="rId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/>
  <dimension ref="A3:AG272"/>
  <sheetViews>
    <sheetView topLeftCell="A78" zoomScale="90" zoomScaleNormal="90" workbookViewId="0">
      <selection activeCell="T93" sqref="T93"/>
    </sheetView>
  </sheetViews>
  <sheetFormatPr defaultRowHeight="14.5" x14ac:dyDescent="0.35"/>
  <cols>
    <col min="1" max="1" width="13" customWidth="1"/>
    <col min="2" max="2" width="17.6328125" customWidth="1"/>
    <col min="3" max="16" width="10.6328125" customWidth="1"/>
    <col min="17" max="17" width="11.36328125" customWidth="1"/>
    <col min="18" max="19" width="12.08984375" customWidth="1"/>
    <col min="20" max="20" width="13.08984375" customWidth="1"/>
    <col min="21" max="21" width="14.90625" customWidth="1"/>
    <col min="22" max="22" width="13.453125" customWidth="1"/>
    <col min="23" max="23" width="14.54296875" customWidth="1"/>
    <col min="24" max="24" width="11" customWidth="1"/>
    <col min="25" max="25" width="11.36328125" customWidth="1"/>
    <col min="28" max="28" width="9.08984375" customWidth="1"/>
  </cols>
  <sheetData>
    <row r="3" spans="2:33" x14ac:dyDescent="0.35">
      <c r="B3" s="144" t="s">
        <v>125</v>
      </c>
      <c r="C3" s="144"/>
      <c r="D3" s="190"/>
      <c r="R3" s="145" t="s">
        <v>126</v>
      </c>
      <c r="S3" s="272"/>
      <c r="T3" s="146"/>
      <c r="U3" s="191"/>
    </row>
    <row r="4" spans="2:33" x14ac:dyDescent="0.35">
      <c r="B4" s="96"/>
      <c r="C4" s="96"/>
      <c r="E4" s="6"/>
      <c r="F4" s="6"/>
      <c r="G4" s="6"/>
      <c r="H4" s="6"/>
      <c r="I4" s="6"/>
      <c r="J4" s="6"/>
      <c r="K4" s="6"/>
      <c r="L4" s="6"/>
      <c r="R4" s="96"/>
      <c r="S4" s="96"/>
      <c r="T4" s="96"/>
    </row>
    <row r="5" spans="2:33" x14ac:dyDescent="0.35">
      <c r="B5" s="10"/>
      <c r="C5" s="44" t="s">
        <v>74</v>
      </c>
      <c r="D5" s="44" t="s">
        <v>75</v>
      </c>
      <c r="E5" s="41" t="s">
        <v>76</v>
      </c>
      <c r="F5" s="41" t="s">
        <v>77</v>
      </c>
      <c r="G5" s="44" t="s">
        <v>78</v>
      </c>
      <c r="H5" s="44" t="s">
        <v>79</v>
      </c>
      <c r="I5" s="41" t="s">
        <v>80</v>
      </c>
      <c r="J5" s="41" t="s">
        <v>81</v>
      </c>
      <c r="K5" s="44" t="s">
        <v>82</v>
      </c>
      <c r="L5" s="44" t="s">
        <v>83</v>
      </c>
      <c r="M5" s="41" t="s">
        <v>84</v>
      </c>
      <c r="N5" s="41" t="s">
        <v>85</v>
      </c>
      <c r="O5" s="44" t="s">
        <v>86</v>
      </c>
      <c r="P5" s="44" t="s">
        <v>87</v>
      </c>
      <c r="R5" s="96"/>
      <c r="S5" s="96"/>
      <c r="T5" s="44" t="s">
        <v>74</v>
      </c>
      <c r="U5" s="44" t="s">
        <v>75</v>
      </c>
      <c r="V5" s="41" t="s">
        <v>76</v>
      </c>
      <c r="W5" s="41" t="s">
        <v>77</v>
      </c>
      <c r="X5" s="44" t="s">
        <v>78</v>
      </c>
      <c r="Y5" s="44" t="s">
        <v>79</v>
      </c>
      <c r="Z5" s="41" t="s">
        <v>80</v>
      </c>
      <c r="AA5" s="41" t="s">
        <v>81</v>
      </c>
      <c r="AB5" s="44" t="s">
        <v>82</v>
      </c>
      <c r="AC5" s="44" t="s">
        <v>83</v>
      </c>
      <c r="AD5" s="41" t="s">
        <v>84</v>
      </c>
      <c r="AE5" s="41" t="s">
        <v>85</v>
      </c>
      <c r="AF5" s="44" t="s">
        <v>86</v>
      </c>
      <c r="AG5" s="44" t="s">
        <v>87</v>
      </c>
    </row>
    <row r="6" spans="2:33" x14ac:dyDescent="0.35">
      <c r="B6" s="7" t="s">
        <v>63</v>
      </c>
      <c r="C6" s="45">
        <f>T93</f>
        <v>24.75</v>
      </c>
      <c r="D6" s="45">
        <f>U93</f>
        <v>11.875</v>
      </c>
      <c r="E6" s="42">
        <f>T104</f>
        <v>28.125</v>
      </c>
      <c r="F6" s="42">
        <f>U104</f>
        <v>17.125</v>
      </c>
      <c r="G6" s="45">
        <f>T115</f>
        <v>28.125</v>
      </c>
      <c r="H6" s="45">
        <f>U115</f>
        <v>19</v>
      </c>
      <c r="I6" s="42">
        <f>T126</f>
        <v>27.5</v>
      </c>
      <c r="J6" s="42">
        <f>U126</f>
        <v>16.375</v>
      </c>
      <c r="K6" s="45">
        <f>T137</f>
        <v>27.375</v>
      </c>
      <c r="L6" s="45">
        <f>U137</f>
        <v>18.875</v>
      </c>
      <c r="M6" s="42">
        <f>T148</f>
        <v>28.25</v>
      </c>
      <c r="N6" s="42">
        <f>U148</f>
        <v>22.375</v>
      </c>
      <c r="O6" s="45">
        <f>T159</f>
        <v>26.285714285714285</v>
      </c>
      <c r="P6" s="47">
        <f>U159</f>
        <v>25.428571428571427</v>
      </c>
      <c r="R6" s="7" t="s">
        <v>63</v>
      </c>
      <c r="S6" s="52"/>
      <c r="T6" s="99">
        <v>1405</v>
      </c>
      <c r="U6" s="100">
        <v>670</v>
      </c>
      <c r="V6" s="62">
        <v>1690</v>
      </c>
      <c r="W6" s="62">
        <v>1280</v>
      </c>
      <c r="X6" s="98">
        <v>1815</v>
      </c>
      <c r="Y6" s="98">
        <v>1240</v>
      </c>
      <c r="Z6" s="62">
        <v>1670</v>
      </c>
      <c r="AA6" s="62">
        <v>1105</v>
      </c>
      <c r="AB6" s="98">
        <v>1710</v>
      </c>
      <c r="AC6" s="98">
        <v>1195</v>
      </c>
      <c r="AD6" s="62">
        <v>1780</v>
      </c>
      <c r="AE6" s="62">
        <v>1370</v>
      </c>
      <c r="AF6" s="98">
        <v>1480</v>
      </c>
      <c r="AG6" s="108">
        <v>1380</v>
      </c>
    </row>
    <row r="7" spans="2:33" x14ac:dyDescent="0.35">
      <c r="B7" s="9" t="s">
        <v>64</v>
      </c>
      <c r="C7" s="45">
        <f t="shared" ref="C7:C15" si="0">T94</f>
        <v>30.375</v>
      </c>
      <c r="D7" s="45">
        <f t="shared" ref="D7:D15" si="1">U94</f>
        <v>15.625</v>
      </c>
      <c r="E7" s="42">
        <f>T105</f>
        <v>29.5</v>
      </c>
      <c r="F7" s="42">
        <f t="shared" ref="F7:F15" si="2">U105</f>
        <v>20.125</v>
      </c>
      <c r="G7" s="45">
        <f>T116</f>
        <v>28.75</v>
      </c>
      <c r="H7" s="45">
        <f t="shared" ref="H7:H15" si="3">U116</f>
        <v>22.125</v>
      </c>
      <c r="I7" s="42">
        <f t="shared" ref="I7:I14" si="4">T127</f>
        <v>29.125</v>
      </c>
      <c r="J7" s="42">
        <f t="shared" ref="J7:J15" si="5">U127</f>
        <v>21.375</v>
      </c>
      <c r="K7" s="45">
        <f t="shared" ref="K7:K15" si="6">T138</f>
        <v>28.875</v>
      </c>
      <c r="L7" s="45">
        <f t="shared" ref="L7:L15" si="7">U138</f>
        <v>22.875</v>
      </c>
      <c r="M7" s="42">
        <f>T149</f>
        <v>27.5</v>
      </c>
      <c r="N7" s="42">
        <f t="shared" ref="N7:N15" si="8">U149</f>
        <v>25.625</v>
      </c>
      <c r="O7" s="45">
        <f t="shared" ref="O7:O15" si="9">T160</f>
        <v>27.875</v>
      </c>
      <c r="P7" s="48">
        <f t="shared" ref="P7:P15" si="10">U160</f>
        <v>25.875</v>
      </c>
      <c r="R7" s="9" t="s">
        <v>64</v>
      </c>
      <c r="S7" s="54"/>
      <c r="T7" s="101">
        <v>1840</v>
      </c>
      <c r="U7" s="102">
        <v>1210</v>
      </c>
      <c r="V7" s="14">
        <v>1790</v>
      </c>
      <c r="W7" s="14">
        <v>1330</v>
      </c>
      <c r="X7" s="104">
        <v>1780</v>
      </c>
      <c r="Y7" s="104">
        <v>1350</v>
      </c>
      <c r="Z7" s="14">
        <v>1840</v>
      </c>
      <c r="AA7" s="14">
        <v>1325</v>
      </c>
      <c r="AB7" s="104">
        <v>1635</v>
      </c>
      <c r="AC7" s="104">
        <v>1340</v>
      </c>
      <c r="AD7" s="14">
        <v>1605</v>
      </c>
      <c r="AE7" s="14">
        <v>1560</v>
      </c>
      <c r="AF7" s="104">
        <v>1680</v>
      </c>
      <c r="AG7" s="109">
        <v>1450</v>
      </c>
    </row>
    <row r="8" spans="2:33" x14ac:dyDescent="0.35">
      <c r="B8" s="9" t="s">
        <v>65</v>
      </c>
      <c r="C8" s="45">
        <f t="shared" si="0"/>
        <v>30.625</v>
      </c>
      <c r="D8" s="45">
        <f t="shared" si="1"/>
        <v>16.875</v>
      </c>
      <c r="E8" s="42">
        <f t="shared" ref="E8:E15" si="11">T106</f>
        <v>34.25</v>
      </c>
      <c r="F8" s="42">
        <f t="shared" si="2"/>
        <v>19.75</v>
      </c>
      <c r="G8" s="45">
        <f t="shared" ref="G8:G15" si="12">T117</f>
        <v>32.625</v>
      </c>
      <c r="H8" s="45">
        <f t="shared" si="3"/>
        <v>20.875</v>
      </c>
      <c r="I8" s="42">
        <f t="shared" si="4"/>
        <v>32.875</v>
      </c>
      <c r="J8" s="42">
        <f t="shared" si="5"/>
        <v>21</v>
      </c>
      <c r="K8" s="45">
        <f t="shared" si="6"/>
        <v>32.5</v>
      </c>
      <c r="L8" s="45">
        <f t="shared" si="7"/>
        <v>25.875</v>
      </c>
      <c r="M8" s="42">
        <f>T150</f>
        <v>30</v>
      </c>
      <c r="N8" s="42">
        <f t="shared" si="8"/>
        <v>27.25</v>
      </c>
      <c r="O8" s="45">
        <f t="shared" si="9"/>
        <v>28.875</v>
      </c>
      <c r="P8" s="48">
        <f t="shared" si="10"/>
        <v>24.375</v>
      </c>
      <c r="R8" s="9" t="s">
        <v>65</v>
      </c>
      <c r="S8" s="54"/>
      <c r="T8" s="103">
        <v>1830</v>
      </c>
      <c r="U8" s="104">
        <v>1100</v>
      </c>
      <c r="V8" s="14">
        <v>2070</v>
      </c>
      <c r="W8" s="14">
        <v>1235</v>
      </c>
      <c r="X8" s="104">
        <v>1935</v>
      </c>
      <c r="Y8" s="104">
        <v>1350</v>
      </c>
      <c r="Z8" s="14">
        <v>1930</v>
      </c>
      <c r="AA8" s="14">
        <v>1205</v>
      </c>
      <c r="AB8" s="104">
        <v>1950</v>
      </c>
      <c r="AC8" s="104">
        <v>1580</v>
      </c>
      <c r="AD8" s="14">
        <v>1870</v>
      </c>
      <c r="AE8" s="14">
        <v>1545</v>
      </c>
      <c r="AF8" s="104">
        <v>1770</v>
      </c>
      <c r="AG8" s="109">
        <v>1530</v>
      </c>
    </row>
    <row r="9" spans="2:33" x14ac:dyDescent="0.35">
      <c r="B9" s="9" t="s">
        <v>66</v>
      </c>
      <c r="C9" s="45">
        <f t="shared" si="0"/>
        <v>35.375</v>
      </c>
      <c r="D9" s="45">
        <f t="shared" si="1"/>
        <v>17.75</v>
      </c>
      <c r="E9" s="42">
        <f t="shared" si="11"/>
        <v>31.375</v>
      </c>
      <c r="F9" s="42">
        <f t="shared" si="2"/>
        <v>16.875</v>
      </c>
      <c r="G9" s="45">
        <f t="shared" si="12"/>
        <v>31.166666666666668</v>
      </c>
      <c r="H9" s="45">
        <f t="shared" si="3"/>
        <v>21.833333333333332</v>
      </c>
      <c r="I9" s="42">
        <f t="shared" si="4"/>
        <v>30.375</v>
      </c>
      <c r="J9" s="42">
        <f t="shared" si="5"/>
        <v>24</v>
      </c>
      <c r="K9" s="45">
        <f t="shared" si="6"/>
        <v>34.125</v>
      </c>
      <c r="L9" s="45">
        <f t="shared" si="7"/>
        <v>24</v>
      </c>
      <c r="M9" s="42">
        <f t="shared" ref="M9:M15" si="13">T151</f>
        <v>32.375</v>
      </c>
      <c r="N9" s="42">
        <f t="shared" si="8"/>
        <v>30.25</v>
      </c>
      <c r="O9" s="45">
        <f t="shared" si="9"/>
        <v>27.833333333333332</v>
      </c>
      <c r="P9" s="48">
        <f>U162</f>
        <v>34.833333333333336</v>
      </c>
      <c r="R9" s="9" t="s">
        <v>66</v>
      </c>
      <c r="S9" s="54"/>
      <c r="T9" s="103">
        <v>2180</v>
      </c>
      <c r="U9" s="104">
        <v>960</v>
      </c>
      <c r="V9" s="14">
        <v>1875</v>
      </c>
      <c r="W9" s="14">
        <v>1130</v>
      </c>
      <c r="X9" s="104">
        <v>1525</v>
      </c>
      <c r="Y9" s="104">
        <v>975</v>
      </c>
      <c r="Z9" s="14">
        <v>1740</v>
      </c>
      <c r="AA9" s="14">
        <v>1365</v>
      </c>
      <c r="AB9" s="104">
        <v>1935</v>
      </c>
      <c r="AC9" s="104">
        <v>1440</v>
      </c>
      <c r="AD9" s="14">
        <v>2020</v>
      </c>
      <c r="AE9" s="14">
        <v>1805</v>
      </c>
      <c r="AF9" s="104">
        <v>1440</v>
      </c>
      <c r="AG9" s="109">
        <v>1510</v>
      </c>
    </row>
    <row r="10" spans="2:33" x14ac:dyDescent="0.35">
      <c r="B10" s="9" t="s">
        <v>67</v>
      </c>
      <c r="C10" s="45">
        <f t="shared" si="0"/>
        <v>30.5</v>
      </c>
      <c r="D10" s="45">
        <f t="shared" si="1"/>
        <v>14.25</v>
      </c>
      <c r="E10" s="42">
        <f t="shared" si="11"/>
        <v>30</v>
      </c>
      <c r="F10" s="42">
        <f t="shared" si="2"/>
        <v>20.25</v>
      </c>
      <c r="G10" s="45">
        <f t="shared" si="12"/>
        <v>30</v>
      </c>
      <c r="H10" s="45">
        <f t="shared" si="3"/>
        <v>20.75</v>
      </c>
      <c r="I10" s="42">
        <f t="shared" si="4"/>
        <v>31.625</v>
      </c>
      <c r="J10" s="42">
        <f t="shared" si="5"/>
        <v>23.125</v>
      </c>
      <c r="K10" s="45">
        <f t="shared" si="6"/>
        <v>31.75</v>
      </c>
      <c r="L10" s="45">
        <f t="shared" si="7"/>
        <v>26.125</v>
      </c>
      <c r="M10" s="42">
        <f t="shared" si="13"/>
        <v>36</v>
      </c>
      <c r="N10" s="42">
        <f t="shared" si="8"/>
        <v>30.5</v>
      </c>
      <c r="O10" s="45">
        <f t="shared" si="9"/>
        <v>27.5</v>
      </c>
      <c r="P10" s="48">
        <f t="shared" si="10"/>
        <v>29.625</v>
      </c>
      <c r="R10" s="9" t="s">
        <v>67</v>
      </c>
      <c r="S10" s="54"/>
      <c r="T10" s="103">
        <v>1800</v>
      </c>
      <c r="U10" s="104">
        <v>840</v>
      </c>
      <c r="V10" s="14">
        <v>1775</v>
      </c>
      <c r="W10" s="14">
        <v>1245</v>
      </c>
      <c r="X10" s="104">
        <v>1770</v>
      </c>
      <c r="Y10" s="104">
        <v>1275</v>
      </c>
      <c r="Z10" s="14">
        <v>1875</v>
      </c>
      <c r="AA10" s="14">
        <v>1410</v>
      </c>
      <c r="AB10" s="104">
        <v>1830</v>
      </c>
      <c r="AC10" s="104">
        <v>1500</v>
      </c>
      <c r="AD10" s="14">
        <v>2090</v>
      </c>
      <c r="AE10" s="14">
        <v>1785</v>
      </c>
      <c r="AF10" s="104">
        <v>1650</v>
      </c>
      <c r="AG10" s="109">
        <v>1760</v>
      </c>
    </row>
    <row r="11" spans="2:33" x14ac:dyDescent="0.35">
      <c r="B11" s="9" t="s">
        <v>68</v>
      </c>
      <c r="C11" s="45">
        <f t="shared" si="0"/>
        <v>29.375</v>
      </c>
      <c r="D11" s="45">
        <f t="shared" si="1"/>
        <v>16.375</v>
      </c>
      <c r="E11" s="42">
        <f t="shared" si="11"/>
        <v>28.75</v>
      </c>
      <c r="F11" s="42">
        <f t="shared" si="2"/>
        <v>18.625</v>
      </c>
      <c r="G11" s="45">
        <f>T120</f>
        <v>30.875</v>
      </c>
      <c r="H11" s="45">
        <f>U120</f>
        <v>22.375</v>
      </c>
      <c r="I11" s="42">
        <f>T131</f>
        <v>28.125</v>
      </c>
      <c r="J11" s="42">
        <f>U131</f>
        <v>19.75</v>
      </c>
      <c r="K11" s="45">
        <f t="shared" si="6"/>
        <v>33.375</v>
      </c>
      <c r="L11" s="45">
        <f t="shared" si="7"/>
        <v>27</v>
      </c>
      <c r="M11" s="42">
        <f t="shared" si="13"/>
        <v>29</v>
      </c>
      <c r="N11" s="42">
        <f t="shared" si="8"/>
        <v>25.75</v>
      </c>
      <c r="O11" s="45">
        <f t="shared" si="9"/>
        <v>32.75</v>
      </c>
      <c r="P11" s="48">
        <f t="shared" si="10"/>
        <v>30.875</v>
      </c>
      <c r="R11" s="9" t="s">
        <v>68</v>
      </c>
      <c r="S11" s="54"/>
      <c r="T11" s="103">
        <v>1815</v>
      </c>
      <c r="U11" s="104">
        <v>1345</v>
      </c>
      <c r="V11" s="14">
        <v>1765</v>
      </c>
      <c r="W11" s="14">
        <v>1170</v>
      </c>
      <c r="X11" s="104">
        <v>1815</v>
      </c>
      <c r="Y11" s="104">
        <v>1335</v>
      </c>
      <c r="Z11" s="14">
        <v>1710</v>
      </c>
      <c r="AA11" s="14">
        <v>1215</v>
      </c>
      <c r="AB11" s="104">
        <v>2130</v>
      </c>
      <c r="AC11" s="104">
        <v>1485</v>
      </c>
      <c r="AD11" s="14">
        <v>1740</v>
      </c>
      <c r="AE11" s="14">
        <v>1585</v>
      </c>
      <c r="AF11" s="104">
        <v>1890</v>
      </c>
      <c r="AG11" s="109">
        <v>1785</v>
      </c>
    </row>
    <row r="12" spans="2:33" x14ac:dyDescent="0.35">
      <c r="B12" s="9" t="s">
        <v>69</v>
      </c>
      <c r="C12" s="45">
        <f t="shared" si="0"/>
        <v>34.125</v>
      </c>
      <c r="D12" s="45">
        <f t="shared" si="1"/>
        <v>17.5</v>
      </c>
      <c r="E12" s="42">
        <f t="shared" si="11"/>
        <v>28.25</v>
      </c>
      <c r="F12" s="42">
        <f t="shared" si="2"/>
        <v>19.125</v>
      </c>
      <c r="G12" s="45">
        <f>T121</f>
        <v>31.571428571428573</v>
      </c>
      <c r="H12" s="45">
        <f>U121</f>
        <v>24.857142857142858</v>
      </c>
      <c r="I12" s="42">
        <f t="shared" si="4"/>
        <v>32.875</v>
      </c>
      <c r="J12" s="42">
        <f t="shared" si="5"/>
        <v>21.375</v>
      </c>
      <c r="K12" s="45">
        <f t="shared" si="6"/>
        <v>31.75</v>
      </c>
      <c r="L12" s="45">
        <f t="shared" si="7"/>
        <v>23.5</v>
      </c>
      <c r="M12" s="42">
        <f t="shared" si="13"/>
        <v>27.5</v>
      </c>
      <c r="N12" s="42">
        <f t="shared" si="8"/>
        <v>22.125</v>
      </c>
      <c r="O12" s="45">
        <f t="shared" si="9"/>
        <v>32.375</v>
      </c>
      <c r="P12" s="48">
        <f t="shared" si="10"/>
        <v>31.75</v>
      </c>
      <c r="R12" s="9" t="s">
        <v>69</v>
      </c>
      <c r="S12" s="54"/>
      <c r="T12" s="103">
        <v>2040</v>
      </c>
      <c r="U12" s="104">
        <v>1110</v>
      </c>
      <c r="V12" s="14">
        <v>1680</v>
      </c>
      <c r="W12" s="14">
        <v>1125</v>
      </c>
      <c r="X12" s="104">
        <v>1635</v>
      </c>
      <c r="Y12" s="104">
        <v>1220</v>
      </c>
      <c r="Z12" s="14">
        <v>1905</v>
      </c>
      <c r="AA12" s="14">
        <v>1325</v>
      </c>
      <c r="AB12" s="104">
        <v>1890</v>
      </c>
      <c r="AC12" s="104">
        <v>1440</v>
      </c>
      <c r="AD12" s="14">
        <v>1710</v>
      </c>
      <c r="AE12" s="14">
        <v>1350</v>
      </c>
      <c r="AF12" s="104">
        <v>1815</v>
      </c>
      <c r="AG12" s="109">
        <v>1745</v>
      </c>
    </row>
    <row r="13" spans="2:33" x14ac:dyDescent="0.35">
      <c r="B13" s="9" t="s">
        <v>70</v>
      </c>
      <c r="C13" s="45">
        <f t="shared" si="0"/>
        <v>29.125</v>
      </c>
      <c r="D13" s="45">
        <f t="shared" si="1"/>
        <v>14.75</v>
      </c>
      <c r="E13" s="42">
        <f t="shared" si="11"/>
        <v>32.125</v>
      </c>
      <c r="F13" s="42">
        <f t="shared" si="2"/>
        <v>19.375</v>
      </c>
      <c r="G13" s="45">
        <f t="shared" si="12"/>
        <v>31.375</v>
      </c>
      <c r="H13" s="45">
        <f>U122</f>
        <v>22.25</v>
      </c>
      <c r="I13" s="42">
        <f t="shared" si="4"/>
        <v>34.25</v>
      </c>
      <c r="J13" s="42">
        <f t="shared" si="5"/>
        <v>21.625</v>
      </c>
      <c r="K13" s="45">
        <f t="shared" si="6"/>
        <v>35.125</v>
      </c>
      <c r="L13" s="45">
        <f t="shared" si="7"/>
        <v>25.75</v>
      </c>
      <c r="M13" s="42">
        <f t="shared" si="13"/>
        <v>34.375</v>
      </c>
      <c r="N13" s="42">
        <f t="shared" si="8"/>
        <v>29.625</v>
      </c>
      <c r="O13" s="45">
        <f t="shared" si="9"/>
        <v>32</v>
      </c>
      <c r="P13" s="48">
        <f t="shared" si="10"/>
        <v>24.625</v>
      </c>
      <c r="R13" s="9" t="s">
        <v>70</v>
      </c>
      <c r="S13" s="54"/>
      <c r="T13" s="103">
        <v>1725</v>
      </c>
      <c r="U13" s="104">
        <v>865</v>
      </c>
      <c r="V13" s="14">
        <v>1905</v>
      </c>
      <c r="W13" s="14">
        <v>1250</v>
      </c>
      <c r="X13" s="104">
        <v>1845</v>
      </c>
      <c r="Y13" s="104">
        <v>1380</v>
      </c>
      <c r="Z13" s="14">
        <v>2095</v>
      </c>
      <c r="AA13" s="14">
        <v>1235</v>
      </c>
      <c r="AB13" s="104">
        <v>2085</v>
      </c>
      <c r="AC13" s="104">
        <v>1460</v>
      </c>
      <c r="AD13" s="14">
        <v>2025</v>
      </c>
      <c r="AE13" s="14">
        <v>1665</v>
      </c>
      <c r="AF13" s="104">
        <v>1910</v>
      </c>
      <c r="AG13" s="109">
        <v>1505</v>
      </c>
    </row>
    <row r="14" spans="2:33" x14ac:dyDescent="0.35">
      <c r="B14" s="9" t="s">
        <v>71</v>
      </c>
      <c r="C14" s="45">
        <f>T101</f>
        <v>31.428571428571427</v>
      </c>
      <c r="D14" s="45">
        <f t="shared" si="1"/>
        <v>17.428571428571427</v>
      </c>
      <c r="E14" s="42">
        <f t="shared" si="11"/>
        <v>29.75</v>
      </c>
      <c r="F14" s="42">
        <f t="shared" si="2"/>
        <v>18.625</v>
      </c>
      <c r="G14" s="45">
        <f t="shared" si="12"/>
        <v>35.125</v>
      </c>
      <c r="H14" s="45">
        <f t="shared" si="3"/>
        <v>28.25</v>
      </c>
      <c r="I14" s="42">
        <f t="shared" si="4"/>
        <v>31.75</v>
      </c>
      <c r="J14" s="42">
        <f t="shared" si="5"/>
        <v>22.75</v>
      </c>
      <c r="K14" s="45">
        <f t="shared" si="6"/>
        <v>30.125</v>
      </c>
      <c r="L14" s="45">
        <f t="shared" si="7"/>
        <v>24</v>
      </c>
      <c r="M14" s="42">
        <f t="shared" si="13"/>
        <v>34.875</v>
      </c>
      <c r="N14" s="42">
        <f t="shared" si="8"/>
        <v>24.375</v>
      </c>
      <c r="O14" s="45">
        <f t="shared" si="9"/>
        <v>29.5</v>
      </c>
      <c r="P14" s="48">
        <f t="shared" si="10"/>
        <v>28.333333333333332</v>
      </c>
      <c r="R14" s="9" t="s">
        <v>71</v>
      </c>
      <c r="S14" s="54"/>
      <c r="T14" s="103">
        <v>1935</v>
      </c>
      <c r="U14" s="104">
        <v>1320</v>
      </c>
      <c r="V14" s="14">
        <v>1805</v>
      </c>
      <c r="W14" s="14">
        <v>1155</v>
      </c>
      <c r="X14" s="104">
        <v>1950</v>
      </c>
      <c r="Y14" s="104">
        <v>1585</v>
      </c>
      <c r="Z14" s="14">
        <v>1860</v>
      </c>
      <c r="AA14" s="14">
        <v>1290</v>
      </c>
      <c r="AB14" s="104">
        <v>1740</v>
      </c>
      <c r="AC14" s="104">
        <v>1335</v>
      </c>
      <c r="AD14" s="14">
        <v>2100</v>
      </c>
      <c r="AE14" s="14">
        <v>1415</v>
      </c>
      <c r="AF14" s="104">
        <v>1490</v>
      </c>
      <c r="AG14" s="109">
        <v>1260</v>
      </c>
    </row>
    <row r="15" spans="2:33" x14ac:dyDescent="0.35">
      <c r="B15" s="8" t="s">
        <v>72</v>
      </c>
      <c r="C15" s="45">
        <f t="shared" si="0"/>
        <v>32</v>
      </c>
      <c r="D15" s="45">
        <f t="shared" si="1"/>
        <v>20.125</v>
      </c>
      <c r="E15" s="42">
        <f t="shared" si="11"/>
        <v>34.25</v>
      </c>
      <c r="F15" s="42">
        <f t="shared" si="2"/>
        <v>22.25</v>
      </c>
      <c r="G15" s="45" t="e">
        <f t="shared" si="12"/>
        <v>#DIV/0!</v>
      </c>
      <c r="H15" s="45" t="e">
        <f t="shared" si="3"/>
        <v>#DIV/0!</v>
      </c>
      <c r="I15" s="42">
        <f>T135</f>
        <v>33.625</v>
      </c>
      <c r="J15" s="42">
        <f t="shared" si="5"/>
        <v>21.875</v>
      </c>
      <c r="K15" s="45">
        <f t="shared" si="6"/>
        <v>29.125</v>
      </c>
      <c r="L15" s="45">
        <f t="shared" si="7"/>
        <v>23.875</v>
      </c>
      <c r="M15" s="42">
        <f t="shared" si="13"/>
        <v>32.25</v>
      </c>
      <c r="N15" s="42">
        <f t="shared" si="8"/>
        <v>21.75</v>
      </c>
      <c r="O15" s="45">
        <f t="shared" si="9"/>
        <v>28.857142857142858</v>
      </c>
      <c r="P15" s="49">
        <f t="shared" si="10"/>
        <v>26.571428571428573</v>
      </c>
      <c r="R15" s="8" t="s">
        <v>72</v>
      </c>
      <c r="S15" s="5"/>
      <c r="T15" s="105">
        <v>1830</v>
      </c>
      <c r="U15" s="106">
        <v>1235</v>
      </c>
      <c r="V15" s="63">
        <v>2065</v>
      </c>
      <c r="W15" s="63">
        <v>1325</v>
      </c>
      <c r="X15" s="106" t="s">
        <v>3</v>
      </c>
      <c r="Y15" s="106" t="s">
        <v>3</v>
      </c>
      <c r="Z15" s="63">
        <v>1980</v>
      </c>
      <c r="AA15" s="63">
        <v>1275</v>
      </c>
      <c r="AB15" s="106">
        <v>1695</v>
      </c>
      <c r="AC15" s="106">
        <v>1375</v>
      </c>
      <c r="AD15" s="63">
        <v>1890</v>
      </c>
      <c r="AE15" s="63">
        <v>1275</v>
      </c>
      <c r="AF15" s="106">
        <v>1710</v>
      </c>
      <c r="AG15" s="110">
        <v>1395</v>
      </c>
    </row>
    <row r="16" spans="2:33" x14ac:dyDescent="0.35">
      <c r="B16" s="11" t="s">
        <v>90</v>
      </c>
      <c r="C16" s="46">
        <f>AVERAGE(C6:C15)</f>
        <v>30.767857142857146</v>
      </c>
      <c r="D16" s="46">
        <f>AVERAGE(D6:D15)</f>
        <v>16.255357142857143</v>
      </c>
      <c r="E16" s="43">
        <f>AVERAGE(E6:E15)</f>
        <v>30.637499999999999</v>
      </c>
      <c r="F16" s="43">
        <f>AVERAGE(F6:F15)</f>
        <v>19.212499999999999</v>
      </c>
      <c r="G16" s="46">
        <f>AVERAGE(G6:G14)</f>
        <v>31.0681216931217</v>
      </c>
      <c r="H16" s="46">
        <f>AVERAGE(H6:H14)</f>
        <v>22.479497354497354</v>
      </c>
      <c r="I16" s="43">
        <f t="shared" ref="I16:P16" si="14">AVERAGE(I6:I15)</f>
        <v>31.212499999999999</v>
      </c>
      <c r="J16" s="43">
        <f t="shared" si="14"/>
        <v>21.324999999999999</v>
      </c>
      <c r="K16" s="46">
        <f t="shared" si="14"/>
        <v>31.412500000000001</v>
      </c>
      <c r="L16" s="46">
        <f t="shared" si="14"/>
        <v>24.1875</v>
      </c>
      <c r="M16" s="43">
        <f t="shared" si="14"/>
        <v>31.212499999999999</v>
      </c>
      <c r="N16" s="43">
        <f t="shared" si="14"/>
        <v>25.962499999999999</v>
      </c>
      <c r="O16" s="46">
        <f t="shared" si="14"/>
        <v>29.385119047619042</v>
      </c>
      <c r="P16" s="46">
        <f t="shared" si="14"/>
        <v>28.229166666666668</v>
      </c>
      <c r="Q16" s="25"/>
      <c r="R16" s="114" t="s">
        <v>60</v>
      </c>
      <c r="S16" s="114"/>
      <c r="T16" s="113">
        <f>AVERAGE(T6:T15)</f>
        <v>1840</v>
      </c>
      <c r="U16" s="113">
        <f t="shared" ref="U16:AG16" si="15">AVERAGE(U6:U15)</f>
        <v>1065.5</v>
      </c>
      <c r="V16" s="96">
        <f t="shared" si="15"/>
        <v>1842</v>
      </c>
      <c r="W16" s="96">
        <f t="shared" si="15"/>
        <v>1224.5</v>
      </c>
      <c r="X16" s="113">
        <f>AVERAGE(X6:X15)</f>
        <v>1785.5555555555557</v>
      </c>
      <c r="Y16" s="113">
        <f t="shared" si="15"/>
        <v>1301.1111111111111</v>
      </c>
      <c r="Z16" s="96">
        <f t="shared" si="15"/>
        <v>1860.5</v>
      </c>
      <c r="AA16" s="96">
        <f t="shared" si="15"/>
        <v>1275</v>
      </c>
      <c r="AB16" s="113">
        <f t="shared" si="15"/>
        <v>1860</v>
      </c>
      <c r="AC16" s="113">
        <f t="shared" si="15"/>
        <v>1415</v>
      </c>
      <c r="AD16" s="96">
        <f t="shared" si="15"/>
        <v>1883</v>
      </c>
      <c r="AE16" s="96">
        <f t="shared" si="15"/>
        <v>1535.5</v>
      </c>
      <c r="AF16" s="113">
        <f t="shared" si="15"/>
        <v>1683.5</v>
      </c>
      <c r="AG16" s="113">
        <f t="shared" si="15"/>
        <v>1532</v>
      </c>
    </row>
    <row r="17" spans="2:33" x14ac:dyDescent="0.35">
      <c r="B17" s="10" t="s">
        <v>22</v>
      </c>
      <c r="C17" s="406">
        <f>((C16-D16)/C16)*100</f>
        <v>47.167730702263498</v>
      </c>
      <c r="D17" s="406"/>
      <c r="E17" s="409">
        <f>((E16-F16)/E16)*100</f>
        <v>37.290901672786617</v>
      </c>
      <c r="F17" s="409"/>
      <c r="G17" s="406">
        <f>((G16-H16)/G16)*100</f>
        <v>27.644491750931362</v>
      </c>
      <c r="H17" s="406"/>
      <c r="I17" s="409">
        <f>((I16-J16)/I16)*100</f>
        <v>31.678013616339605</v>
      </c>
      <c r="J17" s="409"/>
      <c r="K17" s="406">
        <f>((K16-L16)/K16)*100</f>
        <v>23.000397930760052</v>
      </c>
      <c r="L17" s="406"/>
      <c r="M17" s="409">
        <f>((M16-N16)/M16)*100</f>
        <v>16.820184221065279</v>
      </c>
      <c r="N17" s="409"/>
      <c r="O17" s="405">
        <f>((O16-P16)/O16)*100</f>
        <v>3.9338019324649864</v>
      </c>
      <c r="P17" s="406"/>
      <c r="Q17" s="9"/>
      <c r="R17" s="56" t="s">
        <v>22</v>
      </c>
      <c r="S17" s="147"/>
      <c r="T17" s="403">
        <f>((T16-U16)/T16)*100</f>
        <v>42.092391304347828</v>
      </c>
      <c r="U17" s="404"/>
      <c r="V17" s="403">
        <f>((V16-W16)/V16)*100</f>
        <v>33.523344191096633</v>
      </c>
      <c r="W17" s="404"/>
      <c r="X17" s="403">
        <f>((X16-Y16)/X16)*100</f>
        <v>27.131300560049787</v>
      </c>
      <c r="Y17" s="404"/>
      <c r="Z17" s="403">
        <f>((Z16-AA16)/Z16)*100</f>
        <v>31.470034936844932</v>
      </c>
      <c r="AA17" s="404"/>
      <c r="AB17" s="403">
        <f>((AB16-AC16)/AB16)*100</f>
        <v>23.9247311827957</v>
      </c>
      <c r="AC17" s="404"/>
      <c r="AD17" s="403">
        <f>((AD16-AE16)/AD16)*100</f>
        <v>18.454593733404142</v>
      </c>
      <c r="AE17" s="404"/>
      <c r="AF17" s="403">
        <f>((AF16-AG16)/AF16)*100</f>
        <v>8.9991089991089979</v>
      </c>
      <c r="AG17" s="404"/>
    </row>
    <row r="18" spans="2:33" x14ac:dyDescent="0.35">
      <c r="B18" s="9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 x14ac:dyDescent="0.35">
      <c r="B19" s="61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R19" s="96"/>
      <c r="S19" s="96" t="s">
        <v>50</v>
      </c>
      <c r="T19" s="44" t="s">
        <v>74</v>
      </c>
      <c r="U19" s="44" t="s">
        <v>75</v>
      </c>
      <c r="V19" s="41" t="s">
        <v>76</v>
      </c>
      <c r="W19" s="41" t="s">
        <v>77</v>
      </c>
      <c r="X19" s="44" t="s">
        <v>78</v>
      </c>
      <c r="Y19" s="44" t="s">
        <v>79</v>
      </c>
      <c r="Z19" s="41" t="s">
        <v>80</v>
      </c>
      <c r="AA19" s="41" t="s">
        <v>81</v>
      </c>
      <c r="AB19" s="44" t="s">
        <v>82</v>
      </c>
      <c r="AC19" s="44" t="s">
        <v>83</v>
      </c>
      <c r="AD19" s="41" t="s">
        <v>84</v>
      </c>
      <c r="AE19" s="41" t="s">
        <v>85</v>
      </c>
      <c r="AF19" s="44" t="s">
        <v>86</v>
      </c>
      <c r="AG19" s="44" t="s">
        <v>87</v>
      </c>
    </row>
    <row r="20" spans="2:33" x14ac:dyDescent="0.35">
      <c r="B20" s="6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R20" s="7" t="s">
        <v>63</v>
      </c>
      <c r="S20" s="2">
        <v>40879</v>
      </c>
      <c r="T20" s="99">
        <v>1405</v>
      </c>
      <c r="U20" s="100">
        <v>670</v>
      </c>
      <c r="V20" s="62">
        <v>1690</v>
      </c>
      <c r="W20" s="62">
        <v>1280</v>
      </c>
      <c r="X20" s="98">
        <v>1815</v>
      </c>
      <c r="Y20" s="98">
        <v>1240</v>
      </c>
      <c r="Z20" s="62">
        <v>1670</v>
      </c>
      <c r="AA20" s="62">
        <v>1105</v>
      </c>
      <c r="AB20" s="98">
        <v>1710</v>
      </c>
      <c r="AC20" s="98">
        <v>1195</v>
      </c>
      <c r="AD20" s="62">
        <v>1780</v>
      </c>
      <c r="AE20" s="62">
        <v>1370</v>
      </c>
      <c r="AF20" s="98">
        <v>1480</v>
      </c>
      <c r="AG20" s="108">
        <v>1380</v>
      </c>
    </row>
    <row r="21" spans="2:33" x14ac:dyDescent="0.35">
      <c r="B21" s="61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R21" s="9" t="s">
        <v>64</v>
      </c>
      <c r="S21" s="2">
        <v>40884</v>
      </c>
      <c r="T21" s="101">
        <v>1840</v>
      </c>
      <c r="U21" s="102">
        <v>1210</v>
      </c>
      <c r="V21" s="14">
        <v>1790</v>
      </c>
      <c r="W21" s="14">
        <v>1330</v>
      </c>
      <c r="X21" s="104">
        <v>1780</v>
      </c>
      <c r="Y21" s="104">
        <v>1350</v>
      </c>
      <c r="Z21" s="14">
        <v>1840</v>
      </c>
      <c r="AA21" s="14">
        <v>1325</v>
      </c>
      <c r="AB21" s="104">
        <v>1635</v>
      </c>
      <c r="AC21" s="104">
        <v>1340</v>
      </c>
      <c r="AD21" s="14">
        <v>1605</v>
      </c>
      <c r="AE21" s="14">
        <v>1560</v>
      </c>
      <c r="AF21" s="104">
        <v>1680</v>
      </c>
      <c r="AG21" s="109">
        <v>1450</v>
      </c>
    </row>
    <row r="22" spans="2:33" x14ac:dyDescent="0.35">
      <c r="B22" s="61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R22" s="9" t="s">
        <v>65</v>
      </c>
      <c r="S22" s="2">
        <v>40891</v>
      </c>
      <c r="T22" s="103">
        <v>1830</v>
      </c>
      <c r="U22" s="104">
        <v>1100</v>
      </c>
      <c r="V22" s="14">
        <v>2070</v>
      </c>
      <c r="W22" s="14">
        <v>1235</v>
      </c>
      <c r="X22" s="104">
        <v>1935</v>
      </c>
      <c r="Y22" s="104">
        <v>1350</v>
      </c>
      <c r="Z22" s="14">
        <v>1930</v>
      </c>
      <c r="AA22" s="14">
        <v>1205</v>
      </c>
      <c r="AB22" s="104">
        <v>1950</v>
      </c>
      <c r="AC22" s="104">
        <v>1580</v>
      </c>
      <c r="AD22" s="14">
        <v>1870</v>
      </c>
      <c r="AE22" s="14">
        <v>1545</v>
      </c>
      <c r="AF22" s="104">
        <v>1770</v>
      </c>
      <c r="AG22" s="109">
        <v>1530</v>
      </c>
    </row>
    <row r="23" spans="2:33" x14ac:dyDescent="0.35">
      <c r="B23" s="6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R23" s="9" t="s">
        <v>66</v>
      </c>
      <c r="S23" s="2">
        <v>40892</v>
      </c>
      <c r="T23" s="103">
        <v>2180</v>
      </c>
      <c r="U23" s="104">
        <v>960</v>
      </c>
      <c r="V23" s="14">
        <v>1875</v>
      </c>
      <c r="W23" s="14">
        <v>1130</v>
      </c>
      <c r="X23" s="104">
        <v>1525</v>
      </c>
      <c r="Y23" s="104">
        <v>975</v>
      </c>
      <c r="Z23" s="14">
        <v>1740</v>
      </c>
      <c r="AA23" s="14">
        <v>1365</v>
      </c>
      <c r="AB23" s="104">
        <v>1935</v>
      </c>
      <c r="AC23" s="104">
        <v>1440</v>
      </c>
      <c r="AD23" s="14">
        <v>2020</v>
      </c>
      <c r="AE23" s="14">
        <v>1805</v>
      </c>
      <c r="AF23" s="104">
        <v>1440</v>
      </c>
      <c r="AG23" s="109">
        <v>1510</v>
      </c>
    </row>
    <row r="24" spans="2:33" ht="18.5" x14ac:dyDescent="0.45">
      <c r="B24" s="61"/>
      <c r="C24" s="14"/>
      <c r="D24" s="14"/>
      <c r="E24" s="14"/>
      <c r="F24" s="14"/>
      <c r="G24" s="14"/>
      <c r="H24" s="14"/>
      <c r="I24" s="14"/>
      <c r="J24" s="378" t="s">
        <v>141</v>
      </c>
      <c r="K24" s="378"/>
      <c r="L24" s="378"/>
      <c r="M24" s="378"/>
      <c r="N24" s="378"/>
      <c r="O24" s="378"/>
      <c r="P24" s="378"/>
      <c r="R24" s="9" t="s">
        <v>67</v>
      </c>
      <c r="S24" s="2">
        <v>40905</v>
      </c>
      <c r="T24" s="103">
        <v>1800</v>
      </c>
      <c r="U24" s="104">
        <v>840</v>
      </c>
      <c r="V24" s="14">
        <v>1775</v>
      </c>
      <c r="W24" s="14">
        <v>1245</v>
      </c>
      <c r="X24" s="104">
        <v>1770</v>
      </c>
      <c r="Y24" s="104">
        <v>1275</v>
      </c>
      <c r="Z24" s="14">
        <v>1875</v>
      </c>
      <c r="AA24" s="14">
        <v>1410</v>
      </c>
      <c r="AB24" s="104">
        <v>1830</v>
      </c>
      <c r="AC24" s="104">
        <v>1500</v>
      </c>
      <c r="AD24" s="14">
        <v>2090</v>
      </c>
      <c r="AE24" s="14">
        <v>1785</v>
      </c>
      <c r="AF24" s="104">
        <v>1650</v>
      </c>
      <c r="AG24" s="109">
        <v>1760</v>
      </c>
    </row>
    <row r="25" spans="2:33" x14ac:dyDescent="0.35">
      <c r="B25" s="6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R25" s="9" t="s">
        <v>68</v>
      </c>
      <c r="S25" s="2">
        <v>40915</v>
      </c>
      <c r="T25" s="103">
        <v>1815</v>
      </c>
      <c r="U25" s="104">
        <v>1345</v>
      </c>
      <c r="V25" s="14">
        <v>1765</v>
      </c>
      <c r="W25" s="14">
        <v>1170</v>
      </c>
      <c r="X25" s="104">
        <v>1815</v>
      </c>
      <c r="Y25" s="104">
        <v>1335</v>
      </c>
      <c r="Z25" s="14">
        <v>1710</v>
      </c>
      <c r="AA25" s="14">
        <v>1215</v>
      </c>
      <c r="AB25" s="104">
        <v>2130</v>
      </c>
      <c r="AC25" s="104">
        <v>1485</v>
      </c>
      <c r="AD25" s="14">
        <v>1740</v>
      </c>
      <c r="AE25" s="14">
        <v>1585</v>
      </c>
      <c r="AF25" s="104">
        <v>1890</v>
      </c>
      <c r="AG25" s="109">
        <v>1785</v>
      </c>
    </row>
    <row r="26" spans="2:33" x14ac:dyDescent="0.35">
      <c r="B26" s="6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R26" s="9" t="s">
        <v>69</v>
      </c>
      <c r="S26" s="2">
        <v>40926</v>
      </c>
      <c r="T26" s="103">
        <v>2040</v>
      </c>
      <c r="U26" s="104">
        <v>1110</v>
      </c>
      <c r="V26" s="14">
        <v>1680</v>
      </c>
      <c r="W26" s="14">
        <v>1125</v>
      </c>
      <c r="X26" s="104">
        <v>1635</v>
      </c>
      <c r="Y26" s="104">
        <v>1220</v>
      </c>
      <c r="Z26" s="14">
        <v>1905</v>
      </c>
      <c r="AA26" s="14">
        <v>1325</v>
      </c>
      <c r="AB26" s="104">
        <v>1890</v>
      </c>
      <c r="AC26" s="104">
        <v>1440</v>
      </c>
      <c r="AD26" s="14">
        <v>1710</v>
      </c>
      <c r="AE26" s="14">
        <v>1350</v>
      </c>
      <c r="AF26" s="104">
        <v>1815</v>
      </c>
      <c r="AG26" s="109">
        <v>1745</v>
      </c>
    </row>
    <row r="27" spans="2:33" x14ac:dyDescent="0.35">
      <c r="B27" s="192"/>
      <c r="C27" s="410" t="s">
        <v>119</v>
      </c>
      <c r="D27" s="410"/>
      <c r="E27" s="410"/>
      <c r="F27" s="410"/>
      <c r="G27" s="410"/>
      <c r="H27" s="410"/>
      <c r="I27" s="411"/>
      <c r="J27" s="14"/>
      <c r="K27" s="14"/>
      <c r="L27" s="14"/>
      <c r="M27" s="14"/>
      <c r="N27" s="14"/>
      <c r="O27" s="14"/>
      <c r="P27" s="14"/>
      <c r="R27" s="9" t="s">
        <v>70</v>
      </c>
      <c r="S27" s="2">
        <v>40933</v>
      </c>
      <c r="T27" s="103">
        <v>1725</v>
      </c>
      <c r="U27" s="104">
        <v>865</v>
      </c>
      <c r="V27" s="14">
        <v>1905</v>
      </c>
      <c r="W27" s="14">
        <v>1250</v>
      </c>
      <c r="X27" s="104">
        <v>1845</v>
      </c>
      <c r="Y27" s="104">
        <v>1380</v>
      </c>
      <c r="Z27" s="14">
        <v>2095</v>
      </c>
      <c r="AA27" s="14">
        <v>1235</v>
      </c>
      <c r="AB27" s="104">
        <v>2085</v>
      </c>
      <c r="AC27" s="104">
        <v>1460</v>
      </c>
      <c r="AD27" s="14">
        <v>2025</v>
      </c>
      <c r="AE27" s="14">
        <v>1665</v>
      </c>
      <c r="AF27" s="104">
        <v>1910</v>
      </c>
      <c r="AG27" s="109">
        <v>1505</v>
      </c>
    </row>
    <row r="28" spans="2:33" x14ac:dyDescent="0.35">
      <c r="B28" s="54"/>
      <c r="C28" s="55" t="s">
        <v>1</v>
      </c>
      <c r="D28" s="147" t="s">
        <v>109</v>
      </c>
      <c r="E28" s="147" t="s">
        <v>110</v>
      </c>
      <c r="F28" s="147" t="s">
        <v>111</v>
      </c>
      <c r="G28" s="147" t="s">
        <v>112</v>
      </c>
      <c r="H28" s="147" t="s">
        <v>113</v>
      </c>
      <c r="I28" s="56" t="s">
        <v>114</v>
      </c>
      <c r="J28" s="14"/>
      <c r="K28" s="14"/>
      <c r="L28" s="14"/>
      <c r="M28" s="14"/>
      <c r="N28" s="14"/>
      <c r="O28" s="14"/>
      <c r="P28" s="14"/>
      <c r="R28" s="9" t="s">
        <v>71</v>
      </c>
      <c r="S28" s="2">
        <v>40938</v>
      </c>
      <c r="T28" s="103">
        <v>1935</v>
      </c>
      <c r="U28" s="104">
        <v>1320</v>
      </c>
      <c r="V28" s="14">
        <v>1805</v>
      </c>
      <c r="W28" s="14">
        <v>1155</v>
      </c>
      <c r="X28" s="104">
        <v>1950</v>
      </c>
      <c r="Y28" s="104">
        <v>1585</v>
      </c>
      <c r="Z28" s="14">
        <v>1860</v>
      </c>
      <c r="AA28" s="14">
        <v>1290</v>
      </c>
      <c r="AB28" s="104">
        <v>1740</v>
      </c>
      <c r="AC28" s="104">
        <v>1335</v>
      </c>
      <c r="AD28" s="14">
        <v>2100</v>
      </c>
      <c r="AE28" s="14">
        <v>1415</v>
      </c>
      <c r="AF28" s="104">
        <v>1490</v>
      </c>
      <c r="AG28" s="109">
        <v>1260</v>
      </c>
    </row>
    <row r="29" spans="2:33" x14ac:dyDescent="0.35">
      <c r="B29" s="183" t="s">
        <v>63</v>
      </c>
      <c r="C29" s="193">
        <f>((C6-D6)/C6)</f>
        <v>0.52020202020202022</v>
      </c>
      <c r="D29" s="193">
        <f>((E6-F6)/E6)</f>
        <v>0.39111111111111113</v>
      </c>
      <c r="E29" s="193">
        <f>((G6-H6)/G6)</f>
        <v>0.32444444444444442</v>
      </c>
      <c r="F29" s="193">
        <f>((I6-J6)/I6)</f>
        <v>0.40454545454545454</v>
      </c>
      <c r="G29" s="193">
        <f>((K6-L6)/K6)</f>
        <v>0.31050228310502281</v>
      </c>
      <c r="H29" s="193">
        <f>((M6-N6)/M6)</f>
        <v>0.20796460176991149</v>
      </c>
      <c r="I29" s="194">
        <f>((O6-P6)/O6)</f>
        <v>3.2608695652173933E-2</v>
      </c>
      <c r="J29" s="14"/>
      <c r="K29" s="14"/>
      <c r="L29" s="14"/>
      <c r="M29" s="14"/>
      <c r="N29" s="14"/>
      <c r="O29" s="14"/>
      <c r="P29" s="14"/>
      <c r="R29" s="8" t="s">
        <v>72</v>
      </c>
      <c r="S29" s="2">
        <v>40951</v>
      </c>
      <c r="T29" s="105">
        <v>1830</v>
      </c>
      <c r="U29" s="106">
        <v>1235</v>
      </c>
      <c r="V29" s="63">
        <v>2065</v>
      </c>
      <c r="W29" s="63">
        <v>1325</v>
      </c>
      <c r="X29" s="106" t="s">
        <v>3</v>
      </c>
      <c r="Y29" s="106" t="s">
        <v>3</v>
      </c>
      <c r="Z29" s="63">
        <v>1980</v>
      </c>
      <c r="AA29" s="63">
        <v>1275</v>
      </c>
      <c r="AB29" s="106">
        <v>1695</v>
      </c>
      <c r="AC29" s="106">
        <v>1375</v>
      </c>
      <c r="AD29" s="63">
        <v>1890</v>
      </c>
      <c r="AE29" s="63">
        <v>1275</v>
      </c>
      <c r="AF29" s="106">
        <v>1710</v>
      </c>
      <c r="AG29" s="110">
        <v>1395</v>
      </c>
    </row>
    <row r="30" spans="2:33" x14ac:dyDescent="0.35">
      <c r="B30" s="184" t="s">
        <v>64</v>
      </c>
      <c r="C30" s="193">
        <f t="shared" ref="C30:C38" si="16">((C7-D7)/C7)</f>
        <v>0.48559670781893005</v>
      </c>
      <c r="D30" s="193">
        <f t="shared" ref="D30:D38" si="17">((E7-F7)/E7)</f>
        <v>0.31779661016949151</v>
      </c>
      <c r="E30" s="193">
        <f t="shared" ref="E30:E38" si="18">((G7-H7)/G7)</f>
        <v>0.23043478260869565</v>
      </c>
      <c r="F30" s="193">
        <f t="shared" ref="F30:F38" si="19">((I7-J7)/I7)</f>
        <v>0.26609442060085836</v>
      </c>
      <c r="G30" s="193">
        <f t="shared" ref="G30:G38" si="20">((K7-L7)/K7)</f>
        <v>0.20779220779220781</v>
      </c>
      <c r="H30" s="193">
        <f t="shared" ref="H30:H38" si="21">((M7-N7)/M7)</f>
        <v>6.8181818181818177E-2</v>
      </c>
      <c r="I30" s="194">
        <f t="shared" ref="I30:I38" si="22">((O7-P7)/O7)</f>
        <v>7.1748878923766815E-2</v>
      </c>
      <c r="J30" s="14"/>
      <c r="K30" s="14"/>
      <c r="L30" s="14"/>
      <c r="M30" s="14"/>
      <c r="N30" s="14"/>
      <c r="O30" s="14"/>
      <c r="P30" s="14"/>
      <c r="R30" s="114" t="s">
        <v>60</v>
      </c>
      <c r="S30" s="114"/>
      <c r="T30" s="113">
        <f>AVERAGE(T20:T29)</f>
        <v>1840</v>
      </c>
      <c r="U30" s="113">
        <f>AVERAGE(U20:U29)</f>
        <v>1065.5</v>
      </c>
      <c r="V30" s="96">
        <f>AVERAGE(V20:V29)</f>
        <v>1842</v>
      </c>
      <c r="W30" s="96">
        <f>AVERAGE(W20:W29)</f>
        <v>1224.5</v>
      </c>
      <c r="X30" s="113">
        <f>AVERAGE(X20:X29)</f>
        <v>1785.5555555555557</v>
      </c>
      <c r="Y30" s="113">
        <f t="shared" ref="Y30:AG30" si="23">AVERAGE(Y20:Y29)</f>
        <v>1301.1111111111111</v>
      </c>
      <c r="Z30" s="96">
        <f t="shared" si="23"/>
        <v>1860.5</v>
      </c>
      <c r="AA30" s="96">
        <f t="shared" si="23"/>
        <v>1275</v>
      </c>
      <c r="AB30" s="113">
        <f t="shared" si="23"/>
        <v>1860</v>
      </c>
      <c r="AC30" s="113">
        <f t="shared" si="23"/>
        <v>1415</v>
      </c>
      <c r="AD30" s="96">
        <f t="shared" si="23"/>
        <v>1883</v>
      </c>
      <c r="AE30" s="96">
        <f t="shared" si="23"/>
        <v>1535.5</v>
      </c>
      <c r="AF30" s="113">
        <f t="shared" si="23"/>
        <v>1683.5</v>
      </c>
      <c r="AG30" s="113">
        <f t="shared" si="23"/>
        <v>1532</v>
      </c>
    </row>
    <row r="31" spans="2:33" x14ac:dyDescent="0.35">
      <c r="B31" s="184" t="s">
        <v>65</v>
      </c>
      <c r="C31" s="193">
        <f t="shared" si="16"/>
        <v>0.44897959183673469</v>
      </c>
      <c r="D31" s="193">
        <f t="shared" si="17"/>
        <v>0.42335766423357662</v>
      </c>
      <c r="E31" s="193">
        <f t="shared" si="18"/>
        <v>0.36015325670498083</v>
      </c>
      <c r="F31" s="193">
        <f t="shared" si="19"/>
        <v>0.36121673003802279</v>
      </c>
      <c r="G31" s="193">
        <f t="shared" si="20"/>
        <v>0.20384615384615384</v>
      </c>
      <c r="H31" s="193">
        <f t="shared" si="21"/>
        <v>9.166666666666666E-2</v>
      </c>
      <c r="I31" s="194">
        <f t="shared" si="22"/>
        <v>0.15584415584415584</v>
      </c>
      <c r="J31" s="14"/>
      <c r="K31" s="14"/>
      <c r="L31" s="14"/>
      <c r="M31" s="14"/>
      <c r="N31" s="14"/>
      <c r="O31" s="14"/>
      <c r="P31" s="14"/>
      <c r="R31" s="56" t="s">
        <v>22</v>
      </c>
      <c r="S31" s="147"/>
      <c r="T31" s="403">
        <f>((T30-U30)/T30)*100</f>
        <v>42.092391304347828</v>
      </c>
      <c r="U31" s="404"/>
      <c r="V31" s="403">
        <f>((V30-W30)/V30)*100</f>
        <v>33.523344191096633</v>
      </c>
      <c r="W31" s="404"/>
      <c r="X31" s="403">
        <f>((X30-Y30)/X30)*100</f>
        <v>27.131300560049787</v>
      </c>
      <c r="Y31" s="404"/>
      <c r="Z31" s="403">
        <f>((Z30-AA30)/Z30)*100</f>
        <v>31.470034936844932</v>
      </c>
      <c r="AA31" s="404"/>
      <c r="AB31" s="403">
        <f>((AB30-AC30)/AB30)*100</f>
        <v>23.9247311827957</v>
      </c>
      <c r="AC31" s="404"/>
      <c r="AD31" s="403">
        <f>((AD30-AE30)/AD30)*100</f>
        <v>18.454593733404142</v>
      </c>
      <c r="AE31" s="404"/>
      <c r="AF31" s="403">
        <f>((AF30-AG30)/AF30)*100</f>
        <v>8.9991089991089979</v>
      </c>
      <c r="AG31" s="404"/>
    </row>
    <row r="32" spans="2:33" x14ac:dyDescent="0.35">
      <c r="B32" s="184" t="s">
        <v>66</v>
      </c>
      <c r="C32" s="193">
        <f t="shared" si="16"/>
        <v>0.49823321554770317</v>
      </c>
      <c r="D32" s="193">
        <f t="shared" si="17"/>
        <v>0.46215139442231074</v>
      </c>
      <c r="E32" s="193">
        <f t="shared" si="18"/>
        <v>0.29946524064171132</v>
      </c>
      <c r="F32" s="193">
        <f t="shared" si="19"/>
        <v>0.20987654320987653</v>
      </c>
      <c r="G32" s="193">
        <f t="shared" si="20"/>
        <v>0.2967032967032967</v>
      </c>
      <c r="H32" s="193">
        <f t="shared" si="21"/>
        <v>6.5637065637065631E-2</v>
      </c>
      <c r="I32" s="194">
        <f t="shared" si="22"/>
        <v>-0.2514970059880241</v>
      </c>
      <c r="J32" s="14"/>
      <c r="K32" s="14"/>
      <c r="L32" s="14"/>
      <c r="M32" s="14"/>
      <c r="N32" s="14"/>
      <c r="O32" s="14"/>
      <c r="P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2:33" x14ac:dyDescent="0.35">
      <c r="B33" s="184" t="s">
        <v>67</v>
      </c>
      <c r="C33" s="193">
        <f t="shared" si="16"/>
        <v>0.53278688524590168</v>
      </c>
      <c r="D33" s="193">
        <f t="shared" si="17"/>
        <v>0.32500000000000001</v>
      </c>
      <c r="E33" s="193">
        <f t="shared" si="18"/>
        <v>0.30833333333333335</v>
      </c>
      <c r="F33" s="193">
        <f t="shared" si="19"/>
        <v>0.26877470355731226</v>
      </c>
      <c r="G33" s="193">
        <f t="shared" si="20"/>
        <v>0.17716535433070865</v>
      </c>
      <c r="H33" s="193">
        <f t="shared" si="21"/>
        <v>0.15277777777777779</v>
      </c>
      <c r="I33" s="194">
        <f t="shared" si="22"/>
        <v>-7.7272727272727271E-2</v>
      </c>
      <c r="J33" s="14"/>
      <c r="K33" s="14"/>
      <c r="L33" s="14"/>
      <c r="M33" s="14"/>
      <c r="N33" s="14"/>
      <c r="O33" s="14"/>
      <c r="P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2:33" x14ac:dyDescent="0.35">
      <c r="B34" s="184" t="s">
        <v>68</v>
      </c>
      <c r="C34" s="193">
        <f t="shared" si="16"/>
        <v>0.44255319148936167</v>
      </c>
      <c r="D34" s="193">
        <f t="shared" si="17"/>
        <v>0.35217391304347828</v>
      </c>
      <c r="E34" s="193">
        <f t="shared" si="18"/>
        <v>0.27530364372469635</v>
      </c>
      <c r="F34" s="193">
        <f t="shared" si="19"/>
        <v>0.29777777777777775</v>
      </c>
      <c r="G34" s="193">
        <f t="shared" si="20"/>
        <v>0.19101123595505617</v>
      </c>
      <c r="H34" s="193">
        <f t="shared" si="21"/>
        <v>0.11206896551724138</v>
      </c>
      <c r="I34" s="194">
        <f t="shared" si="22"/>
        <v>5.7251908396946563E-2</v>
      </c>
      <c r="J34" s="14"/>
      <c r="K34" s="14"/>
      <c r="L34" s="14"/>
      <c r="M34" s="14"/>
      <c r="N34" s="14"/>
      <c r="O34" s="14"/>
      <c r="P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2:33" x14ac:dyDescent="0.35">
      <c r="B35" s="184" t="s">
        <v>69</v>
      </c>
      <c r="C35" s="193">
        <f t="shared" si="16"/>
        <v>0.48717948717948717</v>
      </c>
      <c r="D35" s="193">
        <f t="shared" si="17"/>
        <v>0.32300884955752213</v>
      </c>
      <c r="E35" s="193">
        <f t="shared" si="18"/>
        <v>0.21266968325791857</v>
      </c>
      <c r="F35" s="193">
        <f t="shared" si="19"/>
        <v>0.34980988593155893</v>
      </c>
      <c r="G35" s="193">
        <f t="shared" si="20"/>
        <v>0.25984251968503935</v>
      </c>
      <c r="H35" s="193">
        <f t="shared" si="21"/>
        <v>0.19545454545454546</v>
      </c>
      <c r="I35" s="194">
        <f t="shared" si="22"/>
        <v>1.9305019305019305E-2</v>
      </c>
      <c r="J35" s="14"/>
      <c r="K35" s="14"/>
      <c r="L35" s="14"/>
      <c r="M35" s="14"/>
      <c r="N35" s="14"/>
      <c r="O35" s="14"/>
      <c r="P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2:33" x14ac:dyDescent="0.35">
      <c r="B36" s="184" t="s">
        <v>70</v>
      </c>
      <c r="C36" s="193">
        <f t="shared" si="16"/>
        <v>0.49356223175965663</v>
      </c>
      <c r="D36" s="193">
        <f t="shared" si="17"/>
        <v>0.39688715953307391</v>
      </c>
      <c r="E36" s="193">
        <f t="shared" si="18"/>
        <v>0.2908366533864542</v>
      </c>
      <c r="F36" s="193">
        <f t="shared" si="19"/>
        <v>0.36861313868613138</v>
      </c>
      <c r="G36" s="193">
        <f t="shared" si="20"/>
        <v>0.2669039145907473</v>
      </c>
      <c r="H36" s="193">
        <f t="shared" si="21"/>
        <v>0.13818181818181818</v>
      </c>
      <c r="I36" s="194">
        <f t="shared" si="22"/>
        <v>0.23046875</v>
      </c>
      <c r="J36" s="14"/>
      <c r="K36" s="14"/>
      <c r="L36" s="14"/>
      <c r="M36" s="14"/>
      <c r="N36" s="14"/>
      <c r="O36" s="14"/>
      <c r="P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2:33" x14ac:dyDescent="0.35">
      <c r="B37" s="184" t="s">
        <v>71</v>
      </c>
      <c r="C37" s="193">
        <f t="shared" si="16"/>
        <v>0.44545454545454549</v>
      </c>
      <c r="D37" s="193">
        <f t="shared" si="17"/>
        <v>0.37394957983193278</v>
      </c>
      <c r="E37" s="193">
        <f t="shared" si="18"/>
        <v>0.19572953736654805</v>
      </c>
      <c r="F37" s="193">
        <f t="shared" si="19"/>
        <v>0.28346456692913385</v>
      </c>
      <c r="G37" s="193">
        <f t="shared" si="20"/>
        <v>0.2033195020746888</v>
      </c>
      <c r="H37" s="193">
        <f t="shared" si="21"/>
        <v>0.30107526881720431</v>
      </c>
      <c r="I37" s="194">
        <f t="shared" si="22"/>
        <v>3.9548022598870095E-2</v>
      </c>
      <c r="J37" s="14"/>
      <c r="K37" s="14"/>
      <c r="L37" s="14"/>
      <c r="M37" s="14"/>
      <c r="N37" s="14"/>
      <c r="O37" s="14"/>
      <c r="P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2:33" x14ac:dyDescent="0.35">
      <c r="B38" s="185" t="s">
        <v>72</v>
      </c>
      <c r="C38" s="193">
        <f t="shared" si="16"/>
        <v>0.37109375</v>
      </c>
      <c r="D38" s="193">
        <f t="shared" si="17"/>
        <v>0.35036496350364965</v>
      </c>
      <c r="E38" s="193" t="e">
        <f t="shared" si="18"/>
        <v>#DIV/0!</v>
      </c>
      <c r="F38" s="193">
        <f t="shared" si="19"/>
        <v>0.34944237918215615</v>
      </c>
      <c r="G38" s="193">
        <f t="shared" si="20"/>
        <v>0.18025751072961374</v>
      </c>
      <c r="H38" s="193">
        <f t="shared" si="21"/>
        <v>0.32558139534883723</v>
      </c>
      <c r="I38" s="194">
        <f t="shared" si="22"/>
        <v>7.9207920792079167E-2</v>
      </c>
      <c r="J38" s="14"/>
      <c r="K38" s="14"/>
      <c r="L38" s="14"/>
      <c r="M38" s="14"/>
      <c r="N38" s="14"/>
      <c r="O38" s="14"/>
      <c r="P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2:33" x14ac:dyDescent="0.35">
      <c r="B39" s="195"/>
      <c r="C39" t="s">
        <v>1</v>
      </c>
      <c r="D39" t="s">
        <v>109</v>
      </c>
      <c r="E39" t="s">
        <v>110</v>
      </c>
      <c r="F39" t="s">
        <v>111</v>
      </c>
      <c r="G39" t="s">
        <v>112</v>
      </c>
      <c r="H39" t="s">
        <v>113</v>
      </c>
      <c r="I39" s="58" t="s">
        <v>114</v>
      </c>
      <c r="J39" s="14"/>
      <c r="K39" s="14"/>
      <c r="L39" s="14"/>
      <c r="M39" s="14"/>
      <c r="N39" s="14"/>
      <c r="O39" s="14"/>
      <c r="P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2:33" x14ac:dyDescent="0.35">
      <c r="B40" s="186" t="s">
        <v>59</v>
      </c>
      <c r="C40" s="187">
        <f>AVERAGE(C29:C38)</f>
        <v>0.47256416265343404</v>
      </c>
      <c r="D40" s="187">
        <f>AVERAGE(D29:D38)</f>
        <v>0.37158012454061468</v>
      </c>
      <c r="E40" s="187">
        <f>AVERAGE(E29:E37)</f>
        <v>0.27748561949653144</v>
      </c>
      <c r="F40" s="187">
        <f>AVERAGE(F29:F38)</f>
        <v>0.31596156004582826</v>
      </c>
      <c r="G40" s="187">
        <f>AVERAGE(G29:G38)</f>
        <v>0.22973439788125352</v>
      </c>
      <c r="H40" s="187">
        <f>AVERAGE(H29:H38)</f>
        <v>0.16585899233528861</v>
      </c>
      <c r="I40" s="187">
        <f>AVERAGE(I29:I38)</f>
        <v>3.5721361825226033E-2</v>
      </c>
      <c r="J40" s="14"/>
      <c r="K40" s="14"/>
      <c r="L40" s="14"/>
      <c r="M40" s="14"/>
      <c r="N40" s="14"/>
      <c r="O40" s="14"/>
      <c r="P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2:33" x14ac:dyDescent="0.35">
      <c r="B41" s="186" t="s">
        <v>115</v>
      </c>
      <c r="C41" s="187">
        <f>STDEV(C29:C38)</f>
        <v>4.6984018884660111E-2</v>
      </c>
      <c r="D41" s="187">
        <f>STDEV(D29:D38)</f>
        <v>4.7328421806035852E-2</v>
      </c>
      <c r="E41" s="187">
        <f>STDEV(E29:E37)</f>
        <v>5.449278577084337E-2</v>
      </c>
      <c r="F41" s="187">
        <f>STDEV(F29:F38)</f>
        <v>5.9896267962332474E-2</v>
      </c>
      <c r="G41" s="187">
        <f>STDEV(G29:G38)</f>
        <v>4.9280054835287093E-2</v>
      </c>
      <c r="H41" s="187">
        <f>STDEV(H29:H38)</f>
        <v>9.1508192601470098E-2</v>
      </c>
      <c r="I41" s="187">
        <f>STDEV(I29:I38)</f>
        <v>0.12977096978226099</v>
      </c>
      <c r="J41" s="14"/>
      <c r="K41" s="14"/>
      <c r="L41" s="14"/>
      <c r="M41" s="14"/>
      <c r="N41" s="14"/>
      <c r="O41" s="14"/>
      <c r="P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2:33" x14ac:dyDescent="0.35">
      <c r="B42" s="186" t="s">
        <v>116</v>
      </c>
      <c r="C42" s="188">
        <v>10</v>
      </c>
      <c r="D42" s="188">
        <v>10</v>
      </c>
      <c r="E42" s="188">
        <v>9</v>
      </c>
      <c r="F42" s="188">
        <v>10</v>
      </c>
      <c r="G42" s="188">
        <v>10</v>
      </c>
      <c r="H42" s="188">
        <v>10</v>
      </c>
      <c r="I42" s="188">
        <v>10</v>
      </c>
      <c r="J42" s="14"/>
      <c r="K42" s="14"/>
      <c r="L42" s="14"/>
      <c r="M42" s="14"/>
      <c r="N42" s="14"/>
      <c r="O42" s="14"/>
      <c r="P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2:33" x14ac:dyDescent="0.35">
      <c r="B43" s="186" t="s">
        <v>117</v>
      </c>
      <c r="C43" s="187">
        <f>C41/(SQRT(C42))</f>
        <v>1.4857651330388992E-2</v>
      </c>
      <c r="D43" s="187">
        <f t="shared" ref="D43:I43" si="24">D41/(SQRT(D42))</f>
        <v>1.4966561096825315E-2</v>
      </c>
      <c r="E43" s="187">
        <f>E41/(SQRT(E42))</f>
        <v>1.8164261923614457E-2</v>
      </c>
      <c r="F43" s="187">
        <f t="shared" si="24"/>
        <v>1.8940863010474297E-2</v>
      </c>
      <c r="G43" s="187">
        <f t="shared" si="24"/>
        <v>1.5583721649750108E-2</v>
      </c>
      <c r="H43" s="187">
        <f t="shared" si="24"/>
        <v>2.8937431318601426E-2</v>
      </c>
      <c r="I43" s="187">
        <f t="shared" si="24"/>
        <v>4.1037183868082971E-2</v>
      </c>
      <c r="J43" s="14"/>
      <c r="K43" s="14"/>
      <c r="L43" s="14"/>
      <c r="M43" s="14"/>
      <c r="N43" s="14"/>
      <c r="O43" s="14"/>
      <c r="P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2:33" x14ac:dyDescent="0.35">
      <c r="B44" s="186" t="s">
        <v>118</v>
      </c>
      <c r="C44" s="187">
        <f>1.96*C43</f>
        <v>2.9120996607562424E-2</v>
      </c>
      <c r="D44" s="187">
        <f t="shared" ref="D44:I44" si="25">1.96*D43</f>
        <v>2.9334459749777615E-2</v>
      </c>
      <c r="E44" s="187">
        <f t="shared" si="25"/>
        <v>3.5601953370284337E-2</v>
      </c>
      <c r="F44" s="187">
        <f t="shared" si="25"/>
        <v>3.7124091500529623E-2</v>
      </c>
      <c r="G44" s="187">
        <f t="shared" si="25"/>
        <v>3.0544094433510211E-2</v>
      </c>
      <c r="H44" s="187">
        <f t="shared" si="25"/>
        <v>5.6717365384458797E-2</v>
      </c>
      <c r="I44" s="187">
        <f t="shared" si="25"/>
        <v>8.0432880381442626E-2</v>
      </c>
      <c r="J44" s="14"/>
      <c r="K44" s="14"/>
      <c r="L44" s="14"/>
      <c r="M44" s="14"/>
      <c r="N44" s="14"/>
      <c r="O44" s="14"/>
      <c r="P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2:33" ht="15" thickBot="1" x14ac:dyDescent="0.4">
      <c r="B45" s="61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2:33" ht="15" thickBot="1" x14ac:dyDescent="0.4">
      <c r="B46" s="61" t="s">
        <v>160</v>
      </c>
      <c r="C46" s="267">
        <f>C41/SQRT(C42)</f>
        <v>1.4857651330388992E-2</v>
      </c>
      <c r="D46" s="268">
        <f t="shared" ref="D46:I46" si="26">D41/SQRT(D42)</f>
        <v>1.4966561096825315E-2</v>
      </c>
      <c r="E46" s="268">
        <f t="shared" si="26"/>
        <v>1.8164261923614457E-2</v>
      </c>
      <c r="F46" s="268">
        <f t="shared" si="26"/>
        <v>1.8940863010474297E-2</v>
      </c>
      <c r="G46" s="268">
        <f t="shared" si="26"/>
        <v>1.5583721649750108E-2</v>
      </c>
      <c r="H46" s="268">
        <f t="shared" si="26"/>
        <v>2.8937431318601426E-2</v>
      </c>
      <c r="I46" s="269">
        <f t="shared" si="26"/>
        <v>4.1037183868082971E-2</v>
      </c>
      <c r="J46" s="14"/>
      <c r="K46" s="14"/>
      <c r="L46" s="14"/>
      <c r="M46" s="14"/>
      <c r="N46" s="14"/>
      <c r="O46" s="14"/>
      <c r="P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2:33" x14ac:dyDescent="0.35">
      <c r="B47" s="61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2:33" x14ac:dyDescent="0.35">
      <c r="B48" s="61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2:33" x14ac:dyDescent="0.35">
      <c r="B49" s="61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2:33" x14ac:dyDescent="0.35">
      <c r="B50" s="61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2:33" x14ac:dyDescent="0.35">
      <c r="B51" s="61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2:33" x14ac:dyDescent="0.35">
      <c r="B52" s="61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2:33" x14ac:dyDescent="0.35">
      <c r="B53" s="6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2:33" x14ac:dyDescent="0.35">
      <c r="B54" s="61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2:33" ht="18.5" x14ac:dyDescent="0.45">
      <c r="B55" s="61"/>
      <c r="C55" s="14"/>
      <c r="D55" s="14"/>
      <c r="E55" s="14"/>
      <c r="F55" s="14"/>
      <c r="G55" s="14"/>
      <c r="H55" s="14"/>
      <c r="I55" s="14"/>
      <c r="J55" s="378" t="s">
        <v>140</v>
      </c>
      <c r="K55" s="378"/>
      <c r="L55" s="378"/>
      <c r="M55" s="378"/>
      <c r="N55" s="378"/>
      <c r="O55" s="378"/>
      <c r="P55" s="378"/>
      <c r="Q55" s="378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2:33" x14ac:dyDescent="0.35">
      <c r="B56" s="6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2:33" x14ac:dyDescent="0.35">
      <c r="B57" s="6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2:33" x14ac:dyDescent="0.35">
      <c r="B58" s="52"/>
      <c r="C58" s="412" t="s">
        <v>127</v>
      </c>
      <c r="D58" s="412"/>
      <c r="E58" s="412"/>
      <c r="F58" s="412"/>
      <c r="G58" s="412"/>
      <c r="H58" s="412"/>
      <c r="I58" s="413"/>
      <c r="J58" s="14"/>
      <c r="K58" s="14"/>
      <c r="L58" s="14"/>
      <c r="M58" s="14"/>
      <c r="N58" s="14"/>
      <c r="O58" s="14"/>
      <c r="P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2:33" x14ac:dyDescent="0.35">
      <c r="B59" s="54"/>
      <c r="C59" s="177" t="s">
        <v>1</v>
      </c>
      <c r="D59" s="178" t="s">
        <v>109</v>
      </c>
      <c r="E59" s="178" t="s">
        <v>110</v>
      </c>
      <c r="F59" s="178" t="s">
        <v>111</v>
      </c>
      <c r="G59" s="178" t="s">
        <v>112</v>
      </c>
      <c r="H59" s="178" t="s">
        <v>113</v>
      </c>
      <c r="I59" s="179" t="s">
        <v>114</v>
      </c>
      <c r="J59" s="14"/>
      <c r="K59" s="14"/>
      <c r="L59" s="14"/>
      <c r="M59" s="14"/>
      <c r="N59" s="14"/>
      <c r="O59" s="14"/>
      <c r="P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2:33" x14ac:dyDescent="0.35">
      <c r="B60" s="174" t="s">
        <v>63</v>
      </c>
      <c r="C60" s="196">
        <v>0.52310000000000001</v>
      </c>
      <c r="D60" s="196">
        <v>0.24260000000000001</v>
      </c>
      <c r="E60" s="196">
        <v>0.31680000000000003</v>
      </c>
      <c r="F60" s="196">
        <v>0.33829999999999999</v>
      </c>
      <c r="G60" s="196">
        <v>0.30120000000000002</v>
      </c>
      <c r="H60" s="196">
        <v>0.2303</v>
      </c>
      <c r="I60" s="197">
        <v>6.7599999999999993E-2</v>
      </c>
      <c r="J60" s="14"/>
      <c r="K60" s="14"/>
      <c r="L60" s="14"/>
      <c r="M60" s="14"/>
      <c r="N60" s="14"/>
      <c r="O60" s="14"/>
      <c r="P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2:33" x14ac:dyDescent="0.35">
      <c r="B61" s="175" t="s">
        <v>64</v>
      </c>
      <c r="C61" s="196">
        <v>0.34239999999999998</v>
      </c>
      <c r="D61" s="196">
        <v>0.25700000000000001</v>
      </c>
      <c r="E61" s="196">
        <v>0.24160000000000001</v>
      </c>
      <c r="F61" s="196">
        <v>0.27989999999999998</v>
      </c>
      <c r="G61" s="196">
        <v>0.1804</v>
      </c>
      <c r="H61" s="196">
        <v>2.8000000000000001E-2</v>
      </c>
      <c r="I61" s="197">
        <v>0.13689999999999999</v>
      </c>
      <c r="J61" s="14"/>
      <c r="K61" s="14"/>
      <c r="L61" s="14"/>
      <c r="M61" s="14"/>
      <c r="N61" s="14"/>
      <c r="O61" s="14"/>
      <c r="P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2:33" x14ac:dyDescent="0.35">
      <c r="B62" s="175" t="s">
        <v>65</v>
      </c>
      <c r="C62" s="196">
        <v>0.39889999999999998</v>
      </c>
      <c r="D62" s="196">
        <v>0.40339999999999998</v>
      </c>
      <c r="E62" s="196">
        <v>0.30230000000000001</v>
      </c>
      <c r="F62" s="196">
        <v>0.37559999999999999</v>
      </c>
      <c r="G62" s="196">
        <v>0.18970000000000001</v>
      </c>
      <c r="H62" s="196">
        <v>0.17380000000000001</v>
      </c>
      <c r="I62" s="197">
        <v>0.1356</v>
      </c>
      <c r="J62" s="14"/>
      <c r="K62" s="14"/>
      <c r="L62" s="14"/>
      <c r="M62" s="14"/>
      <c r="N62" s="14"/>
      <c r="O62" s="14"/>
      <c r="P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2:33" x14ac:dyDescent="0.35">
      <c r="B63" s="175" t="s">
        <v>66</v>
      </c>
      <c r="C63" s="196">
        <v>0.55959999999999999</v>
      </c>
      <c r="D63" s="196">
        <v>0.39729999999999999</v>
      </c>
      <c r="E63" s="196">
        <v>0.36070000000000002</v>
      </c>
      <c r="F63" s="196">
        <v>0.2155</v>
      </c>
      <c r="G63" s="196">
        <v>0.25580000000000003</v>
      </c>
      <c r="H63" s="196">
        <v>0.10639999999999999</v>
      </c>
      <c r="I63" s="197">
        <v>-4.8599999999999997E-2</v>
      </c>
      <c r="J63" s="14"/>
      <c r="K63" s="14"/>
      <c r="L63" s="14"/>
      <c r="M63" s="14"/>
      <c r="N63" s="14"/>
      <c r="O63" s="14"/>
      <c r="P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2:33" x14ac:dyDescent="0.35">
      <c r="B64" s="175" t="s">
        <v>67</v>
      </c>
      <c r="C64" s="196">
        <v>0.5333</v>
      </c>
      <c r="D64" s="196">
        <v>0.29859999999999998</v>
      </c>
      <c r="E64" s="196">
        <v>0.2797</v>
      </c>
      <c r="F64" s="196">
        <v>0.248</v>
      </c>
      <c r="G64" s="196">
        <v>0.18029999999999999</v>
      </c>
      <c r="H64" s="196">
        <v>0.1459</v>
      </c>
      <c r="I64" s="197">
        <v>-6.6699999999999995E-2</v>
      </c>
      <c r="J64" s="14"/>
      <c r="K64" s="14"/>
      <c r="L64" s="14"/>
      <c r="M64" s="14"/>
      <c r="N64" s="14"/>
      <c r="O64" s="14"/>
      <c r="P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2:33" x14ac:dyDescent="0.35">
      <c r="B65" s="175" t="s">
        <v>68</v>
      </c>
      <c r="C65" s="196">
        <v>0.25900000000000001</v>
      </c>
      <c r="D65" s="196">
        <v>0.33710000000000001</v>
      </c>
      <c r="E65" s="196">
        <v>0.26450000000000001</v>
      </c>
      <c r="F65" s="196">
        <v>0.28949999999999998</v>
      </c>
      <c r="G65" s="196">
        <v>0.30280000000000001</v>
      </c>
      <c r="H65" s="196">
        <v>8.9099999999999999E-2</v>
      </c>
      <c r="I65" s="197">
        <v>5.5599999999999997E-2</v>
      </c>
      <c r="J65" s="14"/>
      <c r="K65" s="14"/>
      <c r="L65" s="14"/>
      <c r="M65" s="14"/>
      <c r="N65" s="14"/>
      <c r="O65" s="14"/>
      <c r="P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2:33" x14ac:dyDescent="0.35">
      <c r="B66" s="175" t="s">
        <v>69</v>
      </c>
      <c r="C66" s="196">
        <v>0.45590000000000003</v>
      </c>
      <c r="D66" s="196">
        <v>0.33040000000000003</v>
      </c>
      <c r="E66" s="196">
        <v>0.25380000000000003</v>
      </c>
      <c r="F66" s="196">
        <v>0.30449999999999999</v>
      </c>
      <c r="G66" s="196">
        <v>0.23810000000000001</v>
      </c>
      <c r="H66" s="196">
        <v>0.21049999999999999</v>
      </c>
      <c r="I66" s="197">
        <v>3.8600000000000002E-2</v>
      </c>
      <c r="J66" s="14"/>
      <c r="K66" s="14"/>
      <c r="L66" s="14"/>
      <c r="M66" s="14"/>
      <c r="N66" s="14"/>
      <c r="O66" s="14"/>
      <c r="P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2:33" x14ac:dyDescent="0.35">
      <c r="B67" s="175" t="s">
        <v>70</v>
      </c>
      <c r="C67" s="196">
        <v>0.49859999999999999</v>
      </c>
      <c r="D67" s="196">
        <v>0.34379999999999999</v>
      </c>
      <c r="E67" s="196">
        <v>0.252</v>
      </c>
      <c r="F67" s="196">
        <v>0.41049999999999998</v>
      </c>
      <c r="G67" s="196">
        <v>0.29980000000000001</v>
      </c>
      <c r="H67" s="196">
        <v>0.17780000000000001</v>
      </c>
      <c r="I67" s="197">
        <v>0.21199999999999999</v>
      </c>
      <c r="J67" s="14"/>
      <c r="K67" s="14"/>
      <c r="L67" s="14"/>
      <c r="M67" s="14"/>
      <c r="N67" s="14"/>
      <c r="O67" s="14"/>
      <c r="P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2:33" x14ac:dyDescent="0.35">
      <c r="B68" s="175" t="s">
        <v>71</v>
      </c>
      <c r="C68" s="196">
        <v>0.31780000000000003</v>
      </c>
      <c r="D68" s="196">
        <v>0.36009999999999998</v>
      </c>
      <c r="E68" s="196">
        <v>0.18720000000000001</v>
      </c>
      <c r="F68" s="196">
        <v>0.30649999999999999</v>
      </c>
      <c r="G68" s="196">
        <v>0.23280000000000001</v>
      </c>
      <c r="H68" s="196">
        <v>0.32619999999999999</v>
      </c>
      <c r="I68" s="197">
        <v>0.15440000000000001</v>
      </c>
      <c r="J68" s="14"/>
      <c r="K68" s="14"/>
      <c r="L68" s="14"/>
      <c r="M68" s="14"/>
      <c r="N68" s="14"/>
      <c r="O68" s="14"/>
      <c r="P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2:33" x14ac:dyDescent="0.35">
      <c r="B69" s="176" t="s">
        <v>72</v>
      </c>
      <c r="C69" s="196">
        <v>0.3251</v>
      </c>
      <c r="D69" s="196">
        <v>0.3584</v>
      </c>
      <c r="E69" s="143" t="e">
        <v>#VALUE!</v>
      </c>
      <c r="F69" s="196">
        <v>0.35610000000000003</v>
      </c>
      <c r="G69" s="196">
        <v>0.1888</v>
      </c>
      <c r="H69" s="196">
        <v>0.32540000000000002</v>
      </c>
      <c r="I69" s="197">
        <v>0.1842</v>
      </c>
      <c r="J69" s="14"/>
      <c r="K69" s="14"/>
      <c r="L69" s="14"/>
      <c r="M69" s="14"/>
      <c r="N69" s="14"/>
      <c r="O69" s="14"/>
      <c r="P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2:33" x14ac:dyDescent="0.35">
      <c r="B70" s="180" t="s">
        <v>59</v>
      </c>
      <c r="C70" s="181">
        <v>0.4214</v>
      </c>
      <c r="D70" s="181">
        <v>0.33289999999999997</v>
      </c>
      <c r="E70" s="181">
        <v>0.2732</v>
      </c>
      <c r="F70" s="181">
        <v>0.31240000000000001</v>
      </c>
      <c r="G70" s="181">
        <v>0.23699999999999999</v>
      </c>
      <c r="H70" s="181">
        <v>0.18140000000000001</v>
      </c>
      <c r="I70" s="181">
        <v>8.6999999999999994E-2</v>
      </c>
      <c r="J70" s="14"/>
      <c r="K70" s="14"/>
      <c r="L70" s="14"/>
      <c r="M70" s="14"/>
      <c r="N70" s="14"/>
      <c r="O70" s="14"/>
      <c r="P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2:33" x14ac:dyDescent="0.35">
      <c r="B71" s="180" t="s">
        <v>115</v>
      </c>
      <c r="C71" s="181">
        <v>0.1066</v>
      </c>
      <c r="D71" s="181">
        <v>5.3499999999999999E-2</v>
      </c>
      <c r="E71" s="181">
        <v>4.9700000000000001E-2</v>
      </c>
      <c r="F71" s="181">
        <v>5.91E-2</v>
      </c>
      <c r="G71" s="181">
        <v>5.1299999999999998E-2</v>
      </c>
      <c r="H71" s="181">
        <v>9.6600000000000005E-2</v>
      </c>
      <c r="I71" s="181">
        <v>9.4399999999999998E-2</v>
      </c>
      <c r="J71" s="14"/>
      <c r="K71" s="14"/>
      <c r="L71" s="14"/>
      <c r="M71" s="14"/>
      <c r="N71" s="14"/>
      <c r="O71" s="14"/>
      <c r="P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2:33" x14ac:dyDescent="0.35">
      <c r="B72" s="180" t="s">
        <v>116</v>
      </c>
      <c r="C72" s="182">
        <v>10</v>
      </c>
      <c r="D72" s="182">
        <v>10</v>
      </c>
      <c r="E72" s="182">
        <v>9</v>
      </c>
      <c r="F72" s="182">
        <v>10</v>
      </c>
      <c r="G72" s="182">
        <v>10</v>
      </c>
      <c r="H72" s="182">
        <v>10</v>
      </c>
      <c r="I72" s="182">
        <v>10</v>
      </c>
      <c r="J72" s="14"/>
      <c r="K72" s="14"/>
      <c r="L72" s="14"/>
      <c r="M72" s="14"/>
      <c r="N72" s="14"/>
      <c r="O72" s="14"/>
      <c r="P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2:33" x14ac:dyDescent="0.35">
      <c r="B73" s="180" t="s">
        <v>117</v>
      </c>
      <c r="C73" s="181">
        <v>3.3700000000000001E-2</v>
      </c>
      <c r="D73" s="181">
        <v>1.6899999999999998E-2</v>
      </c>
      <c r="E73" s="181">
        <v>1.66E-2</v>
      </c>
      <c r="F73" s="181">
        <v>1.8700000000000001E-2</v>
      </c>
      <c r="G73" s="181">
        <v>1.6199999999999999E-2</v>
      </c>
      <c r="H73" s="181">
        <v>3.0499999999999999E-2</v>
      </c>
      <c r="I73" s="181">
        <v>2.98E-2</v>
      </c>
      <c r="J73" s="14"/>
      <c r="K73" s="14"/>
      <c r="L73" s="14"/>
      <c r="M73" s="14"/>
      <c r="N73" s="14"/>
      <c r="O73" s="14"/>
      <c r="P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2:33" x14ac:dyDescent="0.35">
      <c r="B74" s="180" t="s">
        <v>118</v>
      </c>
      <c r="C74" s="181">
        <v>6.6100000000000006E-2</v>
      </c>
      <c r="D74" s="181">
        <v>3.3099999999999997E-2</v>
      </c>
      <c r="E74" s="181">
        <v>3.2500000000000001E-2</v>
      </c>
      <c r="F74" s="181">
        <v>3.6600000000000001E-2</v>
      </c>
      <c r="G74" s="181">
        <v>3.1800000000000002E-2</v>
      </c>
      <c r="H74" s="181">
        <v>5.9900000000000002E-2</v>
      </c>
      <c r="I74" s="181">
        <v>5.8500000000000003E-2</v>
      </c>
      <c r="J74" s="14"/>
      <c r="K74" s="14"/>
      <c r="L74" s="14"/>
      <c r="M74" s="14"/>
      <c r="N74" s="14"/>
      <c r="O74" s="14"/>
      <c r="P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2:33" x14ac:dyDescent="0.35">
      <c r="B75" s="61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2:33" x14ac:dyDescent="0.35">
      <c r="B76" s="61" t="s">
        <v>160</v>
      </c>
      <c r="C76" s="14">
        <f>C71/SQRT(C72)</f>
        <v>3.3709879857394924E-2</v>
      </c>
      <c r="D76" s="14">
        <f t="shared" ref="D76:I76" si="27">D71/SQRT(D72)</f>
        <v>1.6918185481900827E-2</v>
      </c>
      <c r="E76" s="14">
        <f t="shared" si="27"/>
        <v>1.6566666666666667E-2</v>
      </c>
      <c r="F76" s="14">
        <f t="shared" si="27"/>
        <v>1.8689060971595121E-2</v>
      </c>
      <c r="G76" s="14">
        <f t="shared" si="27"/>
        <v>1.6222484396663784E-2</v>
      </c>
      <c r="H76" s="14">
        <f t="shared" si="27"/>
        <v>3.0547602197226544E-2</v>
      </c>
      <c r="I76" s="14">
        <f t="shared" si="27"/>
        <v>2.9851901111989498E-2</v>
      </c>
      <c r="J76" s="14"/>
      <c r="K76" s="14"/>
      <c r="L76" s="14"/>
      <c r="M76" s="14"/>
      <c r="N76" s="14"/>
      <c r="O76" s="14"/>
      <c r="P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2:33" x14ac:dyDescent="0.35">
      <c r="B77" s="61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2:33" x14ac:dyDescent="0.35">
      <c r="B78" s="61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2:33" x14ac:dyDescent="0.35">
      <c r="B79" s="61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2:33" x14ac:dyDescent="0.35">
      <c r="B80" s="61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x14ac:dyDescent="0.35">
      <c r="B81" s="61"/>
      <c r="C81" s="55" t="s">
        <v>31</v>
      </c>
      <c r="D81" s="50"/>
      <c r="E81" s="50"/>
      <c r="F81" s="51"/>
      <c r="G81" s="14"/>
      <c r="H81" s="14"/>
      <c r="I81" s="14"/>
      <c r="J81" s="14"/>
      <c r="K81" s="14"/>
      <c r="L81" s="14"/>
      <c r="M81" s="14"/>
      <c r="N81" s="14"/>
      <c r="O81" s="14"/>
      <c r="P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 x14ac:dyDescent="0.35">
      <c r="B82" s="61"/>
      <c r="C82" s="128" t="s">
        <v>91</v>
      </c>
      <c r="D82" s="130"/>
      <c r="F82" s="58"/>
      <c r="G82" s="14"/>
      <c r="H82" s="14"/>
      <c r="I82" s="14"/>
      <c r="J82" s="14"/>
      <c r="K82" s="14"/>
      <c r="L82" s="14"/>
      <c r="M82" s="14"/>
      <c r="N82" s="14"/>
      <c r="O82" s="14"/>
      <c r="P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x14ac:dyDescent="0.35">
      <c r="C83" s="129" t="s">
        <v>92</v>
      </c>
      <c r="D83" s="131"/>
      <c r="F83" s="58"/>
      <c r="H83" s="61"/>
      <c r="V83" s="28"/>
      <c r="W83" s="28"/>
      <c r="X83" s="28"/>
      <c r="Y83" s="28"/>
    </row>
    <row r="84" spans="1:33" x14ac:dyDescent="0.35">
      <c r="C84" s="78" t="s">
        <v>32</v>
      </c>
      <c r="D84" s="79"/>
      <c r="F84" s="58"/>
      <c r="H84" s="244"/>
      <c r="V84" s="28"/>
      <c r="W84" s="28"/>
      <c r="X84" s="28"/>
      <c r="Y84" s="28"/>
    </row>
    <row r="85" spans="1:33" x14ac:dyDescent="0.35">
      <c r="C85" s="80" t="s">
        <v>33</v>
      </c>
      <c r="D85" s="81"/>
      <c r="F85" s="58"/>
      <c r="V85" s="28"/>
      <c r="W85" s="28"/>
      <c r="X85" s="28"/>
      <c r="Y85" s="28"/>
      <c r="AB85" s="382" t="s">
        <v>88</v>
      </c>
      <c r="AC85" s="383"/>
      <c r="AD85" s="383"/>
      <c r="AE85" s="384"/>
    </row>
    <row r="86" spans="1:33" x14ac:dyDescent="0.35">
      <c r="C86" s="82" t="s">
        <v>30</v>
      </c>
      <c r="D86" s="83"/>
      <c r="E86" s="83"/>
      <c r="F86" s="84"/>
      <c r="V86" s="28"/>
      <c r="W86" s="28"/>
      <c r="X86" s="28"/>
      <c r="Y86" s="28"/>
      <c r="AB86" s="10">
        <v>1</v>
      </c>
      <c r="AC86" s="52" t="s">
        <v>39</v>
      </c>
      <c r="AD86" s="53"/>
      <c r="AE86" s="57"/>
    </row>
    <row r="87" spans="1:33" x14ac:dyDescent="0.35">
      <c r="C87" s="85" t="s">
        <v>104</v>
      </c>
      <c r="D87" s="138"/>
      <c r="E87" s="138"/>
      <c r="F87" s="59"/>
      <c r="V87" s="28"/>
      <c r="W87" s="28"/>
      <c r="X87" s="28"/>
      <c r="Y87" s="28"/>
      <c r="AB87" s="97">
        <v>2</v>
      </c>
      <c r="AC87" s="54" t="s">
        <v>36</v>
      </c>
      <c r="AE87" s="58"/>
    </row>
    <row r="88" spans="1:33" x14ac:dyDescent="0.35">
      <c r="V88" s="28"/>
      <c r="W88" s="28"/>
      <c r="X88" s="28"/>
      <c r="Y88" s="28"/>
      <c r="AB88" s="97">
        <v>3</v>
      </c>
      <c r="AC88" s="54" t="s">
        <v>37</v>
      </c>
      <c r="AE88" s="58"/>
    </row>
    <row r="89" spans="1:33" x14ac:dyDescent="0.35">
      <c r="T89" s="137" t="s">
        <v>91</v>
      </c>
      <c r="U89" s="137" t="s">
        <v>92</v>
      </c>
      <c r="V89" s="28"/>
      <c r="W89" s="28"/>
      <c r="X89" s="28"/>
      <c r="Y89" s="28"/>
      <c r="AB89" s="11">
        <v>4</v>
      </c>
      <c r="AC89" s="5" t="s">
        <v>38</v>
      </c>
      <c r="AD89" s="6"/>
      <c r="AE89" s="59"/>
    </row>
    <row r="90" spans="1:33" x14ac:dyDescent="0.35">
      <c r="T90" s="133" t="s">
        <v>60</v>
      </c>
      <c r="U90" s="134" t="s">
        <v>59</v>
      </c>
      <c r="V90" s="28"/>
      <c r="W90" s="28"/>
      <c r="X90" s="28"/>
      <c r="Y90" s="28"/>
      <c r="AB90" s="189"/>
      <c r="AC90" s="50"/>
      <c r="AD90" s="50"/>
      <c r="AE90" s="51"/>
    </row>
    <row r="91" spans="1:33" x14ac:dyDescent="0.35">
      <c r="T91" s="133" t="s">
        <v>93</v>
      </c>
      <c r="U91" s="135" t="s">
        <v>94</v>
      </c>
      <c r="V91" s="10" t="s">
        <v>91</v>
      </c>
      <c r="W91" s="10" t="s">
        <v>92</v>
      </c>
      <c r="X91" s="140" t="s">
        <v>105</v>
      </c>
      <c r="Y91" s="140" t="s">
        <v>105</v>
      </c>
      <c r="Z91" s="362" t="s">
        <v>107</v>
      </c>
      <c r="AA91" s="371"/>
      <c r="AB91" s="382" t="s">
        <v>88</v>
      </c>
      <c r="AC91" s="383"/>
      <c r="AD91" s="383"/>
      <c r="AE91" s="384"/>
    </row>
    <row r="92" spans="1:33" x14ac:dyDescent="0.35">
      <c r="A92" s="112" t="s">
        <v>89</v>
      </c>
      <c r="B92" s="127" t="s">
        <v>61</v>
      </c>
      <c r="C92" s="22" t="s">
        <v>95</v>
      </c>
      <c r="D92" s="23" t="s">
        <v>96</v>
      </c>
      <c r="E92" s="22" t="s">
        <v>97</v>
      </c>
      <c r="F92" s="23" t="s">
        <v>97</v>
      </c>
      <c r="G92" s="22" t="s">
        <v>98</v>
      </c>
      <c r="H92" s="23" t="s">
        <v>98</v>
      </c>
      <c r="I92" s="22" t="s">
        <v>99</v>
      </c>
      <c r="J92" s="23" t="s">
        <v>99</v>
      </c>
      <c r="K92" s="22" t="s">
        <v>100</v>
      </c>
      <c r="L92" s="23" t="s">
        <v>100</v>
      </c>
      <c r="M92" s="22" t="s">
        <v>101</v>
      </c>
      <c r="N92" s="23" t="s">
        <v>101</v>
      </c>
      <c r="O92" s="22" t="s">
        <v>102</v>
      </c>
      <c r="P92" s="23" t="s">
        <v>102</v>
      </c>
      <c r="Q92" s="22" t="s">
        <v>103</v>
      </c>
      <c r="R92" s="23" t="s">
        <v>103</v>
      </c>
      <c r="S92" s="23"/>
      <c r="T92" s="132" t="s">
        <v>137</v>
      </c>
      <c r="U92" s="136" t="s">
        <v>138</v>
      </c>
      <c r="V92" s="139" t="s">
        <v>124</v>
      </c>
      <c r="W92" s="139" t="s">
        <v>124</v>
      </c>
      <c r="X92" s="90" t="s">
        <v>106</v>
      </c>
      <c r="Y92" s="90" t="s">
        <v>106</v>
      </c>
      <c r="Z92" s="407" t="s">
        <v>108</v>
      </c>
      <c r="AA92" s="408"/>
      <c r="AB92" s="107" t="s">
        <v>34</v>
      </c>
      <c r="AC92" s="111"/>
      <c r="AD92" s="107" t="s">
        <v>35</v>
      </c>
      <c r="AE92" s="111"/>
    </row>
    <row r="93" spans="1:33" ht="15" thickBot="1" x14ac:dyDescent="0.4">
      <c r="A93" t="s">
        <v>1</v>
      </c>
      <c r="B93" s="60">
        <v>1</v>
      </c>
      <c r="C93" s="14">
        <v>20</v>
      </c>
      <c r="D93" s="14">
        <v>13</v>
      </c>
      <c r="E93" s="14">
        <v>27</v>
      </c>
      <c r="F93" s="14">
        <v>16</v>
      </c>
      <c r="G93" s="14">
        <v>24</v>
      </c>
      <c r="H93" s="14">
        <v>15</v>
      </c>
      <c r="I93" s="14">
        <v>32</v>
      </c>
      <c r="J93" s="39">
        <v>9</v>
      </c>
      <c r="K93" s="14">
        <v>26</v>
      </c>
      <c r="L93" s="14">
        <v>10</v>
      </c>
      <c r="M93" s="14">
        <v>18</v>
      </c>
      <c r="N93" s="14">
        <v>11</v>
      </c>
      <c r="O93" s="14">
        <v>24</v>
      </c>
      <c r="P93" s="14">
        <v>14</v>
      </c>
      <c r="Q93" s="14">
        <v>27</v>
      </c>
      <c r="R93" s="39">
        <v>7</v>
      </c>
      <c r="S93" s="39"/>
      <c r="T93" s="32">
        <f>AVERAGE(C93,E93,G93,I93,K93,M93,O93,Q93)</f>
        <v>24.75</v>
      </c>
      <c r="U93" s="33">
        <f>AVERAGE(D93,F93,H93,J93,L93,N93,P93,R93)</f>
        <v>11.875</v>
      </c>
      <c r="V93" s="248">
        <v>1405</v>
      </c>
      <c r="W93" s="249">
        <v>670</v>
      </c>
      <c r="X93" s="30">
        <v>0.82291666666666663</v>
      </c>
      <c r="Y93" s="29">
        <v>0.86111111111111116</v>
      </c>
      <c r="Z93">
        <v>8</v>
      </c>
      <c r="AB93" s="54">
        <v>4</v>
      </c>
      <c r="AD93">
        <v>4</v>
      </c>
      <c r="AE93" s="58"/>
    </row>
    <row r="94" spans="1:33" ht="15" thickBot="1" x14ac:dyDescent="0.4">
      <c r="B94" s="60">
        <v>2</v>
      </c>
      <c r="C94" s="14">
        <v>27</v>
      </c>
      <c r="D94" s="14">
        <v>14</v>
      </c>
      <c r="E94" s="14">
        <v>38</v>
      </c>
      <c r="F94" s="14">
        <v>20</v>
      </c>
      <c r="G94" s="14">
        <v>33</v>
      </c>
      <c r="H94" s="14">
        <v>18</v>
      </c>
      <c r="I94" s="27">
        <v>27</v>
      </c>
      <c r="J94" s="27">
        <v>21</v>
      </c>
      <c r="K94" s="14">
        <v>33</v>
      </c>
      <c r="L94" s="14">
        <v>14</v>
      </c>
      <c r="M94" s="14">
        <v>28</v>
      </c>
      <c r="N94" s="14">
        <v>10</v>
      </c>
      <c r="O94" s="14">
        <v>31</v>
      </c>
      <c r="P94" s="14">
        <v>17</v>
      </c>
      <c r="Q94" s="14">
        <v>26</v>
      </c>
      <c r="R94" s="14">
        <v>11</v>
      </c>
      <c r="S94" s="14"/>
      <c r="T94" s="24">
        <f>AVERAGE(C94,E94,G94,I94,K94,M94,O94,Q94)</f>
        <v>30.375</v>
      </c>
      <c r="U94" s="245">
        <f>AVERAGE(D94,F94,H94,J94,L94,N94,P94,R94)</f>
        <v>15.625</v>
      </c>
      <c r="V94" s="250">
        <v>1840</v>
      </c>
      <c r="W94" s="251">
        <v>1210</v>
      </c>
      <c r="X94" s="30">
        <v>0.65625</v>
      </c>
      <c r="Y94" s="29">
        <v>0.69097222222222221</v>
      </c>
      <c r="Z94">
        <v>8</v>
      </c>
      <c r="AB94" s="54">
        <v>3</v>
      </c>
      <c r="AD94">
        <v>3</v>
      </c>
      <c r="AE94" s="58"/>
    </row>
    <row r="95" spans="1:33" ht="15" thickBot="1" x14ac:dyDescent="0.4">
      <c r="B95" s="60">
        <v>3</v>
      </c>
      <c r="C95" s="14">
        <v>32</v>
      </c>
      <c r="D95" s="14">
        <v>16</v>
      </c>
      <c r="E95" s="14">
        <v>29</v>
      </c>
      <c r="F95" s="14">
        <v>14</v>
      </c>
      <c r="G95" s="14">
        <v>34</v>
      </c>
      <c r="H95" s="14">
        <v>18</v>
      </c>
      <c r="I95" s="14">
        <v>29</v>
      </c>
      <c r="J95" s="14">
        <v>17</v>
      </c>
      <c r="K95" s="14">
        <v>29</v>
      </c>
      <c r="L95" s="14">
        <v>19</v>
      </c>
      <c r="M95" s="14">
        <v>34</v>
      </c>
      <c r="N95" s="14">
        <v>16</v>
      </c>
      <c r="O95" s="14">
        <v>28</v>
      </c>
      <c r="P95" s="14">
        <v>22</v>
      </c>
      <c r="Q95" s="14">
        <v>30</v>
      </c>
      <c r="R95" s="14">
        <v>13</v>
      </c>
      <c r="S95" s="14"/>
      <c r="T95" s="24">
        <f t="shared" ref="T95:T163" si="28">AVERAGE(C95,E95,G95,I95,K95,M95,O95,Q95)</f>
        <v>30.625</v>
      </c>
      <c r="U95" s="245">
        <f t="shared" ref="U95:U163" si="29">AVERAGE(D95,F95,H95,J95,L95,N95,P95,R95)</f>
        <v>16.875</v>
      </c>
      <c r="V95" s="217">
        <v>1830</v>
      </c>
      <c r="W95" s="218">
        <v>1100</v>
      </c>
      <c r="X95" s="29">
        <v>0.8125</v>
      </c>
      <c r="Y95" s="29">
        <v>0.84722222222222221</v>
      </c>
      <c r="Z95">
        <v>8</v>
      </c>
      <c r="AB95" s="54">
        <v>4</v>
      </c>
      <c r="AD95">
        <v>4</v>
      </c>
      <c r="AE95" s="58"/>
    </row>
    <row r="96" spans="1:33" ht="15" thickBot="1" x14ac:dyDescent="0.4">
      <c r="B96" s="60">
        <v>4</v>
      </c>
      <c r="C96" s="14">
        <v>35</v>
      </c>
      <c r="D96" s="14">
        <v>16</v>
      </c>
      <c r="E96" s="31">
        <v>44</v>
      </c>
      <c r="F96" s="14">
        <v>26</v>
      </c>
      <c r="G96" s="14">
        <v>31</v>
      </c>
      <c r="H96" s="14">
        <v>12</v>
      </c>
      <c r="I96" s="14">
        <v>33</v>
      </c>
      <c r="J96" s="14">
        <v>15</v>
      </c>
      <c r="K96" s="14">
        <v>39</v>
      </c>
      <c r="L96" s="14">
        <v>20</v>
      </c>
      <c r="M96" s="14">
        <v>30</v>
      </c>
      <c r="N96" s="14">
        <v>13</v>
      </c>
      <c r="O96" s="14">
        <v>35</v>
      </c>
      <c r="P96" s="14">
        <v>22</v>
      </c>
      <c r="Q96" s="14">
        <v>36</v>
      </c>
      <c r="R96" s="14">
        <v>18</v>
      </c>
      <c r="S96" s="14"/>
      <c r="T96" s="24">
        <f t="shared" si="28"/>
        <v>35.375</v>
      </c>
      <c r="U96" s="245">
        <f t="shared" si="29"/>
        <v>17.75</v>
      </c>
      <c r="V96" s="217">
        <v>2180</v>
      </c>
      <c r="W96" s="218">
        <v>960</v>
      </c>
      <c r="X96" s="29">
        <v>0.71875</v>
      </c>
      <c r="Y96" s="29">
        <v>0.75694444444444453</v>
      </c>
      <c r="Z96">
        <v>8</v>
      </c>
      <c r="AB96" s="54">
        <v>3</v>
      </c>
      <c r="AD96">
        <v>4</v>
      </c>
      <c r="AE96" s="58"/>
    </row>
    <row r="97" spans="1:31" ht="15" thickBot="1" x14ac:dyDescent="0.4">
      <c r="B97" s="60">
        <v>5</v>
      </c>
      <c r="C97" s="14">
        <v>26</v>
      </c>
      <c r="D97" s="14">
        <v>11</v>
      </c>
      <c r="E97" s="14">
        <v>32</v>
      </c>
      <c r="F97" s="14">
        <v>19</v>
      </c>
      <c r="G97" s="14">
        <v>26</v>
      </c>
      <c r="H97" s="39">
        <v>8</v>
      </c>
      <c r="I97" s="14">
        <v>32</v>
      </c>
      <c r="J97" s="14">
        <v>19</v>
      </c>
      <c r="K97" s="14">
        <v>28</v>
      </c>
      <c r="L97" s="14">
        <v>9</v>
      </c>
      <c r="M97" s="14">
        <v>29</v>
      </c>
      <c r="N97" s="14">
        <v>13</v>
      </c>
      <c r="O97" s="14">
        <v>34</v>
      </c>
      <c r="P97" s="14">
        <v>19</v>
      </c>
      <c r="Q97" s="14">
        <v>37</v>
      </c>
      <c r="R97" s="14">
        <v>16</v>
      </c>
      <c r="S97" s="14"/>
      <c r="T97" s="24">
        <f t="shared" si="28"/>
        <v>30.5</v>
      </c>
      <c r="U97" s="245">
        <f t="shared" si="29"/>
        <v>14.25</v>
      </c>
      <c r="V97" s="217">
        <v>1800</v>
      </c>
      <c r="W97" s="218">
        <v>840</v>
      </c>
      <c r="X97" s="29">
        <v>0.50694444444444442</v>
      </c>
      <c r="Y97" s="29">
        <v>0.54166666666666663</v>
      </c>
      <c r="Z97">
        <v>8</v>
      </c>
      <c r="AB97" s="54">
        <v>2</v>
      </c>
      <c r="AD97">
        <v>2</v>
      </c>
      <c r="AE97" s="58"/>
    </row>
    <row r="98" spans="1:31" ht="15" thickBot="1" x14ac:dyDescent="0.4">
      <c r="B98" s="60">
        <v>6</v>
      </c>
      <c r="C98" s="14">
        <v>27</v>
      </c>
      <c r="D98" s="14">
        <v>14</v>
      </c>
      <c r="E98" s="14">
        <v>31</v>
      </c>
      <c r="F98" s="14">
        <v>19</v>
      </c>
      <c r="G98" s="14">
        <v>30</v>
      </c>
      <c r="H98" s="14">
        <v>21</v>
      </c>
      <c r="I98" s="14">
        <v>29</v>
      </c>
      <c r="J98" s="14">
        <v>12</v>
      </c>
      <c r="K98" s="14">
        <v>32</v>
      </c>
      <c r="L98" s="14">
        <v>19</v>
      </c>
      <c r="M98" s="14">
        <v>29</v>
      </c>
      <c r="N98" s="14">
        <v>14</v>
      </c>
      <c r="O98" s="14">
        <v>29</v>
      </c>
      <c r="P98" s="14">
        <v>14</v>
      </c>
      <c r="Q98" s="14">
        <v>28</v>
      </c>
      <c r="R98" s="14">
        <v>18</v>
      </c>
      <c r="S98" s="14"/>
      <c r="T98" s="24">
        <f t="shared" si="28"/>
        <v>29.375</v>
      </c>
      <c r="U98" s="245">
        <f t="shared" si="29"/>
        <v>16.375</v>
      </c>
      <c r="V98" s="217">
        <v>1815</v>
      </c>
      <c r="W98" s="218">
        <v>1345</v>
      </c>
      <c r="X98" s="29">
        <v>0.8125</v>
      </c>
      <c r="Y98" s="29">
        <v>0.84722222222222221</v>
      </c>
      <c r="Z98">
        <v>8</v>
      </c>
      <c r="AB98" s="54">
        <v>4</v>
      </c>
      <c r="AD98">
        <v>4</v>
      </c>
      <c r="AE98" s="58"/>
    </row>
    <row r="99" spans="1:31" ht="15" thickBot="1" x14ac:dyDescent="0.4">
      <c r="B99" s="60">
        <v>7</v>
      </c>
      <c r="C99" s="14">
        <v>29</v>
      </c>
      <c r="D99" s="14">
        <v>13</v>
      </c>
      <c r="E99" s="14">
        <v>31</v>
      </c>
      <c r="F99" s="14">
        <v>20</v>
      </c>
      <c r="G99" s="31">
        <v>43</v>
      </c>
      <c r="H99" s="14">
        <v>23</v>
      </c>
      <c r="I99" s="14">
        <v>24</v>
      </c>
      <c r="J99" s="14">
        <v>13</v>
      </c>
      <c r="K99" s="31">
        <v>40</v>
      </c>
      <c r="L99" s="14">
        <v>30</v>
      </c>
      <c r="M99" s="14">
        <v>28</v>
      </c>
      <c r="N99" s="14">
        <v>11</v>
      </c>
      <c r="O99" s="14">
        <v>38</v>
      </c>
      <c r="P99" s="14">
        <v>11</v>
      </c>
      <c r="Q99" s="31">
        <v>40</v>
      </c>
      <c r="R99" s="14">
        <v>19</v>
      </c>
      <c r="S99" s="14"/>
      <c r="T99" s="24">
        <f t="shared" si="28"/>
        <v>34.125</v>
      </c>
      <c r="U99" s="245">
        <f t="shared" si="29"/>
        <v>17.5</v>
      </c>
      <c r="V99" s="217">
        <v>2040</v>
      </c>
      <c r="W99" s="218">
        <v>1110</v>
      </c>
      <c r="X99" s="29">
        <v>0.45833333333333331</v>
      </c>
      <c r="Y99" s="29">
        <v>0.49305555555555558</v>
      </c>
      <c r="Z99">
        <v>8</v>
      </c>
      <c r="AB99" s="54">
        <v>1</v>
      </c>
      <c r="AD99">
        <v>1</v>
      </c>
      <c r="AE99" s="58"/>
    </row>
    <row r="100" spans="1:31" ht="15" thickBot="1" x14ac:dyDescent="0.4">
      <c r="B100" s="60">
        <v>8</v>
      </c>
      <c r="C100" s="14">
        <v>30</v>
      </c>
      <c r="D100" s="14">
        <v>12</v>
      </c>
      <c r="E100" s="14">
        <v>32</v>
      </c>
      <c r="F100" s="14">
        <v>16</v>
      </c>
      <c r="G100" s="31">
        <v>41</v>
      </c>
      <c r="H100" s="14">
        <v>18</v>
      </c>
      <c r="I100" s="14">
        <v>22</v>
      </c>
      <c r="J100" s="14">
        <v>14</v>
      </c>
      <c r="K100" s="14">
        <v>26</v>
      </c>
      <c r="L100" s="14">
        <v>16</v>
      </c>
      <c r="M100" s="14">
        <v>19</v>
      </c>
      <c r="N100" s="39">
        <v>6</v>
      </c>
      <c r="O100" s="14">
        <v>28</v>
      </c>
      <c r="P100" s="14">
        <v>22</v>
      </c>
      <c r="Q100" s="14">
        <v>35</v>
      </c>
      <c r="R100" s="14">
        <v>14</v>
      </c>
      <c r="S100" s="14"/>
      <c r="T100" s="24">
        <f t="shared" si="28"/>
        <v>29.125</v>
      </c>
      <c r="U100" s="245">
        <f t="shared" si="29"/>
        <v>14.75</v>
      </c>
      <c r="V100" s="217">
        <v>1725</v>
      </c>
      <c r="W100" s="218">
        <v>865</v>
      </c>
      <c r="X100" s="29">
        <v>0.79166666666666663</v>
      </c>
      <c r="Y100" s="29">
        <v>0.82638888888888884</v>
      </c>
      <c r="Z100">
        <v>8</v>
      </c>
      <c r="AB100" s="54">
        <v>4</v>
      </c>
      <c r="AD100">
        <v>4</v>
      </c>
      <c r="AE100" s="58"/>
    </row>
    <row r="101" spans="1:31" ht="15" thickBot="1" x14ac:dyDescent="0.4">
      <c r="B101" s="60">
        <v>9</v>
      </c>
      <c r="C101" s="14">
        <v>22</v>
      </c>
      <c r="D101" s="14">
        <v>9</v>
      </c>
      <c r="E101" s="14">
        <v>32</v>
      </c>
      <c r="F101" s="14">
        <v>17</v>
      </c>
      <c r="G101" s="14">
        <v>34</v>
      </c>
      <c r="H101" s="14">
        <v>18</v>
      </c>
      <c r="I101" s="14">
        <v>28</v>
      </c>
      <c r="J101" s="14">
        <v>18</v>
      </c>
      <c r="K101" s="31">
        <v>44</v>
      </c>
      <c r="L101" s="14">
        <v>26</v>
      </c>
      <c r="M101" s="40" t="s">
        <v>3</v>
      </c>
      <c r="N101" s="40" t="s">
        <v>3</v>
      </c>
      <c r="O101" s="14">
        <v>31</v>
      </c>
      <c r="P101" s="14">
        <v>15</v>
      </c>
      <c r="Q101" s="14">
        <v>29</v>
      </c>
      <c r="R101" s="14">
        <v>19</v>
      </c>
      <c r="S101" s="14"/>
      <c r="T101" s="24">
        <f t="shared" si="28"/>
        <v>31.428571428571427</v>
      </c>
      <c r="U101" s="245">
        <f t="shared" si="29"/>
        <v>17.428571428571427</v>
      </c>
      <c r="V101" s="217">
        <v>1935</v>
      </c>
      <c r="W101" s="218">
        <v>1320</v>
      </c>
      <c r="X101" s="29">
        <v>0.53125</v>
      </c>
      <c r="Y101" s="29">
        <v>0.56944444444444442</v>
      </c>
      <c r="Z101">
        <v>7</v>
      </c>
      <c r="AB101" s="54">
        <v>2</v>
      </c>
      <c r="AD101">
        <v>2</v>
      </c>
      <c r="AE101" s="58"/>
    </row>
    <row r="102" spans="1:31" x14ac:dyDescent="0.35">
      <c r="B102" s="60">
        <v>10</v>
      </c>
      <c r="C102" s="14">
        <v>30</v>
      </c>
      <c r="D102" s="14">
        <v>13</v>
      </c>
      <c r="E102" s="14">
        <v>31</v>
      </c>
      <c r="F102" s="14">
        <v>26</v>
      </c>
      <c r="G102" s="14">
        <v>24</v>
      </c>
      <c r="H102" s="14">
        <v>15</v>
      </c>
      <c r="I102" s="14">
        <v>34</v>
      </c>
      <c r="J102" s="14">
        <v>25</v>
      </c>
      <c r="K102" s="14">
        <v>31</v>
      </c>
      <c r="L102" s="14">
        <v>19</v>
      </c>
      <c r="M102" s="14">
        <v>27</v>
      </c>
      <c r="N102" s="14">
        <v>20</v>
      </c>
      <c r="O102" s="14">
        <v>38</v>
      </c>
      <c r="P102" s="14">
        <v>23</v>
      </c>
      <c r="Q102" s="14">
        <v>41</v>
      </c>
      <c r="R102" s="14">
        <v>20</v>
      </c>
      <c r="S102" s="14"/>
      <c r="T102" s="24">
        <f t="shared" si="28"/>
        <v>32</v>
      </c>
      <c r="U102" s="245">
        <f t="shared" si="29"/>
        <v>20.125</v>
      </c>
      <c r="V102" s="217">
        <v>1830</v>
      </c>
      <c r="W102" s="218">
        <v>1235</v>
      </c>
      <c r="X102" s="29">
        <v>0.65277777777777779</v>
      </c>
      <c r="Y102" s="29">
        <v>0.6875</v>
      </c>
      <c r="Z102">
        <v>8</v>
      </c>
      <c r="AB102" s="54">
        <v>3</v>
      </c>
      <c r="AD102">
        <v>3</v>
      </c>
      <c r="AE102" s="58"/>
    </row>
    <row r="103" spans="1:31" s="36" customFormat="1" ht="15" thickBot="1" x14ac:dyDescent="0.4">
      <c r="B103" s="125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252"/>
      <c r="W103" s="253"/>
      <c r="X103" s="37"/>
      <c r="Y103" s="37"/>
      <c r="AB103" s="54"/>
      <c r="AC103"/>
      <c r="AD103"/>
      <c r="AE103" s="58"/>
    </row>
    <row r="104" spans="1:31" ht="15" thickBot="1" x14ac:dyDescent="0.4">
      <c r="A104" t="s">
        <v>43</v>
      </c>
      <c r="B104" s="60">
        <v>1</v>
      </c>
      <c r="C104" s="14">
        <v>26</v>
      </c>
      <c r="D104" s="14">
        <v>16</v>
      </c>
      <c r="E104" s="14">
        <v>25</v>
      </c>
      <c r="F104" s="14">
        <v>13</v>
      </c>
      <c r="G104" s="14">
        <v>27</v>
      </c>
      <c r="H104" s="14">
        <v>15</v>
      </c>
      <c r="I104" s="14">
        <v>34</v>
      </c>
      <c r="J104" s="14">
        <v>16</v>
      </c>
      <c r="K104" s="14">
        <v>28</v>
      </c>
      <c r="L104" s="14">
        <v>19</v>
      </c>
      <c r="M104" s="14">
        <v>27</v>
      </c>
      <c r="N104" s="14">
        <v>16</v>
      </c>
      <c r="O104" s="14">
        <v>30</v>
      </c>
      <c r="P104" s="14">
        <v>19</v>
      </c>
      <c r="Q104" s="14">
        <v>28</v>
      </c>
      <c r="R104" s="14">
        <v>23</v>
      </c>
      <c r="S104" s="14"/>
      <c r="T104" s="24">
        <f t="shared" si="28"/>
        <v>28.125</v>
      </c>
      <c r="U104" s="245">
        <f t="shared" si="29"/>
        <v>17.125</v>
      </c>
      <c r="V104" s="217">
        <v>1690</v>
      </c>
      <c r="W104" s="218">
        <v>1280</v>
      </c>
      <c r="X104" s="29">
        <v>0.72916666666666663</v>
      </c>
      <c r="Y104" s="29">
        <v>0.79305555555555562</v>
      </c>
      <c r="Z104">
        <v>8</v>
      </c>
      <c r="AB104" s="54">
        <v>3</v>
      </c>
      <c r="AD104">
        <v>4</v>
      </c>
      <c r="AE104" s="58"/>
    </row>
    <row r="105" spans="1:31" ht="15" thickBot="1" x14ac:dyDescent="0.4">
      <c r="B105" s="60">
        <v>2</v>
      </c>
      <c r="C105" s="14">
        <v>35</v>
      </c>
      <c r="D105" s="14">
        <v>19</v>
      </c>
      <c r="E105" s="14">
        <v>21</v>
      </c>
      <c r="F105" s="14">
        <v>20</v>
      </c>
      <c r="G105" s="14">
        <v>29</v>
      </c>
      <c r="H105" s="14">
        <v>21</v>
      </c>
      <c r="I105" s="14">
        <v>29</v>
      </c>
      <c r="J105" s="14">
        <v>24</v>
      </c>
      <c r="K105" s="14">
        <v>27</v>
      </c>
      <c r="L105" s="14">
        <v>19</v>
      </c>
      <c r="M105" s="14">
        <v>37</v>
      </c>
      <c r="N105" s="14">
        <v>21</v>
      </c>
      <c r="O105" s="14">
        <v>30</v>
      </c>
      <c r="P105" s="14">
        <v>17</v>
      </c>
      <c r="Q105" s="14">
        <v>28</v>
      </c>
      <c r="R105" s="14">
        <v>20</v>
      </c>
      <c r="S105" s="14"/>
      <c r="T105" s="24">
        <f t="shared" si="28"/>
        <v>29.5</v>
      </c>
      <c r="U105" s="245">
        <f t="shared" si="29"/>
        <v>20.125</v>
      </c>
      <c r="V105" s="217">
        <v>1790</v>
      </c>
      <c r="W105" s="218">
        <v>1330</v>
      </c>
      <c r="X105" s="29">
        <v>0.625</v>
      </c>
      <c r="Y105" s="29">
        <v>0.68888888888888899</v>
      </c>
      <c r="Z105">
        <v>8</v>
      </c>
      <c r="AB105" s="54">
        <v>3</v>
      </c>
      <c r="AD105">
        <v>3</v>
      </c>
      <c r="AE105" s="58"/>
    </row>
    <row r="106" spans="1:31" ht="15" thickBot="1" x14ac:dyDescent="0.4">
      <c r="B106" s="60">
        <v>3</v>
      </c>
      <c r="C106" s="14">
        <v>21</v>
      </c>
      <c r="D106" s="14">
        <v>11</v>
      </c>
      <c r="E106" s="14">
        <v>38</v>
      </c>
      <c r="F106" s="14">
        <v>13</v>
      </c>
      <c r="G106" s="14">
        <v>29</v>
      </c>
      <c r="H106" s="14">
        <v>29</v>
      </c>
      <c r="I106" s="14">
        <v>36</v>
      </c>
      <c r="J106" s="14">
        <v>16</v>
      </c>
      <c r="K106" s="14">
        <v>38</v>
      </c>
      <c r="L106" s="14">
        <v>20</v>
      </c>
      <c r="M106" s="14">
        <v>30</v>
      </c>
      <c r="N106" s="14">
        <v>28</v>
      </c>
      <c r="O106" s="31">
        <v>45</v>
      </c>
      <c r="P106" s="14">
        <v>20</v>
      </c>
      <c r="Q106" s="14">
        <v>37</v>
      </c>
      <c r="R106" s="14">
        <v>21</v>
      </c>
      <c r="S106" s="14"/>
      <c r="T106" s="24">
        <f t="shared" si="28"/>
        <v>34.25</v>
      </c>
      <c r="U106" s="245">
        <f t="shared" si="29"/>
        <v>19.75</v>
      </c>
      <c r="V106" s="217">
        <v>2070</v>
      </c>
      <c r="W106" s="218">
        <v>1235</v>
      </c>
      <c r="X106" s="29">
        <v>0.53125</v>
      </c>
      <c r="Y106" s="29">
        <v>0.59722222222222221</v>
      </c>
      <c r="Z106">
        <v>8</v>
      </c>
      <c r="AB106" s="54">
        <v>2</v>
      </c>
      <c r="AD106">
        <v>2</v>
      </c>
      <c r="AE106" s="58"/>
    </row>
    <row r="107" spans="1:31" ht="15" thickBot="1" x14ac:dyDescent="0.4">
      <c r="B107" s="60">
        <v>4</v>
      </c>
      <c r="C107" s="14">
        <v>30</v>
      </c>
      <c r="D107" s="14">
        <v>17</v>
      </c>
      <c r="E107" s="14">
        <v>24</v>
      </c>
      <c r="F107" s="14">
        <v>17</v>
      </c>
      <c r="G107" s="14">
        <v>27</v>
      </c>
      <c r="H107" s="14">
        <v>14</v>
      </c>
      <c r="I107" s="14">
        <v>36</v>
      </c>
      <c r="J107" s="14">
        <v>17</v>
      </c>
      <c r="K107" s="14">
        <v>28</v>
      </c>
      <c r="L107" s="14">
        <v>21</v>
      </c>
      <c r="M107" s="14">
        <v>34</v>
      </c>
      <c r="N107" s="14">
        <v>21</v>
      </c>
      <c r="O107" s="31">
        <v>42</v>
      </c>
      <c r="P107" s="14">
        <v>17</v>
      </c>
      <c r="Q107" s="14">
        <v>30</v>
      </c>
      <c r="R107" s="14">
        <v>11</v>
      </c>
      <c r="S107" s="14"/>
      <c r="T107" s="24">
        <f t="shared" si="28"/>
        <v>31.375</v>
      </c>
      <c r="U107" s="245">
        <f t="shared" si="29"/>
        <v>16.875</v>
      </c>
      <c r="V107" s="217">
        <v>1875</v>
      </c>
      <c r="W107" s="218">
        <v>1130</v>
      </c>
      <c r="X107" s="29">
        <v>0.74305555555555547</v>
      </c>
      <c r="Y107" s="29">
        <v>0.80555555555555547</v>
      </c>
      <c r="Z107">
        <v>8</v>
      </c>
      <c r="AB107" s="54">
        <v>3</v>
      </c>
      <c r="AD107">
        <v>4</v>
      </c>
      <c r="AE107" s="58"/>
    </row>
    <row r="108" spans="1:31" ht="15" thickBot="1" x14ac:dyDescent="0.4">
      <c r="B108" s="60">
        <v>5</v>
      </c>
      <c r="C108" s="14">
        <v>30</v>
      </c>
      <c r="D108" s="14">
        <v>22</v>
      </c>
      <c r="E108" s="14">
        <v>30</v>
      </c>
      <c r="F108" s="14">
        <v>22</v>
      </c>
      <c r="G108" s="14">
        <v>25</v>
      </c>
      <c r="H108" s="14">
        <v>21</v>
      </c>
      <c r="I108" s="14">
        <v>27</v>
      </c>
      <c r="J108" s="14">
        <v>18</v>
      </c>
      <c r="K108" s="14">
        <v>33</v>
      </c>
      <c r="L108" s="14">
        <v>22</v>
      </c>
      <c r="M108" s="14">
        <v>39</v>
      </c>
      <c r="N108" s="14">
        <v>28</v>
      </c>
      <c r="O108" s="14">
        <v>32</v>
      </c>
      <c r="P108" s="14">
        <v>18</v>
      </c>
      <c r="Q108" s="14">
        <v>24</v>
      </c>
      <c r="R108" s="14">
        <v>11</v>
      </c>
      <c r="S108" s="14"/>
      <c r="T108" s="24">
        <f t="shared" si="28"/>
        <v>30</v>
      </c>
      <c r="U108" s="245">
        <f t="shared" si="29"/>
        <v>20.25</v>
      </c>
      <c r="V108" s="217">
        <v>1775</v>
      </c>
      <c r="W108" s="218">
        <v>1245</v>
      </c>
      <c r="X108" s="29">
        <v>0.54166666666666663</v>
      </c>
      <c r="Y108" s="29">
        <v>0.60416666666666663</v>
      </c>
      <c r="Z108">
        <v>8</v>
      </c>
      <c r="AB108" s="54">
        <v>2</v>
      </c>
      <c r="AD108">
        <v>2</v>
      </c>
      <c r="AE108" s="58"/>
    </row>
    <row r="109" spans="1:31" ht="15" thickBot="1" x14ac:dyDescent="0.4">
      <c r="B109" s="60">
        <v>6</v>
      </c>
      <c r="C109" s="14">
        <v>29</v>
      </c>
      <c r="D109" s="14">
        <v>14</v>
      </c>
      <c r="E109" s="14">
        <v>30</v>
      </c>
      <c r="F109" s="14">
        <v>17</v>
      </c>
      <c r="G109" s="14">
        <v>29</v>
      </c>
      <c r="H109" s="14">
        <v>19</v>
      </c>
      <c r="I109" s="14">
        <v>31</v>
      </c>
      <c r="J109" s="14">
        <v>21</v>
      </c>
      <c r="K109" s="14">
        <v>23</v>
      </c>
      <c r="L109" s="14">
        <v>24</v>
      </c>
      <c r="M109" s="14">
        <v>29</v>
      </c>
      <c r="N109" s="14">
        <v>15</v>
      </c>
      <c r="O109" s="14">
        <v>26</v>
      </c>
      <c r="P109" s="14">
        <v>15</v>
      </c>
      <c r="Q109" s="14">
        <v>33</v>
      </c>
      <c r="R109" s="14">
        <v>24</v>
      </c>
      <c r="S109" s="14"/>
      <c r="T109" s="24">
        <f t="shared" si="28"/>
        <v>28.75</v>
      </c>
      <c r="U109" s="245">
        <f t="shared" si="29"/>
        <v>18.625</v>
      </c>
      <c r="V109" s="217">
        <v>1765</v>
      </c>
      <c r="W109" s="218">
        <v>1170</v>
      </c>
      <c r="X109" s="29">
        <v>0.59375</v>
      </c>
      <c r="Y109" s="29">
        <v>0.65625</v>
      </c>
      <c r="Z109">
        <v>8</v>
      </c>
      <c r="AB109" s="54">
        <v>2</v>
      </c>
      <c r="AD109">
        <v>3</v>
      </c>
      <c r="AE109" s="58"/>
    </row>
    <row r="110" spans="1:31" ht="15" thickBot="1" x14ac:dyDescent="0.4">
      <c r="B110" s="60">
        <v>7</v>
      </c>
      <c r="C110" s="14">
        <v>17</v>
      </c>
      <c r="D110" s="14">
        <v>12</v>
      </c>
      <c r="E110" s="14">
        <v>32</v>
      </c>
      <c r="F110" s="14">
        <v>21</v>
      </c>
      <c r="G110" s="14">
        <v>26</v>
      </c>
      <c r="H110" s="14">
        <v>14</v>
      </c>
      <c r="I110" s="14">
        <v>21</v>
      </c>
      <c r="J110" s="14">
        <v>19</v>
      </c>
      <c r="K110" s="14">
        <v>36</v>
      </c>
      <c r="L110" s="14">
        <v>17</v>
      </c>
      <c r="M110" s="14">
        <v>33</v>
      </c>
      <c r="N110" s="14">
        <v>24</v>
      </c>
      <c r="O110" s="14">
        <v>30</v>
      </c>
      <c r="P110" s="14">
        <v>21</v>
      </c>
      <c r="Q110" s="14">
        <v>31</v>
      </c>
      <c r="R110" s="14">
        <v>25</v>
      </c>
      <c r="S110" s="14"/>
      <c r="T110" s="24">
        <f t="shared" si="28"/>
        <v>28.25</v>
      </c>
      <c r="U110" s="245">
        <f t="shared" si="29"/>
        <v>19.125</v>
      </c>
      <c r="V110" s="217">
        <v>1680</v>
      </c>
      <c r="W110" s="218">
        <v>1125</v>
      </c>
      <c r="X110" s="29">
        <v>0.8125</v>
      </c>
      <c r="Y110" s="29">
        <v>0.875</v>
      </c>
      <c r="Z110">
        <v>8</v>
      </c>
      <c r="AB110" s="54">
        <v>4</v>
      </c>
      <c r="AD110">
        <v>4</v>
      </c>
      <c r="AE110" s="58"/>
    </row>
    <row r="111" spans="1:31" ht="15" thickBot="1" x14ac:dyDescent="0.4">
      <c r="B111" s="60">
        <v>8</v>
      </c>
      <c r="C111" s="14">
        <v>28</v>
      </c>
      <c r="D111" s="14">
        <v>17</v>
      </c>
      <c r="E111" s="14">
        <v>27</v>
      </c>
      <c r="F111" s="14">
        <v>21</v>
      </c>
      <c r="G111" s="14">
        <v>31</v>
      </c>
      <c r="H111" s="14">
        <v>14</v>
      </c>
      <c r="I111" s="14">
        <v>34</v>
      </c>
      <c r="J111" s="14">
        <v>24</v>
      </c>
      <c r="K111" s="14">
        <v>30</v>
      </c>
      <c r="L111" s="14">
        <v>18</v>
      </c>
      <c r="M111" s="14">
        <v>39</v>
      </c>
      <c r="N111" s="14">
        <v>20</v>
      </c>
      <c r="O111" s="14">
        <v>34</v>
      </c>
      <c r="P111" s="14">
        <v>19</v>
      </c>
      <c r="Q111" s="14">
        <v>34</v>
      </c>
      <c r="R111" s="14">
        <v>22</v>
      </c>
      <c r="S111" s="14"/>
      <c r="T111" s="24">
        <f t="shared" si="28"/>
        <v>32.125</v>
      </c>
      <c r="U111" s="245">
        <f t="shared" si="29"/>
        <v>19.375</v>
      </c>
      <c r="V111" s="217">
        <v>1905</v>
      </c>
      <c r="W111" s="218">
        <v>1250</v>
      </c>
      <c r="X111" s="29">
        <v>0.47916666666666669</v>
      </c>
      <c r="Y111" s="29">
        <v>0.54861111111111105</v>
      </c>
      <c r="Z111">
        <v>8</v>
      </c>
      <c r="AB111" s="54">
        <v>1</v>
      </c>
      <c r="AD111">
        <v>2</v>
      </c>
      <c r="AE111" s="58"/>
    </row>
    <row r="112" spans="1:31" ht="15" thickBot="1" x14ac:dyDescent="0.4">
      <c r="B112" s="60">
        <v>9</v>
      </c>
      <c r="C112" s="14">
        <v>29</v>
      </c>
      <c r="D112" s="14">
        <v>26</v>
      </c>
      <c r="E112" s="14">
        <v>30</v>
      </c>
      <c r="F112" s="14">
        <v>16</v>
      </c>
      <c r="G112" s="14">
        <v>34</v>
      </c>
      <c r="H112" s="14">
        <v>24</v>
      </c>
      <c r="I112" s="14">
        <v>29</v>
      </c>
      <c r="J112" s="14">
        <v>15</v>
      </c>
      <c r="K112" s="14">
        <v>36</v>
      </c>
      <c r="L112" s="14">
        <v>19</v>
      </c>
      <c r="M112" s="14">
        <v>27</v>
      </c>
      <c r="N112" s="14">
        <v>11</v>
      </c>
      <c r="O112" s="14">
        <v>17</v>
      </c>
      <c r="P112" s="14">
        <v>19</v>
      </c>
      <c r="Q112" s="14">
        <v>36</v>
      </c>
      <c r="R112" s="14">
        <v>19</v>
      </c>
      <c r="S112" s="14"/>
      <c r="T112" s="24">
        <f t="shared" si="28"/>
        <v>29.75</v>
      </c>
      <c r="U112" s="245">
        <f t="shared" si="29"/>
        <v>18.625</v>
      </c>
      <c r="V112" s="217">
        <v>1805</v>
      </c>
      <c r="W112" s="218">
        <v>1155</v>
      </c>
      <c r="X112" s="29">
        <v>0.47916666666666669</v>
      </c>
      <c r="Y112" s="29">
        <v>0.54166666666666663</v>
      </c>
      <c r="Z112">
        <v>8</v>
      </c>
      <c r="AB112" s="54">
        <v>1</v>
      </c>
      <c r="AD112">
        <v>2</v>
      </c>
      <c r="AE112" s="58"/>
    </row>
    <row r="113" spans="1:31" x14ac:dyDescent="0.35">
      <c r="B113" s="60">
        <v>10</v>
      </c>
      <c r="C113" s="14">
        <v>28</v>
      </c>
      <c r="D113" s="14">
        <v>21</v>
      </c>
      <c r="E113" s="14">
        <v>37</v>
      </c>
      <c r="F113" s="14">
        <v>24</v>
      </c>
      <c r="G113" s="14">
        <v>29</v>
      </c>
      <c r="H113" s="14">
        <v>27</v>
      </c>
      <c r="I113" s="14">
        <v>34</v>
      </c>
      <c r="J113" s="14">
        <v>19</v>
      </c>
      <c r="K113" s="31">
        <v>40</v>
      </c>
      <c r="L113" s="14">
        <v>32</v>
      </c>
      <c r="M113" s="14">
        <v>33</v>
      </c>
      <c r="N113" s="14">
        <v>21</v>
      </c>
      <c r="O113" s="14">
        <v>35</v>
      </c>
      <c r="P113" s="14">
        <v>17</v>
      </c>
      <c r="Q113" s="14">
        <v>38</v>
      </c>
      <c r="R113" s="14">
        <v>17</v>
      </c>
      <c r="S113" s="14"/>
      <c r="T113" s="24">
        <f t="shared" si="28"/>
        <v>34.25</v>
      </c>
      <c r="U113" s="245">
        <f t="shared" si="29"/>
        <v>22.25</v>
      </c>
      <c r="V113" s="217">
        <v>2065</v>
      </c>
      <c r="W113" s="218">
        <v>1325</v>
      </c>
      <c r="X113" s="29">
        <v>0.80208333333333337</v>
      </c>
      <c r="Y113" s="29">
        <v>0.86805555555555547</v>
      </c>
      <c r="Z113">
        <v>8</v>
      </c>
      <c r="AB113" s="54">
        <v>4</v>
      </c>
      <c r="AD113">
        <v>4</v>
      </c>
      <c r="AE113" s="58"/>
    </row>
    <row r="114" spans="1:31" s="34" customFormat="1" ht="15" thickBot="1" x14ac:dyDescent="0.4">
      <c r="B114" s="126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254"/>
      <c r="W114" s="255"/>
      <c r="X114" s="35"/>
      <c r="Y114" s="35"/>
      <c r="AB114" s="54"/>
      <c r="AC114"/>
      <c r="AD114"/>
      <c r="AE114" s="58"/>
    </row>
    <row r="115" spans="1:31" ht="15" thickBot="1" x14ac:dyDescent="0.4">
      <c r="A115" t="s">
        <v>44</v>
      </c>
      <c r="B115" s="60">
        <v>1</v>
      </c>
      <c r="C115" s="14">
        <v>26</v>
      </c>
      <c r="D115" s="14">
        <v>13</v>
      </c>
      <c r="E115" s="14">
        <v>26</v>
      </c>
      <c r="F115" s="14">
        <v>26</v>
      </c>
      <c r="G115" s="14">
        <v>33</v>
      </c>
      <c r="H115" s="14">
        <v>21</v>
      </c>
      <c r="I115" s="14">
        <v>29</v>
      </c>
      <c r="J115" s="14">
        <v>21</v>
      </c>
      <c r="K115" s="14">
        <v>28</v>
      </c>
      <c r="L115" s="14">
        <v>19</v>
      </c>
      <c r="M115" s="14">
        <v>29</v>
      </c>
      <c r="N115" s="14">
        <v>16</v>
      </c>
      <c r="O115" s="14">
        <v>26</v>
      </c>
      <c r="P115" s="14">
        <v>17</v>
      </c>
      <c r="Q115" s="14">
        <v>28</v>
      </c>
      <c r="R115" s="14">
        <v>19</v>
      </c>
      <c r="S115" s="14"/>
      <c r="T115" s="24">
        <f t="shared" si="28"/>
        <v>28.125</v>
      </c>
      <c r="U115" s="245">
        <f t="shared" si="29"/>
        <v>19</v>
      </c>
      <c r="V115" s="217">
        <v>1815</v>
      </c>
      <c r="W115" s="218">
        <v>1240</v>
      </c>
      <c r="X115" s="29">
        <v>0.44791666666666669</v>
      </c>
      <c r="Y115" s="29">
        <v>0.82291666666666663</v>
      </c>
      <c r="Z115">
        <v>8</v>
      </c>
      <c r="AB115" s="54">
        <v>1</v>
      </c>
      <c r="AD115">
        <v>4</v>
      </c>
      <c r="AE115" s="58"/>
    </row>
    <row r="116" spans="1:31" ht="15" thickBot="1" x14ac:dyDescent="0.4">
      <c r="B116" s="60">
        <v>2</v>
      </c>
      <c r="C116" s="14">
        <v>20</v>
      </c>
      <c r="D116" s="14">
        <v>26</v>
      </c>
      <c r="E116" s="14">
        <v>38</v>
      </c>
      <c r="F116" s="14">
        <v>20</v>
      </c>
      <c r="G116" s="14">
        <v>35</v>
      </c>
      <c r="H116" s="14">
        <v>24</v>
      </c>
      <c r="I116" s="14">
        <v>27</v>
      </c>
      <c r="J116" s="14">
        <v>23</v>
      </c>
      <c r="K116" s="14">
        <v>31</v>
      </c>
      <c r="L116" s="14">
        <v>19</v>
      </c>
      <c r="M116" s="14">
        <v>22</v>
      </c>
      <c r="N116" s="14">
        <v>19</v>
      </c>
      <c r="O116" s="14">
        <v>30</v>
      </c>
      <c r="P116" s="14">
        <v>24</v>
      </c>
      <c r="Q116" s="14">
        <v>27</v>
      </c>
      <c r="R116" s="14">
        <v>22</v>
      </c>
      <c r="S116" s="14"/>
      <c r="T116" s="24">
        <f t="shared" si="28"/>
        <v>28.75</v>
      </c>
      <c r="U116" s="245">
        <f t="shared" si="29"/>
        <v>22.125</v>
      </c>
      <c r="V116" s="217">
        <v>1780</v>
      </c>
      <c r="W116" s="218">
        <v>1350</v>
      </c>
      <c r="X116" s="29">
        <v>0.41666666666666669</v>
      </c>
      <c r="Y116" s="29">
        <v>0.8125</v>
      </c>
      <c r="Z116">
        <v>8</v>
      </c>
      <c r="AA116" s="25"/>
      <c r="AB116" s="54">
        <v>1</v>
      </c>
      <c r="AD116">
        <v>4</v>
      </c>
      <c r="AE116" s="58"/>
    </row>
    <row r="117" spans="1:31" ht="15" thickBot="1" x14ac:dyDescent="0.4">
      <c r="B117" s="60">
        <v>3</v>
      </c>
      <c r="C117" s="14">
        <v>27</v>
      </c>
      <c r="D117" s="14">
        <v>21</v>
      </c>
      <c r="E117" s="14">
        <v>28</v>
      </c>
      <c r="F117" s="14">
        <v>15</v>
      </c>
      <c r="G117" s="14">
        <v>31</v>
      </c>
      <c r="H117" s="14">
        <v>18</v>
      </c>
      <c r="I117" s="14">
        <v>30</v>
      </c>
      <c r="J117" s="14">
        <v>19</v>
      </c>
      <c r="K117" s="31">
        <v>45</v>
      </c>
      <c r="L117" s="14">
        <v>22</v>
      </c>
      <c r="M117" s="14">
        <v>31</v>
      </c>
      <c r="N117" s="14">
        <v>36</v>
      </c>
      <c r="O117" s="31">
        <v>41</v>
      </c>
      <c r="P117" s="14">
        <v>20</v>
      </c>
      <c r="Q117" s="14">
        <v>28</v>
      </c>
      <c r="R117" s="14">
        <v>16</v>
      </c>
      <c r="S117" s="14"/>
      <c r="T117" s="24">
        <f t="shared" si="28"/>
        <v>32.625</v>
      </c>
      <c r="U117" s="245">
        <f t="shared" si="29"/>
        <v>20.875</v>
      </c>
      <c r="V117" s="217">
        <v>1935</v>
      </c>
      <c r="W117" s="218">
        <v>1350</v>
      </c>
      <c r="X117" s="29">
        <v>0.46875</v>
      </c>
      <c r="Y117" s="29">
        <v>0.85416666666666663</v>
      </c>
      <c r="Z117">
        <v>8</v>
      </c>
      <c r="AA117" s="25"/>
      <c r="AB117" s="54">
        <v>1</v>
      </c>
      <c r="AD117">
        <v>4</v>
      </c>
      <c r="AE117" s="58"/>
    </row>
    <row r="118" spans="1:31" ht="15" thickBot="1" x14ac:dyDescent="0.4">
      <c r="B118" s="60">
        <v>4</v>
      </c>
      <c r="C118" s="14">
        <v>24</v>
      </c>
      <c r="D118" s="14">
        <v>17</v>
      </c>
      <c r="E118" s="14">
        <v>35</v>
      </c>
      <c r="F118" s="14">
        <v>25</v>
      </c>
      <c r="G118" s="14">
        <v>25</v>
      </c>
      <c r="H118" s="14">
        <v>19</v>
      </c>
      <c r="I118" s="14">
        <v>32</v>
      </c>
      <c r="J118" s="14">
        <v>21</v>
      </c>
      <c r="K118" s="14">
        <v>37</v>
      </c>
      <c r="L118" s="14">
        <v>23</v>
      </c>
      <c r="M118" s="14">
        <v>34</v>
      </c>
      <c r="N118" s="14">
        <v>26</v>
      </c>
      <c r="O118" s="40" t="s">
        <v>3</v>
      </c>
      <c r="P118" s="40" t="s">
        <v>3</v>
      </c>
      <c r="Q118" s="40" t="s">
        <v>3</v>
      </c>
      <c r="R118" s="40" t="s">
        <v>3</v>
      </c>
      <c r="S118" s="40"/>
      <c r="T118" s="24">
        <f t="shared" si="28"/>
        <v>31.166666666666668</v>
      </c>
      <c r="U118" s="245">
        <f t="shared" si="29"/>
        <v>21.833333333333332</v>
      </c>
      <c r="V118" s="217">
        <v>1525</v>
      </c>
      <c r="W118" s="218">
        <v>975</v>
      </c>
      <c r="X118" s="29">
        <v>0.45833333333333331</v>
      </c>
      <c r="Y118" s="29">
        <v>0.85416666666666663</v>
      </c>
      <c r="Z118">
        <v>6</v>
      </c>
      <c r="AB118" s="54">
        <v>1</v>
      </c>
      <c r="AD118">
        <v>4</v>
      </c>
      <c r="AE118" s="58"/>
    </row>
    <row r="119" spans="1:31" ht="15" thickBot="1" x14ac:dyDescent="0.4">
      <c r="B119" s="60">
        <v>5</v>
      </c>
      <c r="C119" s="14">
        <v>39</v>
      </c>
      <c r="D119" s="14">
        <v>23</v>
      </c>
      <c r="E119" s="14">
        <v>20</v>
      </c>
      <c r="F119" s="14">
        <v>18</v>
      </c>
      <c r="G119" s="14">
        <v>29</v>
      </c>
      <c r="H119" s="14">
        <v>15</v>
      </c>
      <c r="I119" s="14">
        <v>24</v>
      </c>
      <c r="J119" s="14">
        <v>25</v>
      </c>
      <c r="K119" s="14">
        <v>30</v>
      </c>
      <c r="L119" s="14">
        <v>16</v>
      </c>
      <c r="M119" s="31">
        <v>44</v>
      </c>
      <c r="N119" s="14">
        <v>32</v>
      </c>
      <c r="O119" s="14">
        <v>28</v>
      </c>
      <c r="P119" s="14">
        <v>17</v>
      </c>
      <c r="Q119" s="14">
        <v>26</v>
      </c>
      <c r="R119" s="14">
        <v>20</v>
      </c>
      <c r="S119" s="14"/>
      <c r="T119" s="24">
        <f t="shared" si="28"/>
        <v>30</v>
      </c>
      <c r="U119" s="245">
        <f t="shared" si="29"/>
        <v>20.75</v>
      </c>
      <c r="V119" s="217">
        <v>1770</v>
      </c>
      <c r="W119" s="218">
        <v>1275</v>
      </c>
      <c r="X119" s="29">
        <v>0.52083333333333337</v>
      </c>
      <c r="Y119" s="29">
        <v>0.89583333333333337</v>
      </c>
      <c r="Z119">
        <v>8</v>
      </c>
      <c r="AB119" s="54">
        <v>2</v>
      </c>
      <c r="AD119">
        <v>4</v>
      </c>
      <c r="AE119" s="58"/>
    </row>
    <row r="120" spans="1:31" ht="15" thickBot="1" x14ac:dyDescent="0.4">
      <c r="B120" s="60">
        <v>6</v>
      </c>
      <c r="C120" s="14">
        <v>31</v>
      </c>
      <c r="D120" s="14">
        <v>28</v>
      </c>
      <c r="E120" s="14">
        <v>29</v>
      </c>
      <c r="F120" s="14">
        <v>15</v>
      </c>
      <c r="G120" s="14">
        <v>24</v>
      </c>
      <c r="H120" s="14">
        <v>23</v>
      </c>
      <c r="I120" s="14">
        <v>30</v>
      </c>
      <c r="J120" s="14">
        <v>19</v>
      </c>
      <c r="K120" s="14">
        <v>33</v>
      </c>
      <c r="L120" s="14">
        <v>25</v>
      </c>
      <c r="M120" s="31">
        <v>42</v>
      </c>
      <c r="N120" s="14">
        <v>24</v>
      </c>
      <c r="O120" s="14">
        <v>24</v>
      </c>
      <c r="P120" s="14">
        <v>20</v>
      </c>
      <c r="Q120" s="14">
        <v>34</v>
      </c>
      <c r="R120" s="14">
        <v>25</v>
      </c>
      <c r="S120" s="14"/>
      <c r="T120" s="141">
        <f>AVERAGE(C120,E120,G120,I120,K120,M120,O120,Q120)</f>
        <v>30.875</v>
      </c>
      <c r="U120" s="246">
        <f>AVERAGE(D120,F120,H120,J120,L120,N120,P120,R120)</f>
        <v>22.375</v>
      </c>
      <c r="V120" s="217">
        <v>1815</v>
      </c>
      <c r="W120" s="218">
        <v>1335</v>
      </c>
      <c r="X120" s="29">
        <v>0.42708333333333331</v>
      </c>
      <c r="Y120" s="29">
        <v>0.82291666666666663</v>
      </c>
      <c r="Z120">
        <v>8</v>
      </c>
      <c r="AB120" s="54">
        <v>1</v>
      </c>
      <c r="AD120">
        <v>4</v>
      </c>
      <c r="AE120" s="58"/>
    </row>
    <row r="121" spans="1:31" ht="15" thickBot="1" x14ac:dyDescent="0.4">
      <c r="B121" s="60">
        <v>7</v>
      </c>
      <c r="C121" s="14">
        <v>37</v>
      </c>
      <c r="D121" s="14">
        <v>33</v>
      </c>
      <c r="E121" s="14">
        <v>34</v>
      </c>
      <c r="F121" s="14">
        <v>20</v>
      </c>
      <c r="G121" s="14">
        <v>23</v>
      </c>
      <c r="H121" s="14">
        <v>22</v>
      </c>
      <c r="I121" s="14">
        <v>27</v>
      </c>
      <c r="J121" s="14">
        <v>21</v>
      </c>
      <c r="K121" s="14">
        <v>30</v>
      </c>
      <c r="L121" s="14">
        <v>28</v>
      </c>
      <c r="M121" s="14">
        <v>32</v>
      </c>
      <c r="N121" s="14">
        <v>26</v>
      </c>
      <c r="O121" s="14">
        <v>38</v>
      </c>
      <c r="P121" s="14">
        <v>24</v>
      </c>
      <c r="Q121" s="40" t="s">
        <v>3</v>
      </c>
      <c r="R121" s="40" t="s">
        <v>3</v>
      </c>
      <c r="S121" s="40"/>
      <c r="T121" s="32">
        <f>AVERAGE(C121,E121,G121,I121,K121,M121,O121,R121)</f>
        <v>31.571428571428573</v>
      </c>
      <c r="U121" s="33">
        <f>AVERAGE(D121,F121,H121,J121,L121,N121,P121)</f>
        <v>24.857142857142858</v>
      </c>
      <c r="V121" s="217">
        <v>1635</v>
      </c>
      <c r="W121" s="218">
        <v>1220</v>
      </c>
      <c r="X121" s="29">
        <v>0.4375</v>
      </c>
      <c r="Y121" s="29">
        <v>0.83333333333333337</v>
      </c>
      <c r="Z121">
        <v>7</v>
      </c>
      <c r="AB121" s="54">
        <v>1</v>
      </c>
      <c r="AD121">
        <v>4</v>
      </c>
      <c r="AE121" s="58"/>
    </row>
    <row r="122" spans="1:31" ht="15" thickBot="1" x14ac:dyDescent="0.4">
      <c r="B122" s="60">
        <v>8</v>
      </c>
      <c r="C122" s="14">
        <v>34</v>
      </c>
      <c r="D122" s="14">
        <v>17</v>
      </c>
      <c r="E122" s="14">
        <v>26</v>
      </c>
      <c r="F122" s="14">
        <v>20</v>
      </c>
      <c r="G122" s="14">
        <v>28</v>
      </c>
      <c r="H122" s="14">
        <v>21</v>
      </c>
      <c r="I122" s="14">
        <v>34</v>
      </c>
      <c r="J122" s="14">
        <v>23</v>
      </c>
      <c r="K122" s="14">
        <v>39</v>
      </c>
      <c r="L122" s="14">
        <v>26</v>
      </c>
      <c r="M122" s="14">
        <v>23</v>
      </c>
      <c r="N122" s="14">
        <v>24</v>
      </c>
      <c r="O122" s="14">
        <v>35</v>
      </c>
      <c r="P122" s="14">
        <v>24</v>
      </c>
      <c r="Q122" s="14">
        <v>32</v>
      </c>
      <c r="R122" s="14">
        <v>23</v>
      </c>
      <c r="S122" s="14"/>
      <c r="T122" s="24">
        <f t="shared" si="28"/>
        <v>31.375</v>
      </c>
      <c r="U122" s="245">
        <f t="shared" si="29"/>
        <v>22.25</v>
      </c>
      <c r="V122" s="217">
        <v>1845</v>
      </c>
      <c r="W122" s="218">
        <v>1380</v>
      </c>
      <c r="X122" s="29">
        <v>0.38541666666666669</v>
      </c>
      <c r="Y122" s="29">
        <v>0.79166666666666663</v>
      </c>
      <c r="Z122">
        <v>8</v>
      </c>
      <c r="AB122" s="54">
        <v>1</v>
      </c>
      <c r="AD122">
        <v>4</v>
      </c>
      <c r="AE122" s="58"/>
    </row>
    <row r="123" spans="1:31" ht="15" thickBot="1" x14ac:dyDescent="0.4">
      <c r="B123" s="60">
        <v>9</v>
      </c>
      <c r="C123" s="14">
        <v>29</v>
      </c>
      <c r="D123" s="14">
        <v>27</v>
      </c>
      <c r="E123" s="14">
        <v>36</v>
      </c>
      <c r="F123" s="14">
        <v>19</v>
      </c>
      <c r="G123" s="14">
        <v>32</v>
      </c>
      <c r="H123" s="14">
        <v>37</v>
      </c>
      <c r="I123" s="31">
        <v>48</v>
      </c>
      <c r="J123" s="14">
        <v>35</v>
      </c>
      <c r="K123" s="14">
        <v>28</v>
      </c>
      <c r="L123" s="14">
        <v>21</v>
      </c>
      <c r="M123" s="14">
        <v>33</v>
      </c>
      <c r="N123" s="14">
        <v>37</v>
      </c>
      <c r="O123" s="14">
        <v>32</v>
      </c>
      <c r="P123" s="14">
        <v>35</v>
      </c>
      <c r="Q123" s="31">
        <v>43</v>
      </c>
      <c r="R123" s="14">
        <v>15</v>
      </c>
      <c r="S123" s="14"/>
      <c r="T123" s="24">
        <f t="shared" si="28"/>
        <v>35.125</v>
      </c>
      <c r="U123" s="245">
        <f t="shared" si="29"/>
        <v>28.25</v>
      </c>
      <c r="V123" s="217">
        <v>1950</v>
      </c>
      <c r="W123" s="218">
        <v>1585</v>
      </c>
      <c r="X123" s="29">
        <v>0.4375</v>
      </c>
      <c r="Y123" s="29">
        <v>0.83333333333333337</v>
      </c>
      <c r="Z123">
        <v>8</v>
      </c>
      <c r="AB123" s="54">
        <v>1</v>
      </c>
      <c r="AD123">
        <v>4</v>
      </c>
      <c r="AE123" s="58"/>
    </row>
    <row r="124" spans="1:31" x14ac:dyDescent="0.35">
      <c r="B124" s="60">
        <v>10</v>
      </c>
      <c r="C124" s="40" t="s">
        <v>3</v>
      </c>
      <c r="D124" s="40" t="s">
        <v>3</v>
      </c>
      <c r="E124" s="40" t="s">
        <v>3</v>
      </c>
      <c r="F124" s="40" t="s">
        <v>3</v>
      </c>
      <c r="G124" s="40" t="s">
        <v>3</v>
      </c>
      <c r="H124" s="40" t="s">
        <v>3</v>
      </c>
      <c r="I124" s="40" t="s">
        <v>3</v>
      </c>
      <c r="J124" s="40" t="s">
        <v>3</v>
      </c>
      <c r="K124" s="40" t="s">
        <v>3</v>
      </c>
      <c r="L124" s="40" t="s">
        <v>3</v>
      </c>
      <c r="M124" s="40" t="s">
        <v>3</v>
      </c>
      <c r="N124" s="40" t="s">
        <v>3</v>
      </c>
      <c r="O124" s="40" t="s">
        <v>3</v>
      </c>
      <c r="P124" s="40" t="s">
        <v>3</v>
      </c>
      <c r="Q124" s="40" t="s">
        <v>3</v>
      </c>
      <c r="R124" s="40" t="s">
        <v>3</v>
      </c>
      <c r="S124" s="40"/>
      <c r="T124" s="24" t="e">
        <f t="shared" si="28"/>
        <v>#DIV/0!</v>
      </c>
      <c r="U124" s="245" t="e">
        <f t="shared" si="29"/>
        <v>#DIV/0!</v>
      </c>
      <c r="V124" s="217"/>
      <c r="W124" s="218"/>
      <c r="X124" s="14"/>
      <c r="Y124" s="14"/>
      <c r="AB124" s="54"/>
      <c r="AE124" s="58"/>
    </row>
    <row r="125" spans="1:31" s="36" customFormat="1" ht="15" thickBot="1" x14ac:dyDescent="0.4">
      <c r="B125" s="125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252"/>
      <c r="W125" s="253"/>
      <c r="X125" s="37"/>
      <c r="Y125" s="37"/>
      <c r="AB125" s="54"/>
      <c r="AC125"/>
      <c r="AD125"/>
      <c r="AE125" s="58"/>
    </row>
    <row r="126" spans="1:31" ht="15" thickBot="1" x14ac:dyDescent="0.4">
      <c r="A126" t="s">
        <v>45</v>
      </c>
      <c r="B126" s="60">
        <v>1</v>
      </c>
      <c r="C126" s="14">
        <v>26</v>
      </c>
      <c r="D126" s="14">
        <v>19</v>
      </c>
      <c r="E126" s="14">
        <v>30</v>
      </c>
      <c r="F126" s="14">
        <v>14</v>
      </c>
      <c r="G126" s="14">
        <v>21</v>
      </c>
      <c r="H126" s="14">
        <v>14</v>
      </c>
      <c r="I126" s="14">
        <v>31</v>
      </c>
      <c r="J126" s="14">
        <v>20</v>
      </c>
      <c r="K126" s="14">
        <v>26</v>
      </c>
      <c r="L126" s="14">
        <v>13</v>
      </c>
      <c r="M126" s="14">
        <v>34</v>
      </c>
      <c r="N126" s="14">
        <v>16</v>
      </c>
      <c r="O126" s="14">
        <v>25</v>
      </c>
      <c r="P126" s="14">
        <v>17</v>
      </c>
      <c r="Q126" s="14">
        <v>27</v>
      </c>
      <c r="R126" s="14">
        <v>18</v>
      </c>
      <c r="S126" s="14"/>
      <c r="T126" s="24">
        <f t="shared" si="28"/>
        <v>27.5</v>
      </c>
      <c r="U126" s="245">
        <f t="shared" si="29"/>
        <v>16.375</v>
      </c>
      <c r="V126" s="217">
        <v>1670</v>
      </c>
      <c r="W126" s="218">
        <v>1105</v>
      </c>
      <c r="X126" s="29">
        <v>0.47916666666666669</v>
      </c>
      <c r="Y126" s="29">
        <v>0.47916666666666669</v>
      </c>
      <c r="Z126">
        <v>8</v>
      </c>
      <c r="AB126" s="54">
        <v>1</v>
      </c>
      <c r="AD126">
        <v>1</v>
      </c>
      <c r="AE126" s="58"/>
    </row>
    <row r="127" spans="1:31" ht="15" thickBot="1" x14ac:dyDescent="0.4">
      <c r="B127" s="60">
        <v>2</v>
      </c>
      <c r="C127" s="14">
        <v>26</v>
      </c>
      <c r="D127" s="14">
        <v>18</v>
      </c>
      <c r="E127" s="14">
        <v>31</v>
      </c>
      <c r="F127" s="14">
        <v>19</v>
      </c>
      <c r="G127" s="14">
        <v>26</v>
      </c>
      <c r="H127" s="14">
        <v>24</v>
      </c>
      <c r="I127" s="14">
        <v>30</v>
      </c>
      <c r="J127" s="14">
        <v>27</v>
      </c>
      <c r="K127" s="14">
        <v>30</v>
      </c>
      <c r="L127" s="14">
        <v>19</v>
      </c>
      <c r="M127" s="14">
        <v>30</v>
      </c>
      <c r="N127" s="14">
        <v>17</v>
      </c>
      <c r="O127" s="14">
        <v>32</v>
      </c>
      <c r="P127" s="14">
        <v>28</v>
      </c>
      <c r="Q127" s="14">
        <v>28</v>
      </c>
      <c r="R127" s="14">
        <v>19</v>
      </c>
      <c r="S127" s="14"/>
      <c r="T127" s="24">
        <f t="shared" si="28"/>
        <v>29.125</v>
      </c>
      <c r="U127" s="245">
        <f t="shared" si="29"/>
        <v>21.375</v>
      </c>
      <c r="V127" s="217">
        <v>1840</v>
      </c>
      <c r="W127" s="218">
        <v>1325</v>
      </c>
      <c r="X127" s="29">
        <v>0.5</v>
      </c>
      <c r="Y127" s="29">
        <v>0.46875</v>
      </c>
      <c r="Z127">
        <v>8</v>
      </c>
      <c r="AA127" s="25"/>
      <c r="AB127" s="54">
        <v>2</v>
      </c>
      <c r="AD127">
        <v>1</v>
      </c>
      <c r="AE127" s="58"/>
    </row>
    <row r="128" spans="1:31" ht="15" thickBot="1" x14ac:dyDescent="0.4">
      <c r="B128" s="60">
        <v>3</v>
      </c>
      <c r="C128" s="14">
        <v>34</v>
      </c>
      <c r="D128" s="14">
        <v>15</v>
      </c>
      <c r="E128" s="14">
        <v>39</v>
      </c>
      <c r="F128" s="14">
        <v>19</v>
      </c>
      <c r="G128" s="31">
        <v>43</v>
      </c>
      <c r="H128" s="14">
        <v>21</v>
      </c>
      <c r="I128" s="14">
        <v>25</v>
      </c>
      <c r="J128" s="14">
        <v>24</v>
      </c>
      <c r="K128" s="14">
        <v>22</v>
      </c>
      <c r="L128" s="14">
        <v>22</v>
      </c>
      <c r="M128" s="14">
        <v>31</v>
      </c>
      <c r="N128" s="14">
        <v>20</v>
      </c>
      <c r="O128" s="14">
        <v>29</v>
      </c>
      <c r="P128" s="14">
        <v>19</v>
      </c>
      <c r="Q128" s="31">
        <v>40</v>
      </c>
      <c r="R128" s="14">
        <v>28</v>
      </c>
      <c r="S128" s="14"/>
      <c r="T128" s="24">
        <f t="shared" si="28"/>
        <v>32.875</v>
      </c>
      <c r="U128" s="245">
        <f t="shared" si="29"/>
        <v>21</v>
      </c>
      <c r="V128" s="217">
        <v>1930</v>
      </c>
      <c r="W128" s="218">
        <v>1205</v>
      </c>
      <c r="X128" s="29">
        <v>0.60416666666666663</v>
      </c>
      <c r="Y128" s="29">
        <v>0.69791666666666663</v>
      </c>
      <c r="Z128">
        <v>8</v>
      </c>
      <c r="AA128" s="25"/>
      <c r="AB128" s="54">
        <v>2</v>
      </c>
      <c r="AD128">
        <v>3</v>
      </c>
      <c r="AE128" s="58"/>
    </row>
    <row r="129" spans="1:31" ht="15" thickBot="1" x14ac:dyDescent="0.4">
      <c r="B129" s="60">
        <v>4</v>
      </c>
      <c r="C129" s="14">
        <v>29</v>
      </c>
      <c r="D129" s="14">
        <v>19</v>
      </c>
      <c r="E129" s="14">
        <v>32</v>
      </c>
      <c r="F129" s="14">
        <v>18</v>
      </c>
      <c r="G129" s="14">
        <v>30</v>
      </c>
      <c r="H129" s="14">
        <v>22</v>
      </c>
      <c r="I129" s="14">
        <v>31</v>
      </c>
      <c r="J129" s="14">
        <v>24</v>
      </c>
      <c r="K129" s="14">
        <v>23</v>
      </c>
      <c r="L129" s="14">
        <v>22</v>
      </c>
      <c r="M129" s="14">
        <v>32</v>
      </c>
      <c r="N129" s="14">
        <v>28</v>
      </c>
      <c r="O129" s="14">
        <v>25</v>
      </c>
      <c r="P129" s="14">
        <v>26</v>
      </c>
      <c r="Q129" s="31">
        <v>41</v>
      </c>
      <c r="R129" s="14">
        <v>33</v>
      </c>
      <c r="S129" s="14"/>
      <c r="T129" s="24">
        <f t="shared" si="28"/>
        <v>30.375</v>
      </c>
      <c r="U129" s="245">
        <f t="shared" si="29"/>
        <v>24</v>
      </c>
      <c r="V129" s="217">
        <v>1740</v>
      </c>
      <c r="W129" s="218">
        <v>1365</v>
      </c>
      <c r="X129" s="29">
        <v>0.79166666666666663</v>
      </c>
      <c r="Y129" s="29">
        <v>0.8125</v>
      </c>
      <c r="Z129">
        <v>8</v>
      </c>
      <c r="AB129" s="54">
        <v>4</v>
      </c>
      <c r="AD129">
        <v>4</v>
      </c>
      <c r="AE129" s="58"/>
    </row>
    <row r="130" spans="1:31" ht="15" thickBot="1" x14ac:dyDescent="0.4">
      <c r="B130" s="60">
        <v>5</v>
      </c>
      <c r="C130" s="14">
        <v>33</v>
      </c>
      <c r="D130" s="14">
        <v>23</v>
      </c>
      <c r="E130" s="14">
        <v>27</v>
      </c>
      <c r="F130" s="14">
        <v>17</v>
      </c>
      <c r="G130" s="14">
        <v>28</v>
      </c>
      <c r="H130" s="14">
        <v>22</v>
      </c>
      <c r="I130" s="14">
        <v>34</v>
      </c>
      <c r="J130" s="14">
        <v>22</v>
      </c>
      <c r="K130" s="14">
        <v>31</v>
      </c>
      <c r="L130" s="14">
        <v>33</v>
      </c>
      <c r="M130" s="14">
        <v>34</v>
      </c>
      <c r="N130" s="14">
        <v>21</v>
      </c>
      <c r="O130" s="14">
        <v>37</v>
      </c>
      <c r="P130" s="14">
        <v>27</v>
      </c>
      <c r="Q130" s="14">
        <v>29</v>
      </c>
      <c r="R130" s="14">
        <v>20</v>
      </c>
      <c r="S130" s="14"/>
      <c r="T130" s="24">
        <f t="shared" si="28"/>
        <v>31.625</v>
      </c>
      <c r="U130" s="245">
        <f t="shared" si="29"/>
        <v>23.125</v>
      </c>
      <c r="V130" s="217">
        <v>1875</v>
      </c>
      <c r="W130" s="218">
        <v>1410</v>
      </c>
      <c r="X130" s="29">
        <v>0.8125</v>
      </c>
      <c r="Y130" s="29">
        <v>0.83333333333333337</v>
      </c>
      <c r="Z130">
        <v>8</v>
      </c>
      <c r="AB130" s="54">
        <v>4</v>
      </c>
      <c r="AD130">
        <v>4</v>
      </c>
      <c r="AE130" s="58"/>
    </row>
    <row r="131" spans="1:31" ht="15" thickBot="1" x14ac:dyDescent="0.4">
      <c r="B131" s="60">
        <v>6</v>
      </c>
      <c r="C131" s="14">
        <v>27</v>
      </c>
      <c r="D131" s="14">
        <v>22</v>
      </c>
      <c r="E131" s="14">
        <v>27</v>
      </c>
      <c r="F131" s="14">
        <v>19</v>
      </c>
      <c r="G131" s="14">
        <v>30</v>
      </c>
      <c r="H131" s="14">
        <v>19</v>
      </c>
      <c r="I131" s="14">
        <v>32</v>
      </c>
      <c r="J131" s="14">
        <v>25</v>
      </c>
      <c r="K131" s="14">
        <v>28</v>
      </c>
      <c r="L131" s="14">
        <v>21</v>
      </c>
      <c r="M131" s="14">
        <v>27</v>
      </c>
      <c r="N131" s="14">
        <v>14</v>
      </c>
      <c r="O131" s="14">
        <v>23</v>
      </c>
      <c r="P131" s="14">
        <v>16</v>
      </c>
      <c r="Q131" s="14">
        <v>31</v>
      </c>
      <c r="R131" s="14">
        <v>22</v>
      </c>
      <c r="S131" s="14"/>
      <c r="T131" s="142">
        <f t="shared" ref="T131:U133" si="30">AVERAGE(C131,E131,G131,I131,K131,M131,O131,Q131)</f>
        <v>28.125</v>
      </c>
      <c r="U131" s="246">
        <f t="shared" si="30"/>
        <v>19.75</v>
      </c>
      <c r="V131" s="217">
        <v>1710</v>
      </c>
      <c r="W131" s="218">
        <v>1215</v>
      </c>
      <c r="X131" s="29">
        <v>0.47916666666666669</v>
      </c>
      <c r="Y131" s="29">
        <v>0.60416666666666663</v>
      </c>
      <c r="Z131">
        <v>8</v>
      </c>
      <c r="AB131" s="54">
        <v>1</v>
      </c>
      <c r="AD131">
        <v>2</v>
      </c>
      <c r="AE131" s="58"/>
    </row>
    <row r="132" spans="1:31" ht="15" thickBot="1" x14ac:dyDescent="0.4">
      <c r="B132" s="60">
        <v>7</v>
      </c>
      <c r="C132" s="14">
        <v>25</v>
      </c>
      <c r="D132" s="14">
        <v>13</v>
      </c>
      <c r="E132" s="14">
        <v>27</v>
      </c>
      <c r="F132" s="14">
        <v>24</v>
      </c>
      <c r="G132" s="14">
        <v>36</v>
      </c>
      <c r="H132" s="14">
        <v>18</v>
      </c>
      <c r="I132" s="14">
        <v>34</v>
      </c>
      <c r="J132" s="14">
        <v>26</v>
      </c>
      <c r="K132" s="14">
        <v>32</v>
      </c>
      <c r="L132" s="14">
        <v>19</v>
      </c>
      <c r="M132" s="14">
        <v>37</v>
      </c>
      <c r="N132" s="14">
        <v>26</v>
      </c>
      <c r="O132" s="14">
        <v>34</v>
      </c>
      <c r="P132" s="14">
        <v>18</v>
      </c>
      <c r="Q132" s="14">
        <v>38</v>
      </c>
      <c r="R132" s="14">
        <v>27</v>
      </c>
      <c r="S132" s="14"/>
      <c r="T132" s="142">
        <f t="shared" si="30"/>
        <v>32.875</v>
      </c>
      <c r="U132" s="246">
        <f t="shared" si="30"/>
        <v>21.375</v>
      </c>
      <c r="V132" s="217">
        <v>1905</v>
      </c>
      <c r="W132" s="218">
        <v>1325</v>
      </c>
      <c r="X132" s="29">
        <v>0.83333333333333337</v>
      </c>
      <c r="Y132" s="29">
        <v>0.8125</v>
      </c>
      <c r="Z132">
        <v>8</v>
      </c>
      <c r="AB132" s="54">
        <v>4</v>
      </c>
      <c r="AD132">
        <v>4</v>
      </c>
      <c r="AE132" s="58"/>
    </row>
    <row r="133" spans="1:31" ht="15" thickBot="1" x14ac:dyDescent="0.4">
      <c r="B133" s="60">
        <v>8</v>
      </c>
      <c r="C133" s="14">
        <v>31</v>
      </c>
      <c r="D133" s="14">
        <v>15</v>
      </c>
      <c r="E133" s="14">
        <v>36</v>
      </c>
      <c r="F133" s="14">
        <v>18</v>
      </c>
      <c r="G133" s="14">
        <v>38</v>
      </c>
      <c r="H133" s="14">
        <v>17</v>
      </c>
      <c r="I133" s="14">
        <v>33</v>
      </c>
      <c r="J133" s="14">
        <v>28</v>
      </c>
      <c r="K133" s="14">
        <v>32</v>
      </c>
      <c r="L133" s="14">
        <v>26</v>
      </c>
      <c r="M133" s="14">
        <v>35</v>
      </c>
      <c r="N133" s="14">
        <v>22</v>
      </c>
      <c r="O133" s="14">
        <v>29</v>
      </c>
      <c r="P133" s="14">
        <v>25</v>
      </c>
      <c r="Q133" s="31">
        <v>40</v>
      </c>
      <c r="R133" s="14">
        <v>22</v>
      </c>
      <c r="S133" s="14"/>
      <c r="T133" s="142">
        <f t="shared" si="30"/>
        <v>34.25</v>
      </c>
      <c r="U133" s="246">
        <f t="shared" si="30"/>
        <v>21.625</v>
      </c>
      <c r="V133" s="217">
        <v>2095</v>
      </c>
      <c r="W133" s="218">
        <v>1235</v>
      </c>
      <c r="X133" s="29">
        <v>0.63541666666666663</v>
      </c>
      <c r="Y133" s="29">
        <v>0.65625</v>
      </c>
      <c r="Z133">
        <v>8</v>
      </c>
      <c r="AB133" s="54">
        <v>3</v>
      </c>
      <c r="AD133">
        <v>3</v>
      </c>
      <c r="AE133" s="58"/>
    </row>
    <row r="134" spans="1:31" ht="15" thickBot="1" x14ac:dyDescent="0.4">
      <c r="B134" s="60">
        <v>9</v>
      </c>
      <c r="C134" s="14">
        <v>26</v>
      </c>
      <c r="D134" s="14">
        <v>17</v>
      </c>
      <c r="E134" s="14">
        <v>34</v>
      </c>
      <c r="F134" s="14">
        <v>25</v>
      </c>
      <c r="G134" s="14">
        <v>24</v>
      </c>
      <c r="H134" s="14">
        <v>22</v>
      </c>
      <c r="I134" s="14">
        <v>35</v>
      </c>
      <c r="J134" s="14">
        <v>24</v>
      </c>
      <c r="K134" s="14">
        <v>37</v>
      </c>
      <c r="L134" s="14">
        <v>20</v>
      </c>
      <c r="M134" s="14">
        <v>35</v>
      </c>
      <c r="N134" s="14">
        <v>21</v>
      </c>
      <c r="O134" s="14">
        <v>31</v>
      </c>
      <c r="P134" s="14">
        <v>21</v>
      </c>
      <c r="Q134" s="14">
        <v>32</v>
      </c>
      <c r="R134" s="14">
        <v>32</v>
      </c>
      <c r="S134" s="14"/>
      <c r="T134" s="24">
        <f t="shared" si="28"/>
        <v>31.75</v>
      </c>
      <c r="U134" s="245">
        <f t="shared" si="29"/>
        <v>22.75</v>
      </c>
      <c r="V134" s="217">
        <v>1860</v>
      </c>
      <c r="W134" s="218">
        <v>1290</v>
      </c>
      <c r="X134" s="29">
        <v>0.67708333333333337</v>
      </c>
      <c r="Y134" s="29">
        <v>0.65625</v>
      </c>
      <c r="Z134">
        <v>8</v>
      </c>
      <c r="AB134" s="54">
        <v>3</v>
      </c>
      <c r="AD134">
        <v>3</v>
      </c>
      <c r="AE134" s="58"/>
    </row>
    <row r="135" spans="1:31" x14ac:dyDescent="0.35">
      <c r="B135" s="60">
        <v>10</v>
      </c>
      <c r="C135" s="14">
        <v>32</v>
      </c>
      <c r="D135" s="14">
        <v>16</v>
      </c>
      <c r="E135" s="31">
        <v>48</v>
      </c>
      <c r="F135" s="14">
        <v>23</v>
      </c>
      <c r="G135" s="14">
        <v>31</v>
      </c>
      <c r="H135" s="14">
        <v>22</v>
      </c>
      <c r="I135" s="31">
        <v>41</v>
      </c>
      <c r="J135" s="14">
        <v>25</v>
      </c>
      <c r="K135" s="14">
        <v>33</v>
      </c>
      <c r="L135" s="14">
        <v>21</v>
      </c>
      <c r="M135" s="14">
        <v>31</v>
      </c>
      <c r="N135" s="14">
        <v>22</v>
      </c>
      <c r="O135" s="14">
        <v>23</v>
      </c>
      <c r="P135" s="14">
        <v>23</v>
      </c>
      <c r="Q135" s="14">
        <v>30</v>
      </c>
      <c r="R135" s="14">
        <v>23</v>
      </c>
      <c r="S135" s="14"/>
      <c r="T135" s="24">
        <f t="shared" si="28"/>
        <v>33.625</v>
      </c>
      <c r="U135" s="245">
        <f t="shared" si="29"/>
        <v>21.875</v>
      </c>
      <c r="V135" s="217">
        <v>1980</v>
      </c>
      <c r="W135" s="218">
        <v>1275</v>
      </c>
      <c r="X135" s="29">
        <v>0.67708333333333337</v>
      </c>
      <c r="Y135" s="29">
        <v>0.70833333333333337</v>
      </c>
      <c r="Z135">
        <v>8</v>
      </c>
      <c r="AB135" s="54">
        <v>3</v>
      </c>
      <c r="AD135">
        <v>3</v>
      </c>
      <c r="AE135" s="58"/>
    </row>
    <row r="136" spans="1:31" s="34" customFormat="1" ht="15" thickBot="1" x14ac:dyDescent="0.4">
      <c r="B136" s="12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254"/>
      <c r="W136" s="255"/>
      <c r="X136" s="35"/>
      <c r="Y136" s="35"/>
      <c r="AB136" s="54"/>
      <c r="AC136"/>
      <c r="AD136"/>
      <c r="AE136" s="58"/>
    </row>
    <row r="137" spans="1:31" ht="15" thickBot="1" x14ac:dyDescent="0.4">
      <c r="A137" t="s">
        <v>46</v>
      </c>
      <c r="B137" s="60">
        <v>1</v>
      </c>
      <c r="C137" s="14">
        <v>32</v>
      </c>
      <c r="D137" s="14">
        <v>19</v>
      </c>
      <c r="E137" s="14">
        <v>34</v>
      </c>
      <c r="F137" s="14">
        <v>21</v>
      </c>
      <c r="G137" s="14">
        <v>25</v>
      </c>
      <c r="H137" s="14">
        <v>22</v>
      </c>
      <c r="I137" s="14">
        <v>23</v>
      </c>
      <c r="J137" s="14">
        <v>24</v>
      </c>
      <c r="K137" s="14">
        <v>29</v>
      </c>
      <c r="L137" s="14">
        <v>21</v>
      </c>
      <c r="M137" s="14">
        <v>22</v>
      </c>
      <c r="N137" s="14">
        <v>10</v>
      </c>
      <c r="O137" s="14">
        <v>26</v>
      </c>
      <c r="P137" s="14">
        <v>18</v>
      </c>
      <c r="Q137" s="14">
        <v>28</v>
      </c>
      <c r="R137" s="14">
        <v>16</v>
      </c>
      <c r="S137" s="14"/>
      <c r="T137" s="24">
        <f t="shared" si="28"/>
        <v>27.375</v>
      </c>
      <c r="U137" s="245">
        <f t="shared" si="29"/>
        <v>18.875</v>
      </c>
      <c r="V137" s="217">
        <v>1710</v>
      </c>
      <c r="W137" s="218">
        <v>1195</v>
      </c>
      <c r="X137" s="29">
        <v>0.85416666666666663</v>
      </c>
      <c r="Y137" s="29">
        <v>0.83333333333333337</v>
      </c>
      <c r="Z137">
        <v>8</v>
      </c>
      <c r="AB137" s="54">
        <v>4</v>
      </c>
      <c r="AD137">
        <v>4</v>
      </c>
      <c r="AE137" s="58"/>
    </row>
    <row r="138" spans="1:31" ht="15" thickBot="1" x14ac:dyDescent="0.4">
      <c r="B138" s="60">
        <v>2</v>
      </c>
      <c r="C138" s="14">
        <v>27</v>
      </c>
      <c r="D138" s="14">
        <v>28</v>
      </c>
      <c r="E138" s="14">
        <v>26</v>
      </c>
      <c r="F138" s="14">
        <v>19</v>
      </c>
      <c r="G138" s="14">
        <v>27</v>
      </c>
      <c r="H138" s="14">
        <v>22</v>
      </c>
      <c r="I138" s="14">
        <v>25</v>
      </c>
      <c r="J138" s="14">
        <v>22</v>
      </c>
      <c r="K138" s="31">
        <v>45</v>
      </c>
      <c r="L138" s="14">
        <v>31</v>
      </c>
      <c r="M138" s="14">
        <v>25</v>
      </c>
      <c r="N138" s="14">
        <v>16</v>
      </c>
      <c r="O138" s="14">
        <v>28</v>
      </c>
      <c r="P138" s="14">
        <v>29</v>
      </c>
      <c r="Q138" s="14">
        <v>28</v>
      </c>
      <c r="R138" s="14">
        <v>16</v>
      </c>
      <c r="S138" s="14"/>
      <c r="T138" s="24">
        <f t="shared" si="28"/>
        <v>28.875</v>
      </c>
      <c r="U138" s="245">
        <f t="shared" si="29"/>
        <v>22.875</v>
      </c>
      <c r="V138" s="217">
        <v>1635</v>
      </c>
      <c r="W138" s="218">
        <v>1340</v>
      </c>
      <c r="X138" s="29">
        <v>0.41666666666666669</v>
      </c>
      <c r="Y138" s="29">
        <v>0.47916666666666669</v>
      </c>
      <c r="Z138">
        <v>8</v>
      </c>
      <c r="AB138" s="54">
        <v>1</v>
      </c>
      <c r="AD138">
        <v>1</v>
      </c>
      <c r="AE138" s="58"/>
    </row>
    <row r="139" spans="1:31" ht="15" thickBot="1" x14ac:dyDescent="0.4">
      <c r="B139" s="60">
        <v>3</v>
      </c>
      <c r="C139" s="14">
        <v>36</v>
      </c>
      <c r="D139" s="14">
        <v>31</v>
      </c>
      <c r="E139" s="14">
        <v>32</v>
      </c>
      <c r="F139" s="14">
        <v>34</v>
      </c>
      <c r="G139" s="14">
        <v>30</v>
      </c>
      <c r="H139" s="14">
        <v>23</v>
      </c>
      <c r="I139" s="14">
        <v>31</v>
      </c>
      <c r="J139" s="14">
        <v>23</v>
      </c>
      <c r="K139" s="14">
        <v>29</v>
      </c>
      <c r="L139" s="14">
        <v>24</v>
      </c>
      <c r="M139" s="14">
        <v>31</v>
      </c>
      <c r="N139" s="14">
        <v>22</v>
      </c>
      <c r="O139" s="14">
        <v>35</v>
      </c>
      <c r="P139" s="14">
        <v>25</v>
      </c>
      <c r="Q139" s="14">
        <v>36</v>
      </c>
      <c r="R139" s="14">
        <v>25</v>
      </c>
      <c r="S139" s="14"/>
      <c r="T139" s="24">
        <f t="shared" si="28"/>
        <v>32.5</v>
      </c>
      <c r="U139" s="245">
        <f t="shared" si="29"/>
        <v>25.875</v>
      </c>
      <c r="V139" s="256">
        <v>1950</v>
      </c>
      <c r="W139" s="218">
        <v>1580</v>
      </c>
      <c r="X139" s="29">
        <v>0.72916666666666663</v>
      </c>
      <c r="Y139" s="29">
        <v>0.89583333333333337</v>
      </c>
      <c r="Z139">
        <v>8</v>
      </c>
      <c r="AB139" s="54">
        <v>3</v>
      </c>
      <c r="AD139">
        <v>4</v>
      </c>
      <c r="AE139" s="58"/>
    </row>
    <row r="140" spans="1:31" ht="15" thickBot="1" x14ac:dyDescent="0.4">
      <c r="B140" s="60">
        <v>4</v>
      </c>
      <c r="C140" s="14">
        <v>26</v>
      </c>
      <c r="D140" s="14">
        <v>19</v>
      </c>
      <c r="E140" s="14">
        <v>32</v>
      </c>
      <c r="F140" s="14">
        <v>26</v>
      </c>
      <c r="G140" s="31">
        <v>46</v>
      </c>
      <c r="H140" s="14">
        <v>19</v>
      </c>
      <c r="I140" s="31">
        <v>42</v>
      </c>
      <c r="J140" s="14">
        <v>39</v>
      </c>
      <c r="K140" s="14">
        <v>20</v>
      </c>
      <c r="L140" s="14">
        <v>18</v>
      </c>
      <c r="M140" s="14">
        <v>39</v>
      </c>
      <c r="N140" s="14">
        <v>25</v>
      </c>
      <c r="O140" s="14">
        <v>31</v>
      </c>
      <c r="P140" s="14">
        <v>24</v>
      </c>
      <c r="Q140" s="14">
        <v>37</v>
      </c>
      <c r="R140" s="14">
        <v>22</v>
      </c>
      <c r="S140" s="14"/>
      <c r="T140" s="24">
        <f t="shared" si="28"/>
        <v>34.125</v>
      </c>
      <c r="U140" s="245">
        <f t="shared" si="29"/>
        <v>24</v>
      </c>
      <c r="V140" s="217">
        <v>1935</v>
      </c>
      <c r="W140" s="218">
        <v>1440</v>
      </c>
      <c r="X140" s="29">
        <v>0.83333333333333337</v>
      </c>
      <c r="Y140" s="29">
        <v>0.84027777777777779</v>
      </c>
      <c r="Z140">
        <v>8</v>
      </c>
      <c r="AB140" s="54">
        <v>4</v>
      </c>
      <c r="AD140">
        <v>4</v>
      </c>
      <c r="AE140" s="58"/>
    </row>
    <row r="141" spans="1:31" ht="15" thickBot="1" x14ac:dyDescent="0.4">
      <c r="B141" s="60">
        <v>5</v>
      </c>
      <c r="C141" s="14">
        <v>23</v>
      </c>
      <c r="D141" s="14">
        <v>16</v>
      </c>
      <c r="E141" s="14">
        <v>30</v>
      </c>
      <c r="F141" s="14">
        <v>26</v>
      </c>
      <c r="G141" s="14">
        <v>38</v>
      </c>
      <c r="H141" s="14">
        <v>31</v>
      </c>
      <c r="I141" s="14">
        <v>27</v>
      </c>
      <c r="J141" s="14">
        <v>25</v>
      </c>
      <c r="K141" s="14">
        <v>34</v>
      </c>
      <c r="L141" s="14">
        <v>27</v>
      </c>
      <c r="M141" s="14">
        <v>33</v>
      </c>
      <c r="N141" s="14">
        <v>32</v>
      </c>
      <c r="O141" s="31">
        <v>44</v>
      </c>
      <c r="P141" s="14">
        <v>23</v>
      </c>
      <c r="Q141" s="14">
        <v>25</v>
      </c>
      <c r="R141" s="14">
        <v>29</v>
      </c>
      <c r="S141" s="14"/>
      <c r="T141" s="24">
        <f t="shared" si="28"/>
        <v>31.75</v>
      </c>
      <c r="U141" s="245">
        <f t="shared" si="29"/>
        <v>26.125</v>
      </c>
      <c r="V141" s="217">
        <v>1830</v>
      </c>
      <c r="W141" s="218">
        <v>1500</v>
      </c>
      <c r="X141" s="29">
        <v>0.8125</v>
      </c>
      <c r="Y141" s="29">
        <v>0.83333333333333337</v>
      </c>
      <c r="Z141">
        <v>8</v>
      </c>
      <c r="AB141" s="54">
        <v>4</v>
      </c>
      <c r="AD141">
        <v>4</v>
      </c>
      <c r="AE141" s="58"/>
    </row>
    <row r="142" spans="1:31" ht="15" thickBot="1" x14ac:dyDescent="0.4">
      <c r="B142" s="60">
        <v>6</v>
      </c>
      <c r="C142" s="14">
        <v>34</v>
      </c>
      <c r="D142" s="14">
        <v>19</v>
      </c>
      <c r="E142" s="14">
        <v>29</v>
      </c>
      <c r="F142" s="14">
        <v>29</v>
      </c>
      <c r="G142" s="14">
        <v>36</v>
      </c>
      <c r="H142" s="14">
        <v>28</v>
      </c>
      <c r="I142" s="14">
        <v>29</v>
      </c>
      <c r="J142" s="14">
        <v>19</v>
      </c>
      <c r="K142" s="14">
        <v>31</v>
      </c>
      <c r="L142" s="14">
        <v>35</v>
      </c>
      <c r="M142" s="14">
        <v>30</v>
      </c>
      <c r="N142" s="14">
        <v>22</v>
      </c>
      <c r="O142" s="14">
        <v>35</v>
      </c>
      <c r="P142" s="14">
        <v>34</v>
      </c>
      <c r="Q142" s="31">
        <v>43</v>
      </c>
      <c r="R142" s="14">
        <v>30</v>
      </c>
      <c r="S142" s="14"/>
      <c r="T142" s="24">
        <f t="shared" si="28"/>
        <v>33.375</v>
      </c>
      <c r="U142" s="245">
        <f t="shared" si="29"/>
        <v>27</v>
      </c>
      <c r="V142" s="217">
        <v>2130</v>
      </c>
      <c r="W142" s="218">
        <v>1485</v>
      </c>
      <c r="X142" s="29">
        <v>0.66666666666666663</v>
      </c>
      <c r="Y142" s="29">
        <v>0.6875</v>
      </c>
      <c r="Z142">
        <v>8</v>
      </c>
      <c r="AB142" s="54">
        <v>3</v>
      </c>
      <c r="AD142">
        <v>3</v>
      </c>
      <c r="AE142" s="58"/>
    </row>
    <row r="143" spans="1:31" ht="15" thickBot="1" x14ac:dyDescent="0.4">
      <c r="B143" s="60">
        <v>7</v>
      </c>
      <c r="C143" s="14">
        <v>30</v>
      </c>
      <c r="D143" s="14">
        <v>17</v>
      </c>
      <c r="E143" s="14">
        <v>28</v>
      </c>
      <c r="F143" s="14">
        <v>27</v>
      </c>
      <c r="G143" s="14">
        <v>26</v>
      </c>
      <c r="H143" s="14">
        <v>18</v>
      </c>
      <c r="I143" s="14">
        <v>31</v>
      </c>
      <c r="J143" s="14">
        <v>28</v>
      </c>
      <c r="K143" s="14">
        <v>34</v>
      </c>
      <c r="L143" s="14">
        <v>28</v>
      </c>
      <c r="M143" s="14">
        <v>33</v>
      </c>
      <c r="N143" s="14">
        <v>27</v>
      </c>
      <c r="O143" s="14">
        <v>35</v>
      </c>
      <c r="P143" s="14">
        <v>22</v>
      </c>
      <c r="Q143" s="14">
        <v>37</v>
      </c>
      <c r="R143" s="14">
        <v>21</v>
      </c>
      <c r="S143" s="14"/>
      <c r="T143" s="24">
        <f t="shared" si="28"/>
        <v>31.75</v>
      </c>
      <c r="U143" s="245">
        <f>AVERAGE(D143,F143,H143,J143,L143,N143,P143,R143)</f>
        <v>23.5</v>
      </c>
      <c r="V143" s="217">
        <v>1890</v>
      </c>
      <c r="W143" s="218">
        <v>1440</v>
      </c>
      <c r="X143" s="29">
        <v>0.80208333333333337</v>
      </c>
      <c r="Y143" s="29">
        <v>0.84375</v>
      </c>
      <c r="Z143">
        <v>8</v>
      </c>
      <c r="AB143" s="54">
        <v>4</v>
      </c>
      <c r="AD143">
        <v>4</v>
      </c>
      <c r="AE143" s="58"/>
    </row>
    <row r="144" spans="1:31" ht="15" thickBot="1" x14ac:dyDescent="0.4">
      <c r="B144" s="60">
        <v>8</v>
      </c>
      <c r="C144" s="31">
        <v>44</v>
      </c>
      <c r="D144" s="14">
        <v>37</v>
      </c>
      <c r="E144" s="14">
        <v>31</v>
      </c>
      <c r="F144" s="14">
        <v>18</v>
      </c>
      <c r="G144" s="31">
        <v>45</v>
      </c>
      <c r="H144" s="14">
        <v>22</v>
      </c>
      <c r="I144" s="14">
        <v>32</v>
      </c>
      <c r="J144" s="14">
        <v>31</v>
      </c>
      <c r="K144" s="14">
        <v>28</v>
      </c>
      <c r="L144" s="14">
        <v>23</v>
      </c>
      <c r="M144" s="31">
        <v>40</v>
      </c>
      <c r="N144" s="14">
        <v>32</v>
      </c>
      <c r="O144" s="14">
        <v>31</v>
      </c>
      <c r="P144" s="14">
        <v>21</v>
      </c>
      <c r="Q144" s="14">
        <v>30</v>
      </c>
      <c r="R144" s="14">
        <v>22</v>
      </c>
      <c r="S144" s="14"/>
      <c r="T144" s="24">
        <f t="shared" si="28"/>
        <v>35.125</v>
      </c>
      <c r="U144" s="245">
        <f>AVERAGE(D144,F144,H144,J144,L144,N144,P144,R144)</f>
        <v>25.75</v>
      </c>
      <c r="V144" s="217">
        <v>2085</v>
      </c>
      <c r="W144" s="218">
        <v>1460</v>
      </c>
      <c r="X144" s="29">
        <v>0.82291666666666663</v>
      </c>
      <c r="Y144" s="29">
        <v>0.875</v>
      </c>
      <c r="Z144">
        <v>8</v>
      </c>
      <c r="AB144" s="54">
        <v>4</v>
      </c>
      <c r="AD144">
        <v>4</v>
      </c>
      <c r="AE144" s="58"/>
    </row>
    <row r="145" spans="1:31" ht="15" thickBot="1" x14ac:dyDescent="0.4">
      <c r="B145" s="60">
        <v>9</v>
      </c>
      <c r="C145" s="14">
        <v>21</v>
      </c>
      <c r="D145" s="14">
        <v>25</v>
      </c>
      <c r="E145" s="14">
        <v>31</v>
      </c>
      <c r="F145" s="14">
        <v>20</v>
      </c>
      <c r="G145" s="14">
        <v>32</v>
      </c>
      <c r="H145" s="14">
        <v>20</v>
      </c>
      <c r="I145" s="14">
        <v>36</v>
      </c>
      <c r="J145" s="14">
        <v>25</v>
      </c>
      <c r="K145" s="14">
        <v>22</v>
      </c>
      <c r="L145" s="14">
        <v>22</v>
      </c>
      <c r="M145" s="14">
        <v>35</v>
      </c>
      <c r="N145" s="14">
        <v>32</v>
      </c>
      <c r="O145" s="14">
        <v>39</v>
      </c>
      <c r="P145" s="14">
        <v>26</v>
      </c>
      <c r="Q145" s="14">
        <v>25</v>
      </c>
      <c r="R145" s="14">
        <v>22</v>
      </c>
      <c r="S145" s="14"/>
      <c r="T145" s="24">
        <f t="shared" si="28"/>
        <v>30.125</v>
      </c>
      <c r="U145" s="245">
        <f t="shared" si="29"/>
        <v>24</v>
      </c>
      <c r="V145" s="217">
        <v>1740</v>
      </c>
      <c r="W145" s="218">
        <v>1335</v>
      </c>
      <c r="X145" s="29">
        <v>0.44791666666666669</v>
      </c>
      <c r="Y145" s="29">
        <v>0.58333333333333337</v>
      </c>
      <c r="Z145">
        <v>8</v>
      </c>
      <c r="AB145" s="54">
        <v>1</v>
      </c>
      <c r="AD145">
        <v>2</v>
      </c>
      <c r="AE145" s="58"/>
    </row>
    <row r="146" spans="1:31" x14ac:dyDescent="0.35">
      <c r="B146" s="60">
        <v>10</v>
      </c>
      <c r="C146" s="14">
        <v>25</v>
      </c>
      <c r="D146" s="14">
        <v>22</v>
      </c>
      <c r="E146" s="14">
        <v>34</v>
      </c>
      <c r="F146" s="14">
        <v>33</v>
      </c>
      <c r="G146" s="14">
        <v>33</v>
      </c>
      <c r="H146" s="14">
        <v>25</v>
      </c>
      <c r="I146" s="14">
        <v>34</v>
      </c>
      <c r="J146" s="14">
        <v>13</v>
      </c>
      <c r="K146" s="14">
        <v>28</v>
      </c>
      <c r="L146" s="14">
        <v>30</v>
      </c>
      <c r="M146" s="14">
        <v>32</v>
      </c>
      <c r="N146" s="14">
        <v>30</v>
      </c>
      <c r="O146" s="14">
        <v>22</v>
      </c>
      <c r="P146" s="14">
        <v>15</v>
      </c>
      <c r="Q146" s="14">
        <v>25</v>
      </c>
      <c r="R146" s="14">
        <v>23</v>
      </c>
      <c r="S146" s="14"/>
      <c r="T146" s="24">
        <f t="shared" si="28"/>
        <v>29.125</v>
      </c>
      <c r="U146" s="245">
        <f t="shared" si="29"/>
        <v>23.875</v>
      </c>
      <c r="V146" s="217">
        <v>1695</v>
      </c>
      <c r="W146" s="218">
        <v>1375</v>
      </c>
      <c r="X146" s="29">
        <v>0.63541666666666663</v>
      </c>
      <c r="Y146" s="29">
        <v>0.65625</v>
      </c>
      <c r="Z146">
        <v>8</v>
      </c>
      <c r="AB146" s="54">
        <v>3</v>
      </c>
      <c r="AD146">
        <v>3</v>
      </c>
      <c r="AE146" s="58"/>
    </row>
    <row r="147" spans="1:31" s="36" customFormat="1" ht="15" thickBot="1" x14ac:dyDescent="0.4">
      <c r="B147" s="125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252"/>
      <c r="W147" s="253"/>
      <c r="X147" s="37"/>
      <c r="Y147" s="37"/>
      <c r="AB147" s="54"/>
      <c r="AC147"/>
      <c r="AD147"/>
      <c r="AE147" s="58"/>
    </row>
    <row r="148" spans="1:31" ht="15" thickBot="1" x14ac:dyDescent="0.4">
      <c r="A148" t="s">
        <v>48</v>
      </c>
      <c r="B148" s="60">
        <v>1</v>
      </c>
      <c r="C148" s="14">
        <v>34</v>
      </c>
      <c r="D148" s="14">
        <v>28</v>
      </c>
      <c r="E148" s="14">
        <v>34</v>
      </c>
      <c r="F148" s="14">
        <v>24</v>
      </c>
      <c r="G148" s="14">
        <v>25</v>
      </c>
      <c r="H148" s="14">
        <v>15</v>
      </c>
      <c r="I148" s="14">
        <v>24</v>
      </c>
      <c r="J148" s="14">
        <v>16</v>
      </c>
      <c r="K148" s="14">
        <v>24</v>
      </c>
      <c r="L148" s="14">
        <v>28</v>
      </c>
      <c r="M148" s="14">
        <v>24</v>
      </c>
      <c r="N148" s="14">
        <v>18</v>
      </c>
      <c r="O148" s="14">
        <v>28</v>
      </c>
      <c r="P148" s="14">
        <v>25</v>
      </c>
      <c r="Q148" s="14">
        <v>33</v>
      </c>
      <c r="R148" s="14">
        <v>25</v>
      </c>
      <c r="S148" s="14"/>
      <c r="T148" s="24">
        <f>AVERAGE(C148,E148,G148,I148,K148,M148,O148,Q148)</f>
        <v>28.25</v>
      </c>
      <c r="U148" s="245">
        <f>AVERAGE(D148,F148,H148,J148,L148,N148,P148,R148)</f>
        <v>22.375</v>
      </c>
      <c r="V148" s="217">
        <v>1780</v>
      </c>
      <c r="W148" s="218">
        <v>1370</v>
      </c>
      <c r="X148" s="29">
        <v>0.4375</v>
      </c>
      <c r="Y148" s="29">
        <v>0.61458333333333337</v>
      </c>
      <c r="Z148">
        <v>8</v>
      </c>
      <c r="AB148" s="54">
        <v>1</v>
      </c>
      <c r="AD148">
        <v>2</v>
      </c>
      <c r="AE148" s="58"/>
    </row>
    <row r="149" spans="1:31" ht="15" thickBot="1" x14ac:dyDescent="0.4">
      <c r="B149" s="60">
        <v>2</v>
      </c>
      <c r="C149" s="14">
        <v>28</v>
      </c>
      <c r="D149" s="14">
        <v>27</v>
      </c>
      <c r="E149" s="14">
        <v>27</v>
      </c>
      <c r="F149" s="14">
        <v>24</v>
      </c>
      <c r="G149" s="14">
        <v>29</v>
      </c>
      <c r="H149" s="14">
        <v>27</v>
      </c>
      <c r="I149" s="14">
        <v>25</v>
      </c>
      <c r="J149" s="14">
        <v>25</v>
      </c>
      <c r="K149" s="14">
        <v>27</v>
      </c>
      <c r="L149" s="14">
        <v>21</v>
      </c>
      <c r="M149" s="14">
        <v>32</v>
      </c>
      <c r="N149" s="14">
        <v>32</v>
      </c>
      <c r="O149" s="14">
        <v>21</v>
      </c>
      <c r="P149" s="14">
        <v>29</v>
      </c>
      <c r="Q149" s="14">
        <v>31</v>
      </c>
      <c r="R149" s="14">
        <v>20</v>
      </c>
      <c r="S149" s="14"/>
      <c r="T149" s="24">
        <f t="shared" si="28"/>
        <v>27.5</v>
      </c>
      <c r="U149" s="245">
        <f t="shared" si="29"/>
        <v>25.625</v>
      </c>
      <c r="V149" s="217">
        <v>1605</v>
      </c>
      <c r="W149" s="218">
        <v>1560</v>
      </c>
      <c r="X149" s="29">
        <v>0.8125</v>
      </c>
      <c r="Y149" s="29">
        <v>0.83333333333333337</v>
      </c>
      <c r="Z149">
        <v>8</v>
      </c>
      <c r="AB149" s="54">
        <v>4</v>
      </c>
      <c r="AD149">
        <v>4</v>
      </c>
      <c r="AE149" s="58"/>
    </row>
    <row r="150" spans="1:31" ht="15" thickBot="1" x14ac:dyDescent="0.4">
      <c r="B150" s="60">
        <v>3</v>
      </c>
      <c r="C150" s="14">
        <v>36</v>
      </c>
      <c r="D150" s="14">
        <v>37</v>
      </c>
      <c r="E150" s="14">
        <v>36</v>
      </c>
      <c r="F150" s="14">
        <v>27</v>
      </c>
      <c r="G150" s="14">
        <v>29</v>
      </c>
      <c r="H150" s="14">
        <v>23</v>
      </c>
      <c r="I150" s="14">
        <v>29</v>
      </c>
      <c r="J150" s="14">
        <v>25</v>
      </c>
      <c r="K150" s="14">
        <v>23</v>
      </c>
      <c r="L150" s="14">
        <v>21</v>
      </c>
      <c r="M150" s="14">
        <v>25</v>
      </c>
      <c r="N150" s="31">
        <v>44</v>
      </c>
      <c r="O150" s="14">
        <v>30</v>
      </c>
      <c r="P150" s="14">
        <v>20</v>
      </c>
      <c r="Q150" s="14">
        <v>32</v>
      </c>
      <c r="R150" s="14">
        <v>21</v>
      </c>
      <c r="S150" s="14"/>
      <c r="T150" s="24">
        <f t="shared" si="28"/>
        <v>30</v>
      </c>
      <c r="U150" s="245">
        <f t="shared" si="29"/>
        <v>27.25</v>
      </c>
      <c r="V150" s="217">
        <v>1870</v>
      </c>
      <c r="W150" s="218">
        <v>1545</v>
      </c>
      <c r="X150" s="29">
        <v>0.72916666666666663</v>
      </c>
      <c r="Y150" s="29">
        <v>0.85416666666666663</v>
      </c>
      <c r="Z150">
        <v>8</v>
      </c>
      <c r="AB150" s="54">
        <v>3</v>
      </c>
      <c r="AD150">
        <v>4</v>
      </c>
      <c r="AE150" s="58"/>
    </row>
    <row r="151" spans="1:31" ht="15" thickBot="1" x14ac:dyDescent="0.4">
      <c r="B151" s="60">
        <v>4</v>
      </c>
      <c r="C151" s="14">
        <v>31</v>
      </c>
      <c r="D151" s="14">
        <v>25</v>
      </c>
      <c r="E151" s="14">
        <v>36</v>
      </c>
      <c r="F151" s="14">
        <v>26</v>
      </c>
      <c r="G151" s="14">
        <v>26</v>
      </c>
      <c r="H151" s="14">
        <v>22</v>
      </c>
      <c r="I151" s="14">
        <v>38</v>
      </c>
      <c r="J151" s="14">
        <v>32</v>
      </c>
      <c r="K151" s="14">
        <v>29</v>
      </c>
      <c r="L151" s="14">
        <v>28</v>
      </c>
      <c r="M151" s="14">
        <v>32</v>
      </c>
      <c r="N151" s="14">
        <v>34</v>
      </c>
      <c r="O151" s="14">
        <v>38</v>
      </c>
      <c r="P151" s="31">
        <v>44</v>
      </c>
      <c r="Q151" s="14">
        <v>29</v>
      </c>
      <c r="R151" s="14">
        <v>31</v>
      </c>
      <c r="S151" s="14"/>
      <c r="T151" s="24">
        <f t="shared" si="28"/>
        <v>32.375</v>
      </c>
      <c r="U151" s="245">
        <f t="shared" si="29"/>
        <v>30.25</v>
      </c>
      <c r="V151" s="217">
        <v>2020</v>
      </c>
      <c r="W151" s="218">
        <v>1805</v>
      </c>
      <c r="X151" s="29">
        <v>0.5</v>
      </c>
      <c r="Y151" s="29">
        <v>0.58333333333333337</v>
      </c>
      <c r="Z151">
        <v>8</v>
      </c>
      <c r="AB151" s="54">
        <v>2</v>
      </c>
      <c r="AD151">
        <v>2</v>
      </c>
      <c r="AE151" s="58"/>
    </row>
    <row r="152" spans="1:31" ht="15" thickBot="1" x14ac:dyDescent="0.4">
      <c r="B152" s="60">
        <v>5</v>
      </c>
      <c r="C152" s="14">
        <v>34</v>
      </c>
      <c r="D152" s="14">
        <v>23</v>
      </c>
      <c r="E152" s="31">
        <v>46</v>
      </c>
      <c r="F152" s="14">
        <v>37</v>
      </c>
      <c r="G152" s="14">
        <v>28</v>
      </c>
      <c r="H152" s="14">
        <v>30</v>
      </c>
      <c r="I152" s="14">
        <v>38</v>
      </c>
      <c r="J152" s="14">
        <v>28</v>
      </c>
      <c r="K152" s="14">
        <v>36</v>
      </c>
      <c r="L152" s="14">
        <v>26</v>
      </c>
      <c r="M152" s="31">
        <v>42</v>
      </c>
      <c r="N152" s="14">
        <v>34</v>
      </c>
      <c r="O152" s="14">
        <v>34</v>
      </c>
      <c r="P152" s="14">
        <v>26</v>
      </c>
      <c r="Q152" s="14">
        <v>30</v>
      </c>
      <c r="R152" s="14">
        <v>40</v>
      </c>
      <c r="S152" s="14"/>
      <c r="T152" s="24">
        <f t="shared" si="28"/>
        <v>36</v>
      </c>
      <c r="U152" s="245">
        <f t="shared" si="29"/>
        <v>30.5</v>
      </c>
      <c r="V152" s="217">
        <v>2090</v>
      </c>
      <c r="W152" s="218">
        <v>1785</v>
      </c>
      <c r="X152" s="29">
        <v>0.67708333333333337</v>
      </c>
      <c r="Y152" s="29">
        <v>0.70833333333333337</v>
      </c>
      <c r="Z152">
        <v>8</v>
      </c>
      <c r="AB152" s="54">
        <v>3</v>
      </c>
      <c r="AD152">
        <v>3</v>
      </c>
      <c r="AE152" s="58"/>
    </row>
    <row r="153" spans="1:31" ht="15" thickBot="1" x14ac:dyDescent="0.4">
      <c r="B153" s="60">
        <v>6</v>
      </c>
      <c r="C153" s="14">
        <v>22</v>
      </c>
      <c r="D153" s="14">
        <v>26</v>
      </c>
      <c r="E153" s="14">
        <v>30</v>
      </c>
      <c r="F153" s="14">
        <v>28</v>
      </c>
      <c r="G153" s="14">
        <v>30</v>
      </c>
      <c r="H153" s="14">
        <v>20</v>
      </c>
      <c r="I153" s="14">
        <v>25</v>
      </c>
      <c r="J153" s="14">
        <v>23</v>
      </c>
      <c r="K153" s="14">
        <v>28</v>
      </c>
      <c r="L153" s="14">
        <v>26</v>
      </c>
      <c r="M153" s="14">
        <v>39</v>
      </c>
      <c r="N153" s="14">
        <v>36</v>
      </c>
      <c r="O153" s="14">
        <v>25</v>
      </c>
      <c r="P153" s="14">
        <v>23</v>
      </c>
      <c r="Q153" s="14">
        <v>33</v>
      </c>
      <c r="R153" s="14">
        <v>24</v>
      </c>
      <c r="S153" s="14"/>
      <c r="T153" s="24">
        <f t="shared" si="28"/>
        <v>29</v>
      </c>
      <c r="U153" s="245">
        <f t="shared" si="29"/>
        <v>25.75</v>
      </c>
      <c r="V153" s="217">
        <v>1740</v>
      </c>
      <c r="W153" s="218">
        <v>1585</v>
      </c>
      <c r="X153" s="29">
        <v>0.4375</v>
      </c>
      <c r="Y153" s="29">
        <v>0.72916666666666663</v>
      </c>
      <c r="Z153">
        <v>8</v>
      </c>
      <c r="AB153" s="54">
        <v>1</v>
      </c>
      <c r="AD153">
        <v>3</v>
      </c>
      <c r="AE153" s="58"/>
    </row>
    <row r="154" spans="1:31" ht="15" thickBot="1" x14ac:dyDescent="0.4">
      <c r="B154" s="60">
        <v>7</v>
      </c>
      <c r="C154" s="14">
        <v>31</v>
      </c>
      <c r="D154" s="14">
        <v>13</v>
      </c>
      <c r="E154" s="14">
        <v>32</v>
      </c>
      <c r="F154" s="14">
        <v>29</v>
      </c>
      <c r="G154" s="14">
        <v>20</v>
      </c>
      <c r="H154" s="14">
        <v>16</v>
      </c>
      <c r="I154" s="14">
        <v>29</v>
      </c>
      <c r="J154" s="14">
        <v>19</v>
      </c>
      <c r="K154" s="14">
        <v>30</v>
      </c>
      <c r="L154" s="14">
        <v>28</v>
      </c>
      <c r="M154" s="14">
        <v>26</v>
      </c>
      <c r="N154" s="14">
        <v>28</v>
      </c>
      <c r="O154" s="14">
        <v>27</v>
      </c>
      <c r="P154" s="14">
        <v>19</v>
      </c>
      <c r="Q154" s="14">
        <v>25</v>
      </c>
      <c r="R154" s="14">
        <v>25</v>
      </c>
      <c r="S154" s="14"/>
      <c r="T154" s="24">
        <f t="shared" si="28"/>
        <v>27.5</v>
      </c>
      <c r="U154" s="245">
        <f t="shared" si="29"/>
        <v>22.125</v>
      </c>
      <c r="V154" s="217">
        <v>1710</v>
      </c>
      <c r="W154" s="218">
        <v>1350</v>
      </c>
      <c r="X154" s="29">
        <v>0.4375</v>
      </c>
      <c r="Y154" s="29">
        <v>0.39583333333333331</v>
      </c>
      <c r="Z154">
        <v>8</v>
      </c>
      <c r="AB154" s="54">
        <v>1</v>
      </c>
      <c r="AD154">
        <v>1</v>
      </c>
      <c r="AE154" s="58"/>
    </row>
    <row r="155" spans="1:31" ht="15" thickBot="1" x14ac:dyDescent="0.4">
      <c r="B155" s="60">
        <v>8</v>
      </c>
      <c r="C155" s="14">
        <v>34</v>
      </c>
      <c r="D155" s="14">
        <v>24</v>
      </c>
      <c r="E155" s="31">
        <v>42</v>
      </c>
      <c r="F155" s="14">
        <v>27</v>
      </c>
      <c r="G155" s="14">
        <v>33</v>
      </c>
      <c r="H155" s="14">
        <v>34</v>
      </c>
      <c r="I155" s="14">
        <v>31</v>
      </c>
      <c r="J155" s="14">
        <v>29</v>
      </c>
      <c r="K155" s="31">
        <v>41</v>
      </c>
      <c r="L155" s="14">
        <v>24</v>
      </c>
      <c r="M155" s="14">
        <v>32</v>
      </c>
      <c r="N155" s="14">
        <v>41</v>
      </c>
      <c r="O155" s="14">
        <v>28</v>
      </c>
      <c r="P155" s="14">
        <v>38</v>
      </c>
      <c r="Q155" s="14">
        <v>34</v>
      </c>
      <c r="R155" s="14">
        <v>20</v>
      </c>
      <c r="S155" s="14"/>
      <c r="T155" s="24">
        <f t="shared" si="28"/>
        <v>34.375</v>
      </c>
      <c r="U155" s="245">
        <f>AVERAGE(D155,F155,H155,J155,L155,N155,P155,R155)</f>
        <v>29.625</v>
      </c>
      <c r="V155" s="217">
        <v>2025</v>
      </c>
      <c r="W155" s="218">
        <v>1665</v>
      </c>
      <c r="X155" s="29">
        <v>0.52083333333333337</v>
      </c>
      <c r="Y155" s="29">
        <v>0.47916666666666669</v>
      </c>
      <c r="Z155">
        <v>8</v>
      </c>
      <c r="AB155" s="54">
        <v>2</v>
      </c>
      <c r="AD155">
        <v>1</v>
      </c>
      <c r="AE155" s="58"/>
    </row>
    <row r="156" spans="1:31" ht="15" thickBot="1" x14ac:dyDescent="0.4">
      <c r="B156" s="60">
        <v>9</v>
      </c>
      <c r="C156" s="31">
        <v>41</v>
      </c>
      <c r="D156" s="14">
        <v>25</v>
      </c>
      <c r="E156" s="14">
        <v>34</v>
      </c>
      <c r="F156" s="14">
        <v>16</v>
      </c>
      <c r="G156" s="14">
        <v>32</v>
      </c>
      <c r="H156" s="14">
        <v>31</v>
      </c>
      <c r="I156" s="14">
        <v>34</v>
      </c>
      <c r="J156" s="14">
        <v>29</v>
      </c>
      <c r="K156" s="14">
        <v>27</v>
      </c>
      <c r="L156" s="14">
        <v>17</v>
      </c>
      <c r="M156" s="14">
        <v>33</v>
      </c>
      <c r="N156" s="14">
        <v>25</v>
      </c>
      <c r="O156" s="31">
        <v>46</v>
      </c>
      <c r="P156" s="14">
        <v>29</v>
      </c>
      <c r="Q156" s="14">
        <v>32</v>
      </c>
      <c r="R156" s="14">
        <v>23</v>
      </c>
      <c r="S156" s="14"/>
      <c r="T156" s="24">
        <f t="shared" si="28"/>
        <v>34.875</v>
      </c>
      <c r="U156" s="245">
        <f t="shared" si="29"/>
        <v>24.375</v>
      </c>
      <c r="V156" s="217">
        <v>2100</v>
      </c>
      <c r="W156" s="218">
        <v>1415</v>
      </c>
      <c r="X156" s="29">
        <v>0.72916666666666663</v>
      </c>
      <c r="Y156" s="29">
        <v>0.8125</v>
      </c>
      <c r="Z156">
        <v>8</v>
      </c>
      <c r="AB156" s="54">
        <v>3</v>
      </c>
      <c r="AD156">
        <v>4</v>
      </c>
      <c r="AE156" s="58"/>
    </row>
    <row r="157" spans="1:31" x14ac:dyDescent="0.35">
      <c r="B157" s="60">
        <v>10</v>
      </c>
      <c r="C157" s="14">
        <v>33</v>
      </c>
      <c r="D157" s="14">
        <v>27</v>
      </c>
      <c r="E157" s="31">
        <v>42</v>
      </c>
      <c r="F157" s="14">
        <v>16</v>
      </c>
      <c r="G157" s="14">
        <v>34</v>
      </c>
      <c r="H157" s="14">
        <v>19</v>
      </c>
      <c r="I157" s="14">
        <v>31</v>
      </c>
      <c r="J157" s="14">
        <v>27</v>
      </c>
      <c r="K157" s="14">
        <v>25</v>
      </c>
      <c r="L157" s="14">
        <v>22</v>
      </c>
      <c r="M157" s="14">
        <v>29</v>
      </c>
      <c r="N157" s="14">
        <v>24</v>
      </c>
      <c r="O157" s="14">
        <v>31</v>
      </c>
      <c r="P157" s="14">
        <v>22</v>
      </c>
      <c r="Q157" s="14">
        <v>33</v>
      </c>
      <c r="R157" s="14">
        <v>17</v>
      </c>
      <c r="S157" s="14"/>
      <c r="T157" s="24">
        <f t="shared" si="28"/>
        <v>32.25</v>
      </c>
      <c r="U157" s="245">
        <f t="shared" si="29"/>
        <v>21.75</v>
      </c>
      <c r="V157" s="217">
        <v>1890</v>
      </c>
      <c r="W157" s="218">
        <v>1275</v>
      </c>
      <c r="X157" s="29">
        <v>0.85416666666666663</v>
      </c>
      <c r="Y157" s="29">
        <v>0.83333333333333337</v>
      </c>
      <c r="Z157">
        <v>8</v>
      </c>
      <c r="AB157" s="54">
        <v>4</v>
      </c>
      <c r="AD157">
        <v>4</v>
      </c>
      <c r="AE157" s="58"/>
    </row>
    <row r="158" spans="1:31" s="34" customFormat="1" ht="15" thickBot="1" x14ac:dyDescent="0.4">
      <c r="B158" s="126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254"/>
      <c r="W158" s="255"/>
      <c r="X158" s="38"/>
      <c r="Y158" s="35"/>
      <c r="AB158" s="54"/>
      <c r="AC158"/>
      <c r="AD158"/>
      <c r="AE158" s="58"/>
    </row>
    <row r="159" spans="1:31" ht="15" thickBot="1" x14ac:dyDescent="0.4">
      <c r="A159" t="s">
        <v>49</v>
      </c>
      <c r="B159" s="60">
        <v>1</v>
      </c>
      <c r="C159" s="14">
        <v>25</v>
      </c>
      <c r="D159" s="14">
        <v>33</v>
      </c>
      <c r="E159" s="14">
        <v>31</v>
      </c>
      <c r="F159" s="14">
        <v>23</v>
      </c>
      <c r="G159" s="14">
        <v>22</v>
      </c>
      <c r="H159" s="14">
        <v>25</v>
      </c>
      <c r="I159" s="14">
        <v>28</v>
      </c>
      <c r="J159" s="14">
        <v>27</v>
      </c>
      <c r="K159" s="14">
        <v>30</v>
      </c>
      <c r="L159" s="14">
        <v>25</v>
      </c>
      <c r="M159" s="14">
        <v>21</v>
      </c>
      <c r="N159" s="14">
        <v>24</v>
      </c>
      <c r="O159" s="14">
        <v>27</v>
      </c>
      <c r="P159" s="14">
        <v>21</v>
      </c>
      <c r="Q159" s="40" t="s">
        <v>3</v>
      </c>
      <c r="R159" s="40" t="s">
        <v>3</v>
      </c>
      <c r="S159" s="40"/>
      <c r="T159" s="24">
        <f t="shared" si="28"/>
        <v>26.285714285714285</v>
      </c>
      <c r="U159" s="245">
        <f t="shared" si="29"/>
        <v>25.428571428571427</v>
      </c>
      <c r="V159" s="217">
        <v>1480</v>
      </c>
      <c r="W159" s="218">
        <v>1380</v>
      </c>
      <c r="X159" s="29">
        <v>0.4375</v>
      </c>
      <c r="Y159" s="29">
        <v>0.5625</v>
      </c>
      <c r="Z159">
        <v>7</v>
      </c>
      <c r="AB159" s="54">
        <v>1</v>
      </c>
      <c r="AD159">
        <v>2</v>
      </c>
      <c r="AE159" s="58"/>
    </row>
    <row r="160" spans="1:31" ht="15" thickBot="1" x14ac:dyDescent="0.4">
      <c r="B160" s="60">
        <v>2</v>
      </c>
      <c r="C160" s="14">
        <v>34</v>
      </c>
      <c r="D160" s="14">
        <v>31</v>
      </c>
      <c r="E160" s="14">
        <v>28</v>
      </c>
      <c r="F160" s="14">
        <v>25</v>
      </c>
      <c r="G160" s="14">
        <v>24</v>
      </c>
      <c r="H160" s="14">
        <v>21</v>
      </c>
      <c r="I160" s="14">
        <v>24</v>
      </c>
      <c r="J160" s="14">
        <v>22</v>
      </c>
      <c r="K160" s="14">
        <v>24</v>
      </c>
      <c r="L160" s="14">
        <v>26</v>
      </c>
      <c r="M160" s="14">
        <v>32</v>
      </c>
      <c r="N160" s="14">
        <v>32</v>
      </c>
      <c r="O160" s="14">
        <v>27</v>
      </c>
      <c r="P160" s="14">
        <v>31</v>
      </c>
      <c r="Q160" s="14">
        <v>30</v>
      </c>
      <c r="R160" s="14">
        <v>19</v>
      </c>
      <c r="S160" s="14"/>
      <c r="T160" s="24">
        <f t="shared" si="28"/>
        <v>27.875</v>
      </c>
      <c r="U160" s="245">
        <f t="shared" si="29"/>
        <v>25.875</v>
      </c>
      <c r="V160" s="217">
        <v>1680</v>
      </c>
      <c r="W160" s="218">
        <v>1450</v>
      </c>
      <c r="X160" s="29">
        <v>0.58333333333333337</v>
      </c>
      <c r="Y160" s="29">
        <v>0.66666666666666663</v>
      </c>
      <c r="Z160">
        <v>8</v>
      </c>
      <c r="AB160" s="54">
        <v>2</v>
      </c>
      <c r="AD160">
        <v>3</v>
      </c>
      <c r="AE160" s="58"/>
    </row>
    <row r="161" spans="2:31" ht="15" thickBot="1" x14ac:dyDescent="0.4">
      <c r="B161" s="60">
        <v>3</v>
      </c>
      <c r="C161" s="14">
        <v>24</v>
      </c>
      <c r="D161" s="14">
        <v>26</v>
      </c>
      <c r="E161" s="14">
        <v>35</v>
      </c>
      <c r="F161" s="14">
        <v>26</v>
      </c>
      <c r="G161" s="14">
        <v>33</v>
      </c>
      <c r="H161" s="14">
        <v>19</v>
      </c>
      <c r="I161" s="14">
        <v>34</v>
      </c>
      <c r="J161" s="14">
        <v>24</v>
      </c>
      <c r="K161" s="14">
        <v>26</v>
      </c>
      <c r="L161" s="14">
        <v>31</v>
      </c>
      <c r="M161" s="14">
        <v>30</v>
      </c>
      <c r="N161" s="14">
        <v>22</v>
      </c>
      <c r="O161" s="14">
        <v>21</v>
      </c>
      <c r="P161" s="14">
        <v>27</v>
      </c>
      <c r="Q161" s="14">
        <v>28</v>
      </c>
      <c r="R161" s="14">
        <v>20</v>
      </c>
      <c r="S161" s="14"/>
      <c r="T161" s="24">
        <f t="shared" si="28"/>
        <v>28.875</v>
      </c>
      <c r="U161" s="245">
        <f t="shared" si="29"/>
        <v>24.375</v>
      </c>
      <c r="V161" s="217">
        <v>1770</v>
      </c>
      <c r="W161" s="218">
        <v>1530</v>
      </c>
      <c r="X161" s="29">
        <v>0.71875</v>
      </c>
      <c r="Y161" s="29">
        <v>0.72916666666666663</v>
      </c>
      <c r="Z161">
        <v>8</v>
      </c>
      <c r="AB161" s="54">
        <v>3</v>
      </c>
      <c r="AD161">
        <v>3</v>
      </c>
      <c r="AE161" s="58"/>
    </row>
    <row r="162" spans="2:31" ht="15" thickBot="1" x14ac:dyDescent="0.4">
      <c r="B162" s="60">
        <v>4</v>
      </c>
      <c r="C162" s="14">
        <v>28</v>
      </c>
      <c r="D162" s="14">
        <v>30</v>
      </c>
      <c r="E162" s="14">
        <v>23</v>
      </c>
      <c r="F162" s="14">
        <v>26</v>
      </c>
      <c r="G162" s="14">
        <v>31</v>
      </c>
      <c r="H162" s="14">
        <v>34</v>
      </c>
      <c r="I162" s="14">
        <v>20</v>
      </c>
      <c r="J162" s="31">
        <v>46</v>
      </c>
      <c r="K162" s="14">
        <v>36</v>
      </c>
      <c r="L162" s="14">
        <v>39</v>
      </c>
      <c r="M162" s="14">
        <v>29</v>
      </c>
      <c r="N162" s="14">
        <v>34</v>
      </c>
      <c r="O162" s="40" t="s">
        <v>3</v>
      </c>
      <c r="P162" s="40" t="s">
        <v>3</v>
      </c>
      <c r="Q162" s="40" t="s">
        <v>3</v>
      </c>
      <c r="R162" s="40" t="s">
        <v>3</v>
      </c>
      <c r="S162" s="40"/>
      <c r="T162" s="64">
        <f>AVERAGE(C162,E162,G162,I162,K162,M162,O162,Q162)</f>
        <v>27.833333333333332</v>
      </c>
      <c r="U162" s="247">
        <f t="shared" si="29"/>
        <v>34.833333333333336</v>
      </c>
      <c r="V162" s="217">
        <v>1440</v>
      </c>
      <c r="W162" s="218">
        <v>1510</v>
      </c>
      <c r="X162" s="29">
        <v>0.72916666666666663</v>
      </c>
      <c r="Y162" s="29">
        <v>0.72916666666666663</v>
      </c>
      <c r="Z162">
        <v>6</v>
      </c>
      <c r="AB162" s="54">
        <v>3</v>
      </c>
      <c r="AD162">
        <v>3</v>
      </c>
      <c r="AE162" s="58"/>
    </row>
    <row r="163" spans="2:31" ht="15" thickBot="1" x14ac:dyDescent="0.4">
      <c r="B163" s="60">
        <v>5</v>
      </c>
      <c r="C163" s="14">
        <v>31</v>
      </c>
      <c r="D163" s="14">
        <v>33</v>
      </c>
      <c r="E163" s="14">
        <v>28</v>
      </c>
      <c r="F163" s="14">
        <v>26</v>
      </c>
      <c r="G163" s="14">
        <v>25</v>
      </c>
      <c r="H163" s="14">
        <v>30</v>
      </c>
      <c r="I163" s="14">
        <v>26</v>
      </c>
      <c r="J163" s="14">
        <v>28</v>
      </c>
      <c r="K163" s="14">
        <v>28</v>
      </c>
      <c r="L163" s="14">
        <v>31</v>
      </c>
      <c r="M163" s="14">
        <v>26</v>
      </c>
      <c r="N163" s="14">
        <v>26</v>
      </c>
      <c r="O163" s="14">
        <v>26</v>
      </c>
      <c r="P163" s="14">
        <v>29</v>
      </c>
      <c r="Q163" s="14">
        <v>30</v>
      </c>
      <c r="R163" s="14">
        <v>34</v>
      </c>
      <c r="S163" s="14"/>
      <c r="T163" s="64">
        <f t="shared" si="28"/>
        <v>27.5</v>
      </c>
      <c r="U163" s="247">
        <f t="shared" si="29"/>
        <v>29.625</v>
      </c>
      <c r="V163" s="217">
        <v>1650</v>
      </c>
      <c r="W163" s="218">
        <v>1760</v>
      </c>
      <c r="X163" s="29">
        <v>0.47916666666666669</v>
      </c>
      <c r="Y163" s="29">
        <v>0.45833333333333331</v>
      </c>
      <c r="Z163">
        <v>8</v>
      </c>
      <c r="AB163" s="54">
        <v>1</v>
      </c>
      <c r="AD163">
        <v>1</v>
      </c>
      <c r="AE163" s="58"/>
    </row>
    <row r="164" spans="2:31" ht="15" thickBot="1" x14ac:dyDescent="0.4">
      <c r="B164" s="60">
        <v>6</v>
      </c>
      <c r="C164" s="14">
        <v>35</v>
      </c>
      <c r="D164" s="14">
        <v>31</v>
      </c>
      <c r="E164" s="14">
        <v>38</v>
      </c>
      <c r="F164" s="14">
        <v>29</v>
      </c>
      <c r="G164" s="14">
        <v>31</v>
      </c>
      <c r="H164" s="14">
        <v>30</v>
      </c>
      <c r="I164" s="14">
        <v>30</v>
      </c>
      <c r="J164" s="14">
        <v>29</v>
      </c>
      <c r="K164" s="14">
        <v>36</v>
      </c>
      <c r="L164" s="31">
        <v>40</v>
      </c>
      <c r="M164" s="14">
        <v>33</v>
      </c>
      <c r="N164" s="14">
        <v>27</v>
      </c>
      <c r="O164" s="14">
        <v>28</v>
      </c>
      <c r="P164" s="14">
        <v>31</v>
      </c>
      <c r="Q164" s="14">
        <v>31</v>
      </c>
      <c r="R164" s="14">
        <v>30</v>
      </c>
      <c r="S164" s="14"/>
      <c r="T164" s="24">
        <f t="shared" ref="T164:U168" si="31">AVERAGE(C164,E164,G164,I164,K164,M164,O164,Q164)</f>
        <v>32.75</v>
      </c>
      <c r="U164" s="245">
        <f t="shared" si="31"/>
        <v>30.875</v>
      </c>
      <c r="V164" s="217">
        <v>1890</v>
      </c>
      <c r="W164" s="218">
        <v>1785</v>
      </c>
      <c r="X164" s="29">
        <v>0.60416666666666663</v>
      </c>
      <c r="Y164" s="29">
        <v>0.67708333333333337</v>
      </c>
      <c r="Z164">
        <v>8</v>
      </c>
      <c r="AA164" s="25"/>
      <c r="AB164" s="54">
        <v>2</v>
      </c>
      <c r="AD164">
        <v>3</v>
      </c>
      <c r="AE164" s="58"/>
    </row>
    <row r="165" spans="2:31" ht="15" thickBot="1" x14ac:dyDescent="0.4">
      <c r="B165" s="60">
        <v>7</v>
      </c>
      <c r="C165" s="14">
        <v>31</v>
      </c>
      <c r="D165" s="14">
        <v>21</v>
      </c>
      <c r="E165" s="14">
        <v>36</v>
      </c>
      <c r="F165" s="31">
        <v>44</v>
      </c>
      <c r="G165" s="14">
        <v>34</v>
      </c>
      <c r="H165" s="14">
        <v>30</v>
      </c>
      <c r="I165" s="14">
        <v>35</v>
      </c>
      <c r="J165" s="14">
        <v>32</v>
      </c>
      <c r="K165" s="14">
        <v>30</v>
      </c>
      <c r="L165" s="31">
        <v>40</v>
      </c>
      <c r="M165" s="14">
        <v>27</v>
      </c>
      <c r="N165" s="14">
        <v>32</v>
      </c>
      <c r="O165" s="14">
        <v>31</v>
      </c>
      <c r="P165" s="14">
        <v>21</v>
      </c>
      <c r="Q165" s="14">
        <v>35</v>
      </c>
      <c r="R165" s="14">
        <v>34</v>
      </c>
      <c r="S165" s="14"/>
      <c r="T165" s="24">
        <f>AVERAGE(C165,E165,G165,I165,K165,M165,O165,Q165)</f>
        <v>32.375</v>
      </c>
      <c r="U165" s="245">
        <f t="shared" si="31"/>
        <v>31.75</v>
      </c>
      <c r="V165" s="217">
        <v>1815</v>
      </c>
      <c r="W165" s="218">
        <v>1745</v>
      </c>
      <c r="X165" s="29">
        <v>0.8125</v>
      </c>
      <c r="Y165" s="29">
        <v>0.82291666666666663</v>
      </c>
      <c r="Z165">
        <v>8</v>
      </c>
      <c r="AB165" s="54">
        <v>4</v>
      </c>
      <c r="AD165">
        <v>4</v>
      </c>
      <c r="AE165" s="58"/>
    </row>
    <row r="166" spans="2:31" ht="15" thickBot="1" x14ac:dyDescent="0.4">
      <c r="B166" s="60">
        <v>8</v>
      </c>
      <c r="C166" s="14">
        <v>32</v>
      </c>
      <c r="D166" s="14">
        <v>22</v>
      </c>
      <c r="E166" s="14">
        <v>38</v>
      </c>
      <c r="F166" s="14">
        <v>26</v>
      </c>
      <c r="G166" s="14">
        <v>35</v>
      </c>
      <c r="H166" s="14">
        <v>29</v>
      </c>
      <c r="I166" s="14">
        <v>26</v>
      </c>
      <c r="J166" s="14">
        <v>20</v>
      </c>
      <c r="K166" s="14">
        <v>36</v>
      </c>
      <c r="L166" s="14">
        <v>20</v>
      </c>
      <c r="M166" s="14">
        <v>34</v>
      </c>
      <c r="N166" s="14">
        <v>35</v>
      </c>
      <c r="O166" s="14">
        <v>27</v>
      </c>
      <c r="P166" s="14">
        <v>18</v>
      </c>
      <c r="Q166" s="14">
        <v>28</v>
      </c>
      <c r="R166" s="14">
        <v>27</v>
      </c>
      <c r="S166" s="14"/>
      <c r="T166" s="24">
        <f t="shared" si="31"/>
        <v>32</v>
      </c>
      <c r="U166" s="245">
        <f t="shared" si="31"/>
        <v>24.625</v>
      </c>
      <c r="V166" s="217">
        <v>1910</v>
      </c>
      <c r="W166" s="218">
        <v>1505</v>
      </c>
      <c r="X166" s="29">
        <v>0.47916666666666669</v>
      </c>
      <c r="Y166" s="29">
        <v>0.60416666666666663</v>
      </c>
      <c r="Z166">
        <v>8</v>
      </c>
      <c r="AB166" s="54">
        <v>1</v>
      </c>
      <c r="AD166">
        <v>2</v>
      </c>
      <c r="AE166" s="58"/>
    </row>
    <row r="167" spans="2:31" ht="15" thickBot="1" x14ac:dyDescent="0.4">
      <c r="B167" s="60">
        <v>9</v>
      </c>
      <c r="C167" s="14">
        <v>29</v>
      </c>
      <c r="D167" s="14">
        <v>22</v>
      </c>
      <c r="E167" s="14">
        <v>28</v>
      </c>
      <c r="F167" s="14">
        <v>29</v>
      </c>
      <c r="G167" s="14">
        <v>36</v>
      </c>
      <c r="H167" s="14">
        <v>28</v>
      </c>
      <c r="I167" s="14">
        <v>23</v>
      </c>
      <c r="J167" s="14">
        <v>32</v>
      </c>
      <c r="K167" s="14">
        <v>31</v>
      </c>
      <c r="L167" s="14">
        <v>24</v>
      </c>
      <c r="M167" s="14">
        <v>30</v>
      </c>
      <c r="N167" s="14">
        <v>35</v>
      </c>
      <c r="O167" s="40" t="s">
        <v>3</v>
      </c>
      <c r="P167" s="40" t="s">
        <v>3</v>
      </c>
      <c r="Q167" s="40" t="s">
        <v>3</v>
      </c>
      <c r="R167" s="40" t="s">
        <v>3</v>
      </c>
      <c r="S167" s="40"/>
      <c r="T167" s="24">
        <f t="shared" si="31"/>
        <v>29.5</v>
      </c>
      <c r="U167" s="245">
        <f t="shared" si="31"/>
        <v>28.333333333333332</v>
      </c>
      <c r="V167" s="217">
        <v>1490</v>
      </c>
      <c r="W167" s="218">
        <v>1260</v>
      </c>
      <c r="X167" s="29">
        <v>0.68055555555555547</v>
      </c>
      <c r="Y167" s="29">
        <v>0.40625</v>
      </c>
      <c r="Z167">
        <v>6</v>
      </c>
      <c r="AB167" s="54">
        <v>3</v>
      </c>
      <c r="AD167">
        <v>1</v>
      </c>
      <c r="AE167" s="58"/>
    </row>
    <row r="168" spans="2:31" x14ac:dyDescent="0.35">
      <c r="B168" s="60">
        <v>10</v>
      </c>
      <c r="C168" s="14">
        <v>31</v>
      </c>
      <c r="D168" s="14">
        <v>24</v>
      </c>
      <c r="E168" s="14">
        <v>32</v>
      </c>
      <c r="F168" s="14">
        <v>26</v>
      </c>
      <c r="G168" s="14">
        <v>28</v>
      </c>
      <c r="H168" s="14">
        <v>29</v>
      </c>
      <c r="I168" s="14">
        <v>24</v>
      </c>
      <c r="J168" s="14">
        <v>23</v>
      </c>
      <c r="K168" s="40" t="s">
        <v>3</v>
      </c>
      <c r="L168" s="40" t="s">
        <v>3</v>
      </c>
      <c r="M168" s="14">
        <v>29</v>
      </c>
      <c r="N168" s="14">
        <v>28</v>
      </c>
      <c r="O168" s="14">
        <v>34</v>
      </c>
      <c r="P168" s="14">
        <v>25</v>
      </c>
      <c r="Q168" s="14">
        <v>24</v>
      </c>
      <c r="R168" s="14">
        <v>31</v>
      </c>
      <c r="S168" s="14"/>
      <c r="T168" s="24">
        <f t="shared" si="31"/>
        <v>28.857142857142858</v>
      </c>
      <c r="U168" s="245">
        <f t="shared" si="31"/>
        <v>26.571428571428573</v>
      </c>
      <c r="V168" s="217">
        <v>1710</v>
      </c>
      <c r="W168" s="218">
        <v>1395</v>
      </c>
      <c r="X168" s="29">
        <v>0.625</v>
      </c>
      <c r="Y168" s="29">
        <v>0.72916666666666663</v>
      </c>
      <c r="Z168">
        <v>7</v>
      </c>
      <c r="AB168" s="54">
        <v>3</v>
      </c>
      <c r="AD168">
        <v>3</v>
      </c>
      <c r="AE168" s="58"/>
    </row>
    <row r="169" spans="2:31" s="36" customFormat="1" x14ac:dyDescent="0.35">
      <c r="B169" s="125"/>
      <c r="V169" s="257"/>
      <c r="W169" s="258"/>
      <c r="AB169" s="5"/>
      <c r="AC169" s="6"/>
      <c r="AD169" s="6"/>
      <c r="AE169" s="59"/>
    </row>
    <row r="170" spans="2:31" x14ac:dyDescent="0.35">
      <c r="D170" s="14">
        <v>1</v>
      </c>
      <c r="F170" s="14">
        <v>2</v>
      </c>
      <c r="H170" s="14">
        <v>3</v>
      </c>
      <c r="J170" s="14">
        <v>4</v>
      </c>
      <c r="L170">
        <v>5</v>
      </c>
      <c r="N170" s="14">
        <v>6</v>
      </c>
      <c r="P170" s="14">
        <v>7</v>
      </c>
      <c r="R170" s="14">
        <v>8</v>
      </c>
    </row>
    <row r="171" spans="2:31" x14ac:dyDescent="0.35">
      <c r="B171" s="60" t="s">
        <v>133</v>
      </c>
      <c r="C171">
        <f>AVERAGE(C93:C102)</f>
        <v>27.8</v>
      </c>
      <c r="D171">
        <f t="shared" ref="D171:R171" si="32">AVERAGE(D93:D102)</f>
        <v>13.1</v>
      </c>
      <c r="E171">
        <f t="shared" si="32"/>
        <v>32.700000000000003</v>
      </c>
      <c r="F171">
        <f t="shared" si="32"/>
        <v>19.3</v>
      </c>
      <c r="G171">
        <f t="shared" si="32"/>
        <v>32</v>
      </c>
      <c r="H171">
        <f t="shared" si="32"/>
        <v>16.600000000000001</v>
      </c>
      <c r="I171">
        <f t="shared" si="32"/>
        <v>29</v>
      </c>
      <c r="J171">
        <f t="shared" si="32"/>
        <v>16.3</v>
      </c>
      <c r="K171">
        <f t="shared" si="32"/>
        <v>32.799999999999997</v>
      </c>
      <c r="L171">
        <f t="shared" si="32"/>
        <v>18.2</v>
      </c>
      <c r="M171">
        <f t="shared" si="32"/>
        <v>26.888888888888889</v>
      </c>
      <c r="N171">
        <f t="shared" si="32"/>
        <v>12.666666666666666</v>
      </c>
      <c r="O171">
        <f t="shared" si="32"/>
        <v>31.6</v>
      </c>
      <c r="P171">
        <f t="shared" si="32"/>
        <v>17.899999999999999</v>
      </c>
      <c r="Q171">
        <f t="shared" si="32"/>
        <v>32.9</v>
      </c>
      <c r="R171">
        <f t="shared" si="32"/>
        <v>15.5</v>
      </c>
    </row>
    <row r="172" spans="2:31" x14ac:dyDescent="0.35">
      <c r="B172" s="60" t="s">
        <v>43</v>
      </c>
      <c r="C172">
        <f>AVERAGE(C104:C113)</f>
        <v>27.3</v>
      </c>
      <c r="D172">
        <f t="shared" ref="D172:R172" si="33">AVERAGE(D104:D113)</f>
        <v>17.5</v>
      </c>
      <c r="E172">
        <f t="shared" si="33"/>
        <v>29.4</v>
      </c>
      <c r="F172">
        <f t="shared" si="33"/>
        <v>18.399999999999999</v>
      </c>
      <c r="G172">
        <f t="shared" si="33"/>
        <v>28.6</v>
      </c>
      <c r="H172">
        <f t="shared" si="33"/>
        <v>19.8</v>
      </c>
      <c r="I172">
        <f t="shared" si="33"/>
        <v>31.1</v>
      </c>
      <c r="J172">
        <f t="shared" si="33"/>
        <v>18.899999999999999</v>
      </c>
      <c r="K172">
        <f t="shared" si="33"/>
        <v>31.9</v>
      </c>
      <c r="L172">
        <f t="shared" si="33"/>
        <v>21.1</v>
      </c>
      <c r="M172">
        <f t="shared" si="33"/>
        <v>32.799999999999997</v>
      </c>
      <c r="N172">
        <f t="shared" si="33"/>
        <v>20.5</v>
      </c>
      <c r="O172">
        <f t="shared" si="33"/>
        <v>32.1</v>
      </c>
      <c r="P172">
        <f t="shared" si="33"/>
        <v>18.2</v>
      </c>
      <c r="Q172">
        <f t="shared" si="33"/>
        <v>31.9</v>
      </c>
      <c r="R172">
        <f t="shared" si="33"/>
        <v>19.3</v>
      </c>
    </row>
    <row r="173" spans="2:31" x14ac:dyDescent="0.35">
      <c r="B173" s="60" t="s">
        <v>44</v>
      </c>
      <c r="C173">
        <f>AVERAGE(C115:C124)</f>
        <v>29.666666666666668</v>
      </c>
      <c r="D173">
        <f t="shared" ref="D173:R173" si="34">AVERAGE(D115:D124)</f>
        <v>22.777777777777779</v>
      </c>
      <c r="E173">
        <f t="shared" si="34"/>
        <v>30.222222222222221</v>
      </c>
      <c r="F173">
        <f t="shared" si="34"/>
        <v>19.777777777777779</v>
      </c>
      <c r="G173">
        <f t="shared" si="34"/>
        <v>28.888888888888889</v>
      </c>
      <c r="H173">
        <f t="shared" si="34"/>
        <v>22.222222222222221</v>
      </c>
      <c r="I173">
        <f t="shared" si="34"/>
        <v>31.222222222222221</v>
      </c>
      <c r="J173">
        <f t="shared" si="34"/>
        <v>23</v>
      </c>
      <c r="K173">
        <f t="shared" si="34"/>
        <v>33.444444444444443</v>
      </c>
      <c r="L173">
        <f t="shared" si="34"/>
        <v>22.111111111111111</v>
      </c>
      <c r="M173">
        <f t="shared" si="34"/>
        <v>32.222222222222221</v>
      </c>
      <c r="N173">
        <f t="shared" si="34"/>
        <v>26.666666666666668</v>
      </c>
      <c r="O173">
        <f t="shared" si="34"/>
        <v>31.75</v>
      </c>
      <c r="P173">
        <f t="shared" si="34"/>
        <v>22.625</v>
      </c>
      <c r="Q173">
        <f t="shared" si="34"/>
        <v>31.142857142857142</v>
      </c>
      <c r="R173">
        <f t="shared" si="34"/>
        <v>20</v>
      </c>
      <c r="T173" s="33"/>
      <c r="U173" s="14"/>
      <c r="V173" s="14"/>
      <c r="W173" s="29"/>
      <c r="X173" s="29"/>
    </row>
    <row r="174" spans="2:31" x14ac:dyDescent="0.35">
      <c r="B174" s="60" t="s">
        <v>270</v>
      </c>
      <c r="C174">
        <f>AVERAGE(C126:C135)</f>
        <v>28.9</v>
      </c>
      <c r="D174">
        <f t="shared" ref="D174:R174" si="35">AVERAGE(D126:D135)</f>
        <v>17.7</v>
      </c>
      <c r="E174">
        <f t="shared" si="35"/>
        <v>33.1</v>
      </c>
      <c r="F174">
        <f t="shared" si="35"/>
        <v>19.600000000000001</v>
      </c>
      <c r="G174">
        <f t="shared" si="35"/>
        <v>30.7</v>
      </c>
      <c r="H174">
        <f t="shared" si="35"/>
        <v>20.100000000000001</v>
      </c>
      <c r="I174">
        <f t="shared" si="35"/>
        <v>32.6</v>
      </c>
      <c r="J174">
        <f t="shared" si="35"/>
        <v>24.5</v>
      </c>
      <c r="K174">
        <f t="shared" si="35"/>
        <v>29.4</v>
      </c>
      <c r="L174">
        <f t="shared" si="35"/>
        <v>21.6</v>
      </c>
      <c r="M174">
        <f t="shared" si="35"/>
        <v>32.6</v>
      </c>
      <c r="N174">
        <f t="shared" si="35"/>
        <v>20.7</v>
      </c>
      <c r="O174">
        <f t="shared" si="35"/>
        <v>28.8</v>
      </c>
      <c r="P174">
        <f t="shared" si="35"/>
        <v>22</v>
      </c>
      <c r="Q174">
        <f t="shared" si="35"/>
        <v>33.6</v>
      </c>
      <c r="R174">
        <f t="shared" si="35"/>
        <v>24.4</v>
      </c>
    </row>
    <row r="175" spans="2:31" x14ac:dyDescent="0.35">
      <c r="B175" s="60" t="s">
        <v>46</v>
      </c>
      <c r="C175">
        <f>AVERAGE(C137:C146)</f>
        <v>29.8</v>
      </c>
      <c r="D175">
        <f t="shared" ref="D175:R175" si="36">AVERAGE(D137:D146)</f>
        <v>23.3</v>
      </c>
      <c r="E175">
        <f t="shared" si="36"/>
        <v>30.7</v>
      </c>
      <c r="F175">
        <f t="shared" si="36"/>
        <v>25.3</v>
      </c>
      <c r="G175">
        <f t="shared" si="36"/>
        <v>33.799999999999997</v>
      </c>
      <c r="H175">
        <f t="shared" si="36"/>
        <v>23</v>
      </c>
      <c r="I175">
        <f t="shared" si="36"/>
        <v>31</v>
      </c>
      <c r="J175">
        <f t="shared" si="36"/>
        <v>24.9</v>
      </c>
      <c r="K175">
        <f t="shared" si="36"/>
        <v>30</v>
      </c>
      <c r="L175">
        <f t="shared" si="36"/>
        <v>25.9</v>
      </c>
      <c r="M175">
        <f t="shared" si="36"/>
        <v>32</v>
      </c>
      <c r="N175">
        <f t="shared" si="36"/>
        <v>24.8</v>
      </c>
      <c r="O175">
        <f t="shared" si="36"/>
        <v>32.6</v>
      </c>
      <c r="P175">
        <f t="shared" si="36"/>
        <v>23.7</v>
      </c>
      <c r="Q175">
        <f t="shared" si="36"/>
        <v>31.4</v>
      </c>
      <c r="R175">
        <f t="shared" si="36"/>
        <v>22.6</v>
      </c>
    </row>
    <row r="176" spans="2:31" x14ac:dyDescent="0.35">
      <c r="B176" s="60" t="s">
        <v>48</v>
      </c>
      <c r="C176">
        <f>AVERAGE(C148:C157)</f>
        <v>32.4</v>
      </c>
      <c r="D176">
        <f t="shared" ref="D176:R176" si="37">AVERAGE(D148:D157)</f>
        <v>25.5</v>
      </c>
      <c r="E176">
        <f t="shared" si="37"/>
        <v>35.9</v>
      </c>
      <c r="F176">
        <f t="shared" si="37"/>
        <v>25.4</v>
      </c>
      <c r="G176">
        <f t="shared" si="37"/>
        <v>28.6</v>
      </c>
      <c r="H176">
        <f t="shared" si="37"/>
        <v>23.7</v>
      </c>
      <c r="I176">
        <f t="shared" si="37"/>
        <v>30.4</v>
      </c>
      <c r="J176">
        <f t="shared" si="37"/>
        <v>25.3</v>
      </c>
      <c r="K176">
        <f t="shared" si="37"/>
        <v>29</v>
      </c>
      <c r="L176">
        <f t="shared" si="37"/>
        <v>24.1</v>
      </c>
      <c r="M176">
        <f t="shared" si="37"/>
        <v>31.4</v>
      </c>
      <c r="N176">
        <f t="shared" si="37"/>
        <v>31.6</v>
      </c>
      <c r="O176">
        <f t="shared" si="37"/>
        <v>30.8</v>
      </c>
      <c r="P176">
        <f t="shared" si="37"/>
        <v>27.5</v>
      </c>
      <c r="Q176">
        <f t="shared" si="37"/>
        <v>31.2</v>
      </c>
      <c r="R176">
        <f t="shared" si="37"/>
        <v>24.6</v>
      </c>
    </row>
    <row r="177" spans="1:18" x14ac:dyDescent="0.35">
      <c r="B177" s="60" t="s">
        <v>49</v>
      </c>
      <c r="C177">
        <f>AVERAGE(C159:C168)</f>
        <v>30</v>
      </c>
      <c r="D177">
        <f t="shared" ref="D177:R177" si="38">AVERAGE(D159:D168)</f>
        <v>27.3</v>
      </c>
      <c r="E177">
        <f t="shared" si="38"/>
        <v>31.7</v>
      </c>
      <c r="F177">
        <f t="shared" si="38"/>
        <v>28</v>
      </c>
      <c r="G177">
        <f t="shared" si="38"/>
        <v>29.9</v>
      </c>
      <c r="H177">
        <f t="shared" si="38"/>
        <v>27.5</v>
      </c>
      <c r="I177">
        <f t="shared" si="38"/>
        <v>27</v>
      </c>
      <c r="J177">
        <f t="shared" si="38"/>
        <v>28.3</v>
      </c>
      <c r="K177">
        <f t="shared" si="38"/>
        <v>30.777777777777779</v>
      </c>
      <c r="L177">
        <f t="shared" si="38"/>
        <v>30.666666666666668</v>
      </c>
      <c r="M177">
        <f t="shared" si="38"/>
        <v>29.1</v>
      </c>
      <c r="N177">
        <f t="shared" si="38"/>
        <v>29.5</v>
      </c>
      <c r="O177">
        <f t="shared" si="38"/>
        <v>27.625</v>
      </c>
      <c r="P177">
        <f t="shared" si="38"/>
        <v>25.375</v>
      </c>
      <c r="Q177">
        <f t="shared" si="38"/>
        <v>29.428571428571427</v>
      </c>
      <c r="R177">
        <f t="shared" si="38"/>
        <v>27.857142857142858</v>
      </c>
    </row>
    <row r="179" spans="1:18" x14ac:dyDescent="0.35">
      <c r="C179">
        <f>AVERAGE(C171:C177)</f>
        <v>29.409523809523812</v>
      </c>
      <c r="E179">
        <f t="shared" ref="E179:Q179" si="39">AVERAGE(E171:E177)</f>
        <v>31.960317460317459</v>
      </c>
      <c r="G179">
        <f t="shared" si="39"/>
        <v>30.355555555555554</v>
      </c>
      <c r="I179">
        <f t="shared" si="39"/>
        <v>30.331746031746032</v>
      </c>
      <c r="K179">
        <f t="shared" si="39"/>
        <v>31.046031746031741</v>
      </c>
      <c r="M179">
        <f t="shared" si="39"/>
        <v>31.0015873015873</v>
      </c>
      <c r="O179">
        <f t="shared" si="39"/>
        <v>30.75357142857143</v>
      </c>
      <c r="Q179">
        <f t="shared" si="39"/>
        <v>31.653061224489793</v>
      </c>
    </row>
    <row r="185" spans="1:18" x14ac:dyDescent="0.35">
      <c r="D185" s="14">
        <v>1</v>
      </c>
      <c r="F185" s="14">
        <v>2</v>
      </c>
      <c r="H185" s="14">
        <v>3</v>
      </c>
      <c r="J185" s="14">
        <v>4</v>
      </c>
      <c r="L185">
        <v>5</v>
      </c>
      <c r="N185" s="14">
        <v>6</v>
      </c>
      <c r="P185" s="14">
        <v>7</v>
      </c>
      <c r="R185" s="14">
        <v>8</v>
      </c>
    </row>
    <row r="186" spans="1:18" x14ac:dyDescent="0.35">
      <c r="A186" t="str">
        <f t="shared" ref="A186:B195" si="40">A93</f>
        <v>20min</v>
      </c>
      <c r="B186">
        <f t="shared" si="40"/>
        <v>1</v>
      </c>
      <c r="D186">
        <f t="shared" ref="D186:D195" si="41">(C93-D93)/C93</f>
        <v>0.35</v>
      </c>
      <c r="F186">
        <f t="shared" ref="F186:F195" si="42">(E93-F93)/E93</f>
        <v>0.40740740740740738</v>
      </c>
      <c r="H186">
        <f t="shared" ref="H186:H195" si="43">(G93-H93)/G93</f>
        <v>0.375</v>
      </c>
      <c r="J186">
        <f t="shared" ref="J186:J195" si="44">(I93-J93)/I93</f>
        <v>0.71875</v>
      </c>
      <c r="L186">
        <f t="shared" ref="L186:L195" si="45">(K93-L93)/K93</f>
        <v>0.61538461538461542</v>
      </c>
      <c r="N186">
        <f t="shared" ref="N186:N195" si="46">(M93-N93)/M93</f>
        <v>0.3888888888888889</v>
      </c>
      <c r="P186">
        <f t="shared" ref="P186:P195" si="47">(O93-P93)/O93</f>
        <v>0.41666666666666669</v>
      </c>
      <c r="R186">
        <f t="shared" ref="R186:R195" si="48">(Q93-R93)/Q93</f>
        <v>0.7407407407407407</v>
      </c>
    </row>
    <row r="187" spans="1:18" x14ac:dyDescent="0.35">
      <c r="A187">
        <f t="shared" si="40"/>
        <v>0</v>
      </c>
      <c r="B187">
        <f t="shared" si="40"/>
        <v>2</v>
      </c>
      <c r="D187">
        <f t="shared" si="41"/>
        <v>0.48148148148148145</v>
      </c>
      <c r="F187">
        <f t="shared" si="42"/>
        <v>0.47368421052631576</v>
      </c>
      <c r="H187">
        <f t="shared" si="43"/>
        <v>0.45454545454545453</v>
      </c>
      <c r="J187">
        <f t="shared" si="44"/>
        <v>0.22222222222222221</v>
      </c>
      <c r="L187">
        <f t="shared" si="45"/>
        <v>0.5757575757575758</v>
      </c>
      <c r="N187">
        <f t="shared" si="46"/>
        <v>0.6428571428571429</v>
      </c>
      <c r="P187">
        <f t="shared" si="47"/>
        <v>0.45161290322580644</v>
      </c>
      <c r="R187">
        <f t="shared" si="48"/>
        <v>0.57692307692307687</v>
      </c>
    </row>
    <row r="188" spans="1:18" x14ac:dyDescent="0.35">
      <c r="A188">
        <f t="shared" si="40"/>
        <v>0</v>
      </c>
      <c r="B188">
        <f t="shared" si="40"/>
        <v>3</v>
      </c>
      <c r="D188">
        <f t="shared" si="41"/>
        <v>0.5</v>
      </c>
      <c r="F188">
        <f t="shared" si="42"/>
        <v>0.51724137931034486</v>
      </c>
      <c r="H188">
        <f t="shared" si="43"/>
        <v>0.47058823529411764</v>
      </c>
      <c r="J188">
        <f t="shared" si="44"/>
        <v>0.41379310344827586</v>
      </c>
      <c r="L188">
        <f t="shared" si="45"/>
        <v>0.34482758620689657</v>
      </c>
      <c r="N188">
        <f t="shared" si="46"/>
        <v>0.52941176470588236</v>
      </c>
      <c r="P188">
        <f t="shared" si="47"/>
        <v>0.21428571428571427</v>
      </c>
      <c r="R188">
        <f t="shared" si="48"/>
        <v>0.56666666666666665</v>
      </c>
    </row>
    <row r="189" spans="1:18" x14ac:dyDescent="0.35">
      <c r="A189">
        <f t="shared" si="40"/>
        <v>0</v>
      </c>
      <c r="B189">
        <f t="shared" si="40"/>
        <v>4</v>
      </c>
      <c r="D189">
        <f t="shared" si="41"/>
        <v>0.54285714285714282</v>
      </c>
      <c r="F189">
        <f t="shared" si="42"/>
        <v>0.40909090909090912</v>
      </c>
      <c r="H189">
        <f t="shared" si="43"/>
        <v>0.61290322580645162</v>
      </c>
      <c r="J189">
        <f t="shared" si="44"/>
        <v>0.54545454545454541</v>
      </c>
      <c r="L189">
        <f t="shared" si="45"/>
        <v>0.48717948717948717</v>
      </c>
      <c r="N189">
        <f t="shared" si="46"/>
        <v>0.56666666666666665</v>
      </c>
      <c r="P189">
        <f t="shared" si="47"/>
        <v>0.37142857142857144</v>
      </c>
      <c r="R189">
        <f t="shared" si="48"/>
        <v>0.5</v>
      </c>
    </row>
    <row r="190" spans="1:18" x14ac:dyDescent="0.35">
      <c r="A190">
        <f t="shared" si="40"/>
        <v>0</v>
      </c>
      <c r="B190">
        <f t="shared" si="40"/>
        <v>5</v>
      </c>
      <c r="D190">
        <f t="shared" si="41"/>
        <v>0.57692307692307687</v>
      </c>
      <c r="F190">
        <f t="shared" si="42"/>
        <v>0.40625</v>
      </c>
      <c r="H190">
        <f t="shared" si="43"/>
        <v>0.69230769230769229</v>
      </c>
      <c r="J190">
        <f t="shared" si="44"/>
        <v>0.40625</v>
      </c>
      <c r="L190">
        <f t="shared" si="45"/>
        <v>0.6785714285714286</v>
      </c>
      <c r="N190">
        <f t="shared" si="46"/>
        <v>0.55172413793103448</v>
      </c>
      <c r="P190">
        <f t="shared" si="47"/>
        <v>0.44117647058823528</v>
      </c>
      <c r="R190">
        <f t="shared" si="48"/>
        <v>0.56756756756756754</v>
      </c>
    </row>
    <row r="191" spans="1:18" x14ac:dyDescent="0.35">
      <c r="A191">
        <f t="shared" si="40"/>
        <v>0</v>
      </c>
      <c r="B191">
        <f t="shared" si="40"/>
        <v>6</v>
      </c>
      <c r="D191">
        <f t="shared" si="41"/>
        <v>0.48148148148148145</v>
      </c>
      <c r="F191">
        <f t="shared" si="42"/>
        <v>0.38709677419354838</v>
      </c>
      <c r="H191">
        <f t="shared" si="43"/>
        <v>0.3</v>
      </c>
      <c r="J191">
        <f t="shared" si="44"/>
        <v>0.58620689655172409</v>
      </c>
      <c r="L191">
        <f t="shared" si="45"/>
        <v>0.40625</v>
      </c>
      <c r="N191">
        <f t="shared" si="46"/>
        <v>0.51724137931034486</v>
      </c>
      <c r="P191">
        <f t="shared" si="47"/>
        <v>0.51724137931034486</v>
      </c>
      <c r="R191">
        <f t="shared" si="48"/>
        <v>0.35714285714285715</v>
      </c>
    </row>
    <row r="192" spans="1:18" x14ac:dyDescent="0.35">
      <c r="A192">
        <f t="shared" si="40"/>
        <v>0</v>
      </c>
      <c r="B192">
        <f t="shared" si="40"/>
        <v>7</v>
      </c>
      <c r="D192">
        <f t="shared" si="41"/>
        <v>0.55172413793103448</v>
      </c>
      <c r="F192">
        <f t="shared" si="42"/>
        <v>0.35483870967741937</v>
      </c>
      <c r="H192">
        <f t="shared" si="43"/>
        <v>0.46511627906976744</v>
      </c>
      <c r="J192">
        <f t="shared" si="44"/>
        <v>0.45833333333333331</v>
      </c>
      <c r="L192">
        <f t="shared" si="45"/>
        <v>0.25</v>
      </c>
      <c r="N192">
        <f t="shared" si="46"/>
        <v>0.6071428571428571</v>
      </c>
      <c r="P192">
        <f t="shared" si="47"/>
        <v>0.71052631578947367</v>
      </c>
      <c r="R192">
        <f t="shared" si="48"/>
        <v>0.52500000000000002</v>
      </c>
    </row>
    <row r="193" spans="1:18" x14ac:dyDescent="0.35">
      <c r="A193">
        <f t="shared" si="40"/>
        <v>0</v>
      </c>
      <c r="B193">
        <f t="shared" si="40"/>
        <v>8</v>
      </c>
      <c r="D193">
        <f t="shared" si="41"/>
        <v>0.6</v>
      </c>
      <c r="F193">
        <f t="shared" si="42"/>
        <v>0.5</v>
      </c>
      <c r="H193">
        <f t="shared" si="43"/>
        <v>0.56097560975609762</v>
      </c>
      <c r="J193">
        <f t="shared" si="44"/>
        <v>0.36363636363636365</v>
      </c>
      <c r="L193">
        <f t="shared" si="45"/>
        <v>0.38461538461538464</v>
      </c>
      <c r="N193">
        <f t="shared" si="46"/>
        <v>0.68421052631578949</v>
      </c>
      <c r="P193">
        <f t="shared" si="47"/>
        <v>0.21428571428571427</v>
      </c>
      <c r="R193">
        <f t="shared" si="48"/>
        <v>0.6</v>
      </c>
    </row>
    <row r="194" spans="1:18" x14ac:dyDescent="0.35">
      <c r="A194">
        <f t="shared" si="40"/>
        <v>0</v>
      </c>
      <c r="B194">
        <f t="shared" si="40"/>
        <v>9</v>
      </c>
      <c r="D194">
        <f t="shared" si="41"/>
        <v>0.59090909090909094</v>
      </c>
      <c r="F194">
        <f t="shared" si="42"/>
        <v>0.46875</v>
      </c>
      <c r="H194">
        <f t="shared" si="43"/>
        <v>0.47058823529411764</v>
      </c>
      <c r="J194">
        <f t="shared" si="44"/>
        <v>0.35714285714285715</v>
      </c>
      <c r="L194">
        <f t="shared" si="45"/>
        <v>0.40909090909090912</v>
      </c>
      <c r="N194" t="e">
        <f t="shared" si="46"/>
        <v>#VALUE!</v>
      </c>
      <c r="P194">
        <f t="shared" si="47"/>
        <v>0.5161290322580645</v>
      </c>
      <c r="R194">
        <f t="shared" si="48"/>
        <v>0.34482758620689657</v>
      </c>
    </row>
    <row r="195" spans="1:18" x14ac:dyDescent="0.35">
      <c r="A195">
        <f t="shared" si="40"/>
        <v>0</v>
      </c>
      <c r="B195">
        <f t="shared" si="40"/>
        <v>10</v>
      </c>
      <c r="D195">
        <f t="shared" si="41"/>
        <v>0.56666666666666665</v>
      </c>
      <c r="F195">
        <f t="shared" si="42"/>
        <v>0.16129032258064516</v>
      </c>
      <c r="H195">
        <f t="shared" si="43"/>
        <v>0.375</v>
      </c>
      <c r="J195">
        <f t="shared" si="44"/>
        <v>0.26470588235294118</v>
      </c>
      <c r="L195">
        <f t="shared" si="45"/>
        <v>0.38709677419354838</v>
      </c>
      <c r="N195">
        <f t="shared" si="46"/>
        <v>0.25925925925925924</v>
      </c>
      <c r="P195">
        <f t="shared" si="47"/>
        <v>0.39473684210526316</v>
      </c>
      <c r="R195">
        <f t="shared" si="48"/>
        <v>0.51219512195121952</v>
      </c>
    </row>
    <row r="197" spans="1:18" x14ac:dyDescent="0.35">
      <c r="A197" t="str">
        <f t="shared" ref="A197:B206" si="49">A104</f>
        <v>1 hour</v>
      </c>
      <c r="B197">
        <f t="shared" si="49"/>
        <v>1</v>
      </c>
      <c r="D197">
        <f t="shared" ref="D197:D206" si="50">(C104-D104)/C104</f>
        <v>0.38461538461538464</v>
      </c>
      <c r="F197">
        <f t="shared" ref="F197:F206" si="51">(E104-F104)/E104</f>
        <v>0.48</v>
      </c>
      <c r="H197">
        <f t="shared" ref="H197:H206" si="52">(G104-H104)/G104</f>
        <v>0.44444444444444442</v>
      </c>
      <c r="J197">
        <f t="shared" ref="J197:J206" si="53">(I104-J104)/I104</f>
        <v>0.52941176470588236</v>
      </c>
      <c r="L197">
        <f t="shared" ref="L197:L206" si="54">(K104-L104)/K104</f>
        <v>0.32142857142857145</v>
      </c>
      <c r="N197">
        <f t="shared" ref="N197:N206" si="55">(M104-N104)/M104</f>
        <v>0.40740740740740738</v>
      </c>
      <c r="P197">
        <f t="shared" ref="P197:P206" si="56">(O104-P104)/O104</f>
        <v>0.36666666666666664</v>
      </c>
      <c r="R197">
        <f t="shared" ref="R197:R206" si="57">(Q104-R104)/Q104</f>
        <v>0.17857142857142858</v>
      </c>
    </row>
    <row r="198" spans="1:18" x14ac:dyDescent="0.35">
      <c r="A198">
        <f t="shared" si="49"/>
        <v>0</v>
      </c>
      <c r="B198">
        <f t="shared" si="49"/>
        <v>2</v>
      </c>
      <c r="D198">
        <f t="shared" si="50"/>
        <v>0.45714285714285713</v>
      </c>
      <c r="F198">
        <f t="shared" si="51"/>
        <v>4.7619047619047616E-2</v>
      </c>
      <c r="H198">
        <f t="shared" si="52"/>
        <v>0.27586206896551724</v>
      </c>
      <c r="J198">
        <f t="shared" si="53"/>
        <v>0.17241379310344829</v>
      </c>
      <c r="L198">
        <f t="shared" si="54"/>
        <v>0.29629629629629628</v>
      </c>
      <c r="N198">
        <f t="shared" si="55"/>
        <v>0.43243243243243246</v>
      </c>
      <c r="P198">
        <f t="shared" si="56"/>
        <v>0.43333333333333335</v>
      </c>
      <c r="R198">
        <f t="shared" si="57"/>
        <v>0.2857142857142857</v>
      </c>
    </row>
    <row r="199" spans="1:18" x14ac:dyDescent="0.35">
      <c r="A199">
        <f t="shared" si="49"/>
        <v>0</v>
      </c>
      <c r="B199">
        <f t="shared" si="49"/>
        <v>3</v>
      </c>
      <c r="D199">
        <f t="shared" si="50"/>
        <v>0.47619047619047616</v>
      </c>
      <c r="F199">
        <f t="shared" si="51"/>
        <v>0.65789473684210531</v>
      </c>
      <c r="H199">
        <f t="shared" si="52"/>
        <v>0</v>
      </c>
      <c r="J199">
        <f t="shared" si="53"/>
        <v>0.55555555555555558</v>
      </c>
      <c r="L199">
        <f t="shared" si="54"/>
        <v>0.47368421052631576</v>
      </c>
      <c r="N199">
        <f t="shared" si="55"/>
        <v>6.6666666666666666E-2</v>
      </c>
      <c r="P199">
        <f t="shared" si="56"/>
        <v>0.55555555555555558</v>
      </c>
      <c r="R199">
        <f t="shared" si="57"/>
        <v>0.43243243243243246</v>
      </c>
    </row>
    <row r="200" spans="1:18" x14ac:dyDescent="0.35">
      <c r="A200">
        <f t="shared" si="49"/>
        <v>0</v>
      </c>
      <c r="B200">
        <f t="shared" si="49"/>
        <v>4</v>
      </c>
      <c r="D200">
        <f t="shared" si="50"/>
        <v>0.43333333333333335</v>
      </c>
      <c r="F200">
        <f t="shared" si="51"/>
        <v>0.29166666666666669</v>
      </c>
      <c r="H200">
        <f t="shared" si="52"/>
        <v>0.48148148148148145</v>
      </c>
      <c r="J200">
        <f t="shared" si="53"/>
        <v>0.52777777777777779</v>
      </c>
      <c r="L200">
        <f t="shared" si="54"/>
        <v>0.25</v>
      </c>
      <c r="N200">
        <f t="shared" si="55"/>
        <v>0.38235294117647056</v>
      </c>
      <c r="P200">
        <f t="shared" si="56"/>
        <v>0.59523809523809523</v>
      </c>
      <c r="R200">
        <f t="shared" si="57"/>
        <v>0.6333333333333333</v>
      </c>
    </row>
    <row r="201" spans="1:18" x14ac:dyDescent="0.35">
      <c r="A201">
        <f t="shared" si="49"/>
        <v>0</v>
      </c>
      <c r="B201">
        <f t="shared" si="49"/>
        <v>5</v>
      </c>
      <c r="D201">
        <f t="shared" si="50"/>
        <v>0.26666666666666666</v>
      </c>
      <c r="F201">
        <f t="shared" si="51"/>
        <v>0.26666666666666666</v>
      </c>
      <c r="H201">
        <f t="shared" si="52"/>
        <v>0.16</v>
      </c>
      <c r="J201">
        <f t="shared" si="53"/>
        <v>0.33333333333333331</v>
      </c>
      <c r="L201">
        <f t="shared" si="54"/>
        <v>0.33333333333333331</v>
      </c>
      <c r="N201">
        <f t="shared" si="55"/>
        <v>0.28205128205128205</v>
      </c>
      <c r="P201">
        <f t="shared" si="56"/>
        <v>0.4375</v>
      </c>
      <c r="R201">
        <f t="shared" si="57"/>
        <v>0.54166666666666663</v>
      </c>
    </row>
    <row r="202" spans="1:18" x14ac:dyDescent="0.35">
      <c r="A202">
        <f t="shared" si="49"/>
        <v>0</v>
      </c>
      <c r="B202">
        <f t="shared" si="49"/>
        <v>6</v>
      </c>
      <c r="D202">
        <f t="shared" si="50"/>
        <v>0.51724137931034486</v>
      </c>
      <c r="F202">
        <f t="shared" si="51"/>
        <v>0.43333333333333335</v>
      </c>
      <c r="H202">
        <f t="shared" si="52"/>
        <v>0.34482758620689657</v>
      </c>
      <c r="J202">
        <f t="shared" si="53"/>
        <v>0.32258064516129031</v>
      </c>
      <c r="L202">
        <f t="shared" si="54"/>
        <v>-4.3478260869565216E-2</v>
      </c>
      <c r="N202">
        <f t="shared" si="55"/>
        <v>0.48275862068965519</v>
      </c>
      <c r="P202">
        <f t="shared" si="56"/>
        <v>0.42307692307692307</v>
      </c>
      <c r="R202">
        <f t="shared" si="57"/>
        <v>0.27272727272727271</v>
      </c>
    </row>
    <row r="203" spans="1:18" x14ac:dyDescent="0.35">
      <c r="A203">
        <f t="shared" si="49"/>
        <v>0</v>
      </c>
      <c r="B203">
        <f t="shared" si="49"/>
        <v>7</v>
      </c>
      <c r="D203">
        <f t="shared" si="50"/>
        <v>0.29411764705882354</v>
      </c>
      <c r="F203">
        <f t="shared" si="51"/>
        <v>0.34375</v>
      </c>
      <c r="H203">
        <f t="shared" si="52"/>
        <v>0.46153846153846156</v>
      </c>
      <c r="J203">
        <f t="shared" si="53"/>
        <v>9.5238095238095233E-2</v>
      </c>
      <c r="L203">
        <f t="shared" si="54"/>
        <v>0.52777777777777779</v>
      </c>
      <c r="N203">
        <f t="shared" si="55"/>
        <v>0.27272727272727271</v>
      </c>
      <c r="P203">
        <f t="shared" si="56"/>
        <v>0.3</v>
      </c>
      <c r="R203">
        <f t="shared" si="57"/>
        <v>0.19354838709677419</v>
      </c>
    </row>
    <row r="204" spans="1:18" x14ac:dyDescent="0.35">
      <c r="A204">
        <f t="shared" si="49"/>
        <v>0</v>
      </c>
      <c r="B204">
        <f t="shared" si="49"/>
        <v>8</v>
      </c>
      <c r="D204">
        <f t="shared" si="50"/>
        <v>0.39285714285714285</v>
      </c>
      <c r="F204">
        <f t="shared" si="51"/>
        <v>0.22222222222222221</v>
      </c>
      <c r="H204">
        <f t="shared" si="52"/>
        <v>0.54838709677419351</v>
      </c>
      <c r="J204">
        <f t="shared" si="53"/>
        <v>0.29411764705882354</v>
      </c>
      <c r="L204">
        <f t="shared" si="54"/>
        <v>0.4</v>
      </c>
      <c r="N204">
        <f t="shared" si="55"/>
        <v>0.48717948717948717</v>
      </c>
      <c r="P204">
        <f t="shared" si="56"/>
        <v>0.44117647058823528</v>
      </c>
      <c r="R204">
        <f t="shared" si="57"/>
        <v>0.35294117647058826</v>
      </c>
    </row>
    <row r="205" spans="1:18" x14ac:dyDescent="0.35">
      <c r="A205">
        <f t="shared" si="49"/>
        <v>0</v>
      </c>
      <c r="B205">
        <f t="shared" si="49"/>
        <v>9</v>
      </c>
      <c r="D205">
        <f t="shared" si="50"/>
        <v>0.10344827586206896</v>
      </c>
      <c r="F205">
        <f t="shared" si="51"/>
        <v>0.46666666666666667</v>
      </c>
      <c r="H205">
        <f t="shared" si="52"/>
        <v>0.29411764705882354</v>
      </c>
      <c r="J205">
        <f t="shared" si="53"/>
        <v>0.48275862068965519</v>
      </c>
      <c r="L205">
        <f t="shared" si="54"/>
        <v>0.47222222222222221</v>
      </c>
      <c r="N205">
        <f t="shared" si="55"/>
        <v>0.59259259259259256</v>
      </c>
      <c r="P205">
        <f t="shared" si="56"/>
        <v>-0.11764705882352941</v>
      </c>
      <c r="R205">
        <f t="shared" si="57"/>
        <v>0.47222222222222221</v>
      </c>
    </row>
    <row r="206" spans="1:18" x14ac:dyDescent="0.35">
      <c r="A206">
        <f t="shared" si="49"/>
        <v>0</v>
      </c>
      <c r="B206">
        <f t="shared" si="49"/>
        <v>10</v>
      </c>
      <c r="D206">
        <f t="shared" si="50"/>
        <v>0.25</v>
      </c>
      <c r="F206">
        <f t="shared" si="51"/>
        <v>0.35135135135135137</v>
      </c>
      <c r="H206">
        <f t="shared" si="52"/>
        <v>6.8965517241379309E-2</v>
      </c>
      <c r="J206">
        <f t="shared" si="53"/>
        <v>0.44117647058823528</v>
      </c>
      <c r="L206">
        <f t="shared" si="54"/>
        <v>0.2</v>
      </c>
      <c r="N206">
        <f t="shared" si="55"/>
        <v>0.36363636363636365</v>
      </c>
      <c r="P206">
        <f t="shared" si="56"/>
        <v>0.51428571428571423</v>
      </c>
      <c r="R206">
        <f t="shared" si="57"/>
        <v>0.55263157894736847</v>
      </c>
    </row>
    <row r="208" spans="1:18" x14ac:dyDescent="0.35">
      <c r="A208" t="str">
        <f t="shared" ref="A208:B217" si="58">A115</f>
        <v>9 hours</v>
      </c>
      <c r="B208">
        <f t="shared" si="58"/>
        <v>1</v>
      </c>
      <c r="D208">
        <f t="shared" ref="D208:D216" si="59">(C115-D115)/C115</f>
        <v>0.5</v>
      </c>
      <c r="F208">
        <f t="shared" ref="F208:F216" si="60">(E115-F115)/E115</f>
        <v>0</v>
      </c>
      <c r="H208">
        <f t="shared" ref="H208:H216" si="61">(G115-H115)/G115</f>
        <v>0.36363636363636365</v>
      </c>
      <c r="J208">
        <f t="shared" ref="J208:J216" si="62">(I115-J115)/I115</f>
        <v>0.27586206896551724</v>
      </c>
      <c r="L208">
        <f t="shared" ref="L208:L216" si="63">(K115-L115)/K115</f>
        <v>0.32142857142857145</v>
      </c>
      <c r="N208">
        <f t="shared" ref="N208:N216" si="64">(M115-N115)/M115</f>
        <v>0.44827586206896552</v>
      </c>
      <c r="P208">
        <f>(O115-P115)/O115</f>
        <v>0.34615384615384615</v>
      </c>
      <c r="R208">
        <f>(Q115-R115)/Q115</f>
        <v>0.32142857142857145</v>
      </c>
    </row>
    <row r="209" spans="1:18" x14ac:dyDescent="0.35">
      <c r="A209">
        <f t="shared" si="58"/>
        <v>0</v>
      </c>
      <c r="B209">
        <f t="shared" si="58"/>
        <v>2</v>
      </c>
      <c r="D209">
        <f t="shared" si="59"/>
        <v>-0.3</v>
      </c>
      <c r="F209">
        <f t="shared" si="60"/>
        <v>0.47368421052631576</v>
      </c>
      <c r="H209">
        <f t="shared" si="61"/>
        <v>0.31428571428571428</v>
      </c>
      <c r="J209">
        <f t="shared" si="62"/>
        <v>0.14814814814814814</v>
      </c>
      <c r="L209">
        <f t="shared" si="63"/>
        <v>0.38709677419354838</v>
      </c>
      <c r="N209">
        <f t="shared" si="64"/>
        <v>0.13636363636363635</v>
      </c>
      <c r="P209">
        <f>(O116-P116)/O116</f>
        <v>0.2</v>
      </c>
      <c r="R209">
        <f>(Q116-R116)/Q116</f>
        <v>0.18518518518518517</v>
      </c>
    </row>
    <row r="210" spans="1:18" x14ac:dyDescent="0.35">
      <c r="A210">
        <f t="shared" si="58"/>
        <v>0</v>
      </c>
      <c r="B210">
        <f t="shared" si="58"/>
        <v>3</v>
      </c>
      <c r="D210">
        <f t="shared" si="59"/>
        <v>0.22222222222222221</v>
      </c>
      <c r="F210">
        <f t="shared" si="60"/>
        <v>0.4642857142857143</v>
      </c>
      <c r="H210">
        <f t="shared" si="61"/>
        <v>0.41935483870967744</v>
      </c>
      <c r="J210">
        <f t="shared" si="62"/>
        <v>0.36666666666666664</v>
      </c>
      <c r="L210">
        <f t="shared" si="63"/>
        <v>0.51111111111111107</v>
      </c>
      <c r="N210">
        <f t="shared" si="64"/>
        <v>-0.16129032258064516</v>
      </c>
      <c r="P210">
        <f>(O117-P117)/O117</f>
        <v>0.51219512195121952</v>
      </c>
      <c r="R210">
        <f>(Q117-R117)/Q117</f>
        <v>0.42857142857142855</v>
      </c>
    </row>
    <row r="211" spans="1:18" x14ac:dyDescent="0.35">
      <c r="A211">
        <f t="shared" si="58"/>
        <v>0</v>
      </c>
      <c r="B211">
        <f t="shared" si="58"/>
        <v>4</v>
      </c>
      <c r="D211">
        <f t="shared" si="59"/>
        <v>0.29166666666666669</v>
      </c>
      <c r="F211">
        <f t="shared" si="60"/>
        <v>0.2857142857142857</v>
      </c>
      <c r="H211">
        <f t="shared" si="61"/>
        <v>0.24</v>
      </c>
      <c r="J211">
        <f t="shared" si="62"/>
        <v>0.34375</v>
      </c>
      <c r="L211">
        <f t="shared" si="63"/>
        <v>0.3783783783783784</v>
      </c>
      <c r="N211">
        <f t="shared" si="64"/>
        <v>0.23529411764705882</v>
      </c>
    </row>
    <row r="212" spans="1:18" x14ac:dyDescent="0.35">
      <c r="A212">
        <f t="shared" si="58"/>
        <v>0</v>
      </c>
      <c r="B212">
        <f t="shared" si="58"/>
        <v>5</v>
      </c>
      <c r="D212">
        <f t="shared" si="59"/>
        <v>0.41025641025641024</v>
      </c>
      <c r="F212">
        <f t="shared" si="60"/>
        <v>0.1</v>
      </c>
      <c r="H212">
        <f t="shared" si="61"/>
        <v>0.48275862068965519</v>
      </c>
      <c r="J212">
        <f t="shared" si="62"/>
        <v>-4.1666666666666664E-2</v>
      </c>
      <c r="L212">
        <f t="shared" si="63"/>
        <v>0.46666666666666667</v>
      </c>
      <c r="N212">
        <f t="shared" si="64"/>
        <v>0.27272727272727271</v>
      </c>
      <c r="P212">
        <f>(O119-P119)/O119</f>
        <v>0.39285714285714285</v>
      </c>
      <c r="R212">
        <f>(Q119-R119)/Q119</f>
        <v>0.23076923076923078</v>
      </c>
    </row>
    <row r="213" spans="1:18" x14ac:dyDescent="0.35">
      <c r="A213">
        <f t="shared" si="58"/>
        <v>0</v>
      </c>
      <c r="B213">
        <f t="shared" si="58"/>
        <v>6</v>
      </c>
      <c r="D213">
        <f t="shared" si="59"/>
        <v>9.6774193548387094E-2</v>
      </c>
      <c r="F213">
        <f t="shared" si="60"/>
        <v>0.48275862068965519</v>
      </c>
      <c r="H213">
        <f t="shared" si="61"/>
        <v>4.1666666666666664E-2</v>
      </c>
      <c r="J213">
        <f t="shared" si="62"/>
        <v>0.36666666666666664</v>
      </c>
      <c r="L213">
        <f t="shared" si="63"/>
        <v>0.24242424242424243</v>
      </c>
      <c r="N213">
        <f t="shared" si="64"/>
        <v>0.42857142857142855</v>
      </c>
      <c r="P213">
        <f>(O120-P120)/O120</f>
        <v>0.16666666666666666</v>
      </c>
      <c r="R213">
        <f>(Q120-R120)/Q120</f>
        <v>0.26470588235294118</v>
      </c>
    </row>
    <row r="214" spans="1:18" x14ac:dyDescent="0.35">
      <c r="A214">
        <f t="shared" si="58"/>
        <v>0</v>
      </c>
      <c r="B214">
        <f t="shared" si="58"/>
        <v>7</v>
      </c>
      <c r="D214">
        <f t="shared" si="59"/>
        <v>0.10810810810810811</v>
      </c>
      <c r="F214">
        <f t="shared" si="60"/>
        <v>0.41176470588235292</v>
      </c>
      <c r="H214">
        <f t="shared" si="61"/>
        <v>4.3478260869565216E-2</v>
      </c>
      <c r="J214">
        <f t="shared" si="62"/>
        <v>0.22222222222222221</v>
      </c>
      <c r="L214">
        <f t="shared" si="63"/>
        <v>6.6666666666666666E-2</v>
      </c>
      <c r="N214">
        <f t="shared" si="64"/>
        <v>0.1875</v>
      </c>
      <c r="P214">
        <f>(O121-P121)/O121</f>
        <v>0.36842105263157893</v>
      </c>
    </row>
    <row r="215" spans="1:18" x14ac:dyDescent="0.35">
      <c r="A215">
        <f t="shared" si="58"/>
        <v>0</v>
      </c>
      <c r="B215">
        <f t="shared" si="58"/>
        <v>8</v>
      </c>
      <c r="D215">
        <f t="shared" si="59"/>
        <v>0.5</v>
      </c>
      <c r="F215">
        <f t="shared" si="60"/>
        <v>0.23076923076923078</v>
      </c>
      <c r="H215">
        <f t="shared" si="61"/>
        <v>0.25</v>
      </c>
      <c r="J215">
        <f t="shared" si="62"/>
        <v>0.3235294117647059</v>
      </c>
      <c r="L215">
        <f t="shared" si="63"/>
        <v>0.33333333333333331</v>
      </c>
      <c r="N215">
        <f t="shared" si="64"/>
        <v>-4.3478260869565216E-2</v>
      </c>
      <c r="P215">
        <f>(O122-P122)/O122</f>
        <v>0.31428571428571428</v>
      </c>
      <c r="R215">
        <f>(Q122-R122)/Q122</f>
        <v>0.28125</v>
      </c>
    </row>
    <row r="216" spans="1:18" x14ac:dyDescent="0.35">
      <c r="A216">
        <f t="shared" si="58"/>
        <v>0</v>
      </c>
      <c r="B216">
        <f t="shared" si="58"/>
        <v>9</v>
      </c>
      <c r="D216">
        <f t="shared" si="59"/>
        <v>6.8965517241379309E-2</v>
      </c>
      <c r="F216">
        <f t="shared" si="60"/>
        <v>0.47222222222222221</v>
      </c>
      <c r="H216">
        <f t="shared" si="61"/>
        <v>-0.15625</v>
      </c>
      <c r="J216">
        <f t="shared" si="62"/>
        <v>0.27083333333333331</v>
      </c>
      <c r="L216">
        <f t="shared" si="63"/>
        <v>0.25</v>
      </c>
      <c r="N216">
        <f t="shared" si="64"/>
        <v>-0.12121212121212122</v>
      </c>
      <c r="P216">
        <f>(O123-P123)/O123</f>
        <v>-9.375E-2</v>
      </c>
      <c r="R216">
        <f>(Q123-R123)/Q123</f>
        <v>0.65116279069767447</v>
      </c>
    </row>
    <row r="217" spans="1:18" x14ac:dyDescent="0.35">
      <c r="A217">
        <f t="shared" si="58"/>
        <v>0</v>
      </c>
      <c r="B217">
        <f t="shared" si="58"/>
        <v>10</v>
      </c>
    </row>
    <row r="219" spans="1:18" x14ac:dyDescent="0.35">
      <c r="A219" t="str">
        <f t="shared" ref="A219:B228" si="65">A126</f>
        <v>1 day</v>
      </c>
      <c r="B219">
        <f t="shared" si="65"/>
        <v>1</v>
      </c>
      <c r="D219">
        <f t="shared" ref="D219:D228" si="66">(C126-D126)/C126</f>
        <v>0.26923076923076922</v>
      </c>
      <c r="F219">
        <f t="shared" ref="F219:F228" si="67">(E126-F126)/E126</f>
        <v>0.53333333333333333</v>
      </c>
      <c r="H219">
        <f t="shared" ref="H219:H228" si="68">(G126-H126)/G126</f>
        <v>0.33333333333333331</v>
      </c>
      <c r="J219">
        <f t="shared" ref="J219:J228" si="69">(I126-J126)/I126</f>
        <v>0.35483870967741937</v>
      </c>
      <c r="L219">
        <f t="shared" ref="L219:L228" si="70">(K126-L126)/K126</f>
        <v>0.5</v>
      </c>
      <c r="N219">
        <f t="shared" ref="N219:N228" si="71">(M126-N126)/M126</f>
        <v>0.52941176470588236</v>
      </c>
      <c r="P219">
        <f t="shared" ref="P219:P228" si="72">(O126-P126)/O126</f>
        <v>0.32</v>
      </c>
      <c r="R219">
        <f t="shared" ref="R219:R228" si="73">(Q126-R126)/Q126</f>
        <v>0.33333333333333331</v>
      </c>
    </row>
    <row r="220" spans="1:18" x14ac:dyDescent="0.35">
      <c r="A220">
        <f t="shared" si="65"/>
        <v>0</v>
      </c>
      <c r="B220">
        <f t="shared" si="65"/>
        <v>2</v>
      </c>
      <c r="D220">
        <f t="shared" si="66"/>
        <v>0.30769230769230771</v>
      </c>
      <c r="F220">
        <f t="shared" si="67"/>
        <v>0.38709677419354838</v>
      </c>
      <c r="H220">
        <f t="shared" si="68"/>
        <v>7.6923076923076927E-2</v>
      </c>
      <c r="J220">
        <f t="shared" si="69"/>
        <v>0.1</v>
      </c>
      <c r="L220">
        <f t="shared" si="70"/>
        <v>0.36666666666666664</v>
      </c>
      <c r="N220">
        <f t="shared" si="71"/>
        <v>0.43333333333333335</v>
      </c>
      <c r="P220">
        <f t="shared" si="72"/>
        <v>0.125</v>
      </c>
      <c r="R220">
        <f t="shared" si="73"/>
        <v>0.32142857142857145</v>
      </c>
    </row>
    <row r="221" spans="1:18" x14ac:dyDescent="0.35">
      <c r="A221">
        <f t="shared" si="65"/>
        <v>0</v>
      </c>
      <c r="B221">
        <f t="shared" si="65"/>
        <v>3</v>
      </c>
      <c r="D221">
        <f t="shared" si="66"/>
        <v>0.55882352941176472</v>
      </c>
      <c r="F221">
        <f t="shared" si="67"/>
        <v>0.51282051282051277</v>
      </c>
      <c r="H221">
        <f t="shared" si="68"/>
        <v>0.51162790697674421</v>
      </c>
      <c r="J221">
        <f t="shared" si="69"/>
        <v>0.04</v>
      </c>
      <c r="L221">
        <f t="shared" si="70"/>
        <v>0</v>
      </c>
      <c r="N221">
        <f t="shared" si="71"/>
        <v>0.35483870967741937</v>
      </c>
      <c r="P221">
        <f t="shared" si="72"/>
        <v>0.34482758620689657</v>
      </c>
      <c r="R221">
        <f t="shared" si="73"/>
        <v>0.3</v>
      </c>
    </row>
    <row r="222" spans="1:18" x14ac:dyDescent="0.35">
      <c r="A222">
        <f t="shared" si="65"/>
        <v>0</v>
      </c>
      <c r="B222">
        <f t="shared" si="65"/>
        <v>4</v>
      </c>
      <c r="D222">
        <f t="shared" si="66"/>
        <v>0.34482758620689657</v>
      </c>
      <c r="F222">
        <f t="shared" si="67"/>
        <v>0.4375</v>
      </c>
      <c r="H222">
        <f t="shared" si="68"/>
        <v>0.26666666666666666</v>
      </c>
      <c r="J222">
        <f t="shared" si="69"/>
        <v>0.22580645161290322</v>
      </c>
      <c r="L222">
        <f t="shared" si="70"/>
        <v>4.3478260869565216E-2</v>
      </c>
      <c r="N222">
        <f t="shared" si="71"/>
        <v>0.125</v>
      </c>
      <c r="P222">
        <f t="shared" si="72"/>
        <v>-0.04</v>
      </c>
      <c r="R222">
        <f t="shared" si="73"/>
        <v>0.1951219512195122</v>
      </c>
    </row>
    <row r="223" spans="1:18" x14ac:dyDescent="0.35">
      <c r="A223">
        <f t="shared" si="65"/>
        <v>0</v>
      </c>
      <c r="B223">
        <f t="shared" si="65"/>
        <v>5</v>
      </c>
      <c r="D223">
        <f t="shared" si="66"/>
        <v>0.30303030303030304</v>
      </c>
      <c r="F223">
        <f t="shared" si="67"/>
        <v>0.37037037037037035</v>
      </c>
      <c r="H223">
        <f t="shared" si="68"/>
        <v>0.21428571428571427</v>
      </c>
      <c r="J223">
        <f t="shared" si="69"/>
        <v>0.35294117647058826</v>
      </c>
      <c r="L223">
        <f t="shared" si="70"/>
        <v>-6.4516129032258063E-2</v>
      </c>
      <c r="N223">
        <f t="shared" si="71"/>
        <v>0.38235294117647056</v>
      </c>
      <c r="P223">
        <f t="shared" si="72"/>
        <v>0.27027027027027029</v>
      </c>
      <c r="R223">
        <f t="shared" si="73"/>
        <v>0.31034482758620691</v>
      </c>
    </row>
    <row r="224" spans="1:18" x14ac:dyDescent="0.35">
      <c r="A224">
        <f t="shared" si="65"/>
        <v>0</v>
      </c>
      <c r="B224">
        <f t="shared" si="65"/>
        <v>6</v>
      </c>
      <c r="D224">
        <f t="shared" si="66"/>
        <v>0.18518518518518517</v>
      </c>
      <c r="F224">
        <f t="shared" si="67"/>
        <v>0.29629629629629628</v>
      </c>
      <c r="H224">
        <f t="shared" si="68"/>
        <v>0.36666666666666664</v>
      </c>
      <c r="J224">
        <f t="shared" si="69"/>
        <v>0.21875</v>
      </c>
      <c r="L224">
        <f t="shared" si="70"/>
        <v>0.25</v>
      </c>
      <c r="N224">
        <f t="shared" si="71"/>
        <v>0.48148148148148145</v>
      </c>
      <c r="P224">
        <f t="shared" si="72"/>
        <v>0.30434782608695654</v>
      </c>
      <c r="R224">
        <f t="shared" si="73"/>
        <v>0.29032258064516131</v>
      </c>
    </row>
    <row r="225" spans="1:18" x14ac:dyDescent="0.35">
      <c r="A225">
        <f t="shared" si="65"/>
        <v>0</v>
      </c>
      <c r="B225">
        <f t="shared" si="65"/>
        <v>7</v>
      </c>
      <c r="D225">
        <f t="shared" si="66"/>
        <v>0.48</v>
      </c>
      <c r="F225">
        <f t="shared" si="67"/>
        <v>0.1111111111111111</v>
      </c>
      <c r="H225">
        <f t="shared" si="68"/>
        <v>0.5</v>
      </c>
      <c r="J225">
        <f t="shared" si="69"/>
        <v>0.23529411764705882</v>
      </c>
      <c r="L225">
        <f t="shared" si="70"/>
        <v>0.40625</v>
      </c>
      <c r="N225">
        <f t="shared" si="71"/>
        <v>0.29729729729729731</v>
      </c>
      <c r="P225">
        <f t="shared" si="72"/>
        <v>0.47058823529411764</v>
      </c>
      <c r="R225">
        <f t="shared" si="73"/>
        <v>0.28947368421052633</v>
      </c>
    </row>
    <row r="226" spans="1:18" x14ac:dyDescent="0.35">
      <c r="A226">
        <f t="shared" si="65"/>
        <v>0</v>
      </c>
      <c r="B226">
        <f t="shared" si="65"/>
        <v>8</v>
      </c>
      <c r="D226">
        <f t="shared" si="66"/>
        <v>0.5161290322580645</v>
      </c>
      <c r="F226">
        <f t="shared" si="67"/>
        <v>0.5</v>
      </c>
      <c r="H226">
        <f t="shared" si="68"/>
        <v>0.55263157894736847</v>
      </c>
      <c r="J226">
        <f t="shared" si="69"/>
        <v>0.15151515151515152</v>
      </c>
      <c r="L226">
        <f t="shared" si="70"/>
        <v>0.1875</v>
      </c>
      <c r="N226">
        <f t="shared" si="71"/>
        <v>0.37142857142857144</v>
      </c>
      <c r="P226">
        <f t="shared" si="72"/>
        <v>0.13793103448275862</v>
      </c>
      <c r="R226">
        <f t="shared" si="73"/>
        <v>0.45</v>
      </c>
    </row>
    <row r="227" spans="1:18" x14ac:dyDescent="0.35">
      <c r="A227">
        <f t="shared" si="65"/>
        <v>0</v>
      </c>
      <c r="B227">
        <f t="shared" si="65"/>
        <v>9</v>
      </c>
      <c r="D227">
        <f t="shared" si="66"/>
        <v>0.34615384615384615</v>
      </c>
      <c r="F227">
        <f t="shared" si="67"/>
        <v>0.26470588235294118</v>
      </c>
      <c r="H227">
        <f t="shared" si="68"/>
        <v>8.3333333333333329E-2</v>
      </c>
      <c r="J227">
        <f t="shared" si="69"/>
        <v>0.31428571428571428</v>
      </c>
      <c r="L227">
        <f t="shared" si="70"/>
        <v>0.45945945945945948</v>
      </c>
      <c r="N227">
        <f t="shared" si="71"/>
        <v>0.4</v>
      </c>
      <c r="P227">
        <f t="shared" si="72"/>
        <v>0.32258064516129031</v>
      </c>
      <c r="R227">
        <f t="shared" si="73"/>
        <v>0</v>
      </c>
    </row>
    <row r="228" spans="1:18" x14ac:dyDescent="0.35">
      <c r="A228">
        <f t="shared" si="65"/>
        <v>0</v>
      </c>
      <c r="B228">
        <f t="shared" si="65"/>
        <v>10</v>
      </c>
      <c r="D228">
        <f t="shared" si="66"/>
        <v>0.5</v>
      </c>
      <c r="F228">
        <f t="shared" si="67"/>
        <v>0.52083333333333337</v>
      </c>
      <c r="H228">
        <f t="shared" si="68"/>
        <v>0.29032258064516131</v>
      </c>
      <c r="J228">
        <f t="shared" si="69"/>
        <v>0.3902439024390244</v>
      </c>
      <c r="L228">
        <f t="shared" si="70"/>
        <v>0.36363636363636365</v>
      </c>
      <c r="N228">
        <f t="shared" si="71"/>
        <v>0.29032258064516131</v>
      </c>
      <c r="P228">
        <f t="shared" si="72"/>
        <v>0</v>
      </c>
      <c r="R228">
        <f t="shared" si="73"/>
        <v>0.23333333333333334</v>
      </c>
    </row>
    <row r="230" spans="1:18" x14ac:dyDescent="0.35">
      <c r="A230" t="str">
        <f t="shared" ref="A230:B239" si="74">A137</f>
        <v>2 days</v>
      </c>
      <c r="B230">
        <f t="shared" si="74"/>
        <v>1</v>
      </c>
      <c r="D230">
        <f t="shared" ref="D230:D239" si="75">(C137-D137)/C137</f>
        <v>0.40625</v>
      </c>
      <c r="F230">
        <f t="shared" ref="F230:F239" si="76">(E137-F137)/E137</f>
        <v>0.38235294117647056</v>
      </c>
      <c r="H230">
        <f t="shared" ref="H230:H239" si="77">(G137-H137)/G137</f>
        <v>0.12</v>
      </c>
      <c r="J230">
        <f t="shared" ref="J230:J239" si="78">(I137-J137)/I137</f>
        <v>-4.3478260869565216E-2</v>
      </c>
      <c r="L230">
        <f t="shared" ref="L230:L239" si="79">(K137-L137)/K137</f>
        <v>0.27586206896551724</v>
      </c>
      <c r="N230">
        <f t="shared" ref="N230:N239" si="80">(M137-N137)/M137</f>
        <v>0.54545454545454541</v>
      </c>
      <c r="P230">
        <f t="shared" ref="P230:P239" si="81">(O137-P137)/O137</f>
        <v>0.30769230769230771</v>
      </c>
      <c r="R230">
        <f t="shared" ref="R230:R239" si="82">(Q137-R137)/Q137</f>
        <v>0.42857142857142855</v>
      </c>
    </row>
    <row r="231" spans="1:18" x14ac:dyDescent="0.35">
      <c r="A231">
        <f t="shared" si="74"/>
        <v>0</v>
      </c>
      <c r="B231">
        <f t="shared" si="74"/>
        <v>2</v>
      </c>
      <c r="D231">
        <f t="shared" si="75"/>
        <v>-3.7037037037037035E-2</v>
      </c>
      <c r="F231">
        <f t="shared" si="76"/>
        <v>0.26923076923076922</v>
      </c>
      <c r="H231">
        <f t="shared" si="77"/>
        <v>0.18518518518518517</v>
      </c>
      <c r="J231">
        <f t="shared" si="78"/>
        <v>0.12</v>
      </c>
      <c r="L231">
        <f t="shared" si="79"/>
        <v>0.31111111111111112</v>
      </c>
      <c r="N231">
        <f t="shared" si="80"/>
        <v>0.36</v>
      </c>
      <c r="P231">
        <f t="shared" si="81"/>
        <v>-3.5714285714285712E-2</v>
      </c>
      <c r="R231">
        <f t="shared" si="82"/>
        <v>0.42857142857142855</v>
      </c>
    </row>
    <row r="232" spans="1:18" x14ac:dyDescent="0.35">
      <c r="A232">
        <f t="shared" si="74"/>
        <v>0</v>
      </c>
      <c r="B232">
        <f t="shared" si="74"/>
        <v>3</v>
      </c>
      <c r="D232">
        <f t="shared" si="75"/>
        <v>0.1388888888888889</v>
      </c>
      <c r="F232">
        <f t="shared" si="76"/>
        <v>-6.25E-2</v>
      </c>
      <c r="H232">
        <f t="shared" si="77"/>
        <v>0.23333333333333334</v>
      </c>
      <c r="J232">
        <f t="shared" si="78"/>
        <v>0.25806451612903225</v>
      </c>
      <c r="L232">
        <f t="shared" si="79"/>
        <v>0.17241379310344829</v>
      </c>
      <c r="N232">
        <f t="shared" si="80"/>
        <v>0.29032258064516131</v>
      </c>
      <c r="P232">
        <f t="shared" si="81"/>
        <v>0.2857142857142857</v>
      </c>
      <c r="R232">
        <f t="shared" si="82"/>
        <v>0.30555555555555558</v>
      </c>
    </row>
    <row r="233" spans="1:18" x14ac:dyDescent="0.35">
      <c r="A233">
        <f t="shared" si="74"/>
        <v>0</v>
      </c>
      <c r="B233">
        <f t="shared" si="74"/>
        <v>4</v>
      </c>
      <c r="D233">
        <f t="shared" si="75"/>
        <v>0.26923076923076922</v>
      </c>
      <c r="F233">
        <f t="shared" si="76"/>
        <v>0.1875</v>
      </c>
      <c r="H233">
        <f t="shared" si="77"/>
        <v>0.58695652173913049</v>
      </c>
      <c r="J233">
        <f t="shared" si="78"/>
        <v>7.1428571428571425E-2</v>
      </c>
      <c r="L233">
        <f t="shared" si="79"/>
        <v>0.1</v>
      </c>
      <c r="N233">
        <f t="shared" si="80"/>
        <v>0.35897435897435898</v>
      </c>
      <c r="P233">
        <f t="shared" si="81"/>
        <v>0.22580645161290322</v>
      </c>
      <c r="R233">
        <f t="shared" si="82"/>
        <v>0.40540540540540543</v>
      </c>
    </row>
    <row r="234" spans="1:18" x14ac:dyDescent="0.35">
      <c r="A234">
        <f t="shared" si="74"/>
        <v>0</v>
      </c>
      <c r="B234">
        <f t="shared" si="74"/>
        <v>5</v>
      </c>
      <c r="D234">
        <f t="shared" si="75"/>
        <v>0.30434782608695654</v>
      </c>
      <c r="F234">
        <f t="shared" si="76"/>
        <v>0.13333333333333333</v>
      </c>
      <c r="H234">
        <f t="shared" si="77"/>
        <v>0.18421052631578946</v>
      </c>
      <c r="J234">
        <f t="shared" si="78"/>
        <v>7.407407407407407E-2</v>
      </c>
      <c r="L234">
        <f t="shared" si="79"/>
        <v>0.20588235294117646</v>
      </c>
      <c r="N234">
        <f t="shared" si="80"/>
        <v>3.0303030303030304E-2</v>
      </c>
      <c r="P234">
        <f t="shared" si="81"/>
        <v>0.47727272727272729</v>
      </c>
      <c r="R234">
        <f t="shared" si="82"/>
        <v>-0.16</v>
      </c>
    </row>
    <row r="235" spans="1:18" x14ac:dyDescent="0.35">
      <c r="A235">
        <f t="shared" si="74"/>
        <v>0</v>
      </c>
      <c r="B235">
        <f t="shared" si="74"/>
        <v>6</v>
      </c>
      <c r="D235">
        <f t="shared" si="75"/>
        <v>0.44117647058823528</v>
      </c>
      <c r="F235">
        <f t="shared" si="76"/>
        <v>0</v>
      </c>
      <c r="H235">
        <f t="shared" si="77"/>
        <v>0.22222222222222221</v>
      </c>
      <c r="J235">
        <f t="shared" si="78"/>
        <v>0.34482758620689657</v>
      </c>
      <c r="L235">
        <f t="shared" si="79"/>
        <v>-0.12903225806451613</v>
      </c>
      <c r="N235">
        <f t="shared" si="80"/>
        <v>0.26666666666666666</v>
      </c>
      <c r="P235">
        <f t="shared" si="81"/>
        <v>2.8571428571428571E-2</v>
      </c>
      <c r="R235">
        <f t="shared" si="82"/>
        <v>0.30232558139534882</v>
      </c>
    </row>
    <row r="236" spans="1:18" x14ac:dyDescent="0.35">
      <c r="A236">
        <f t="shared" si="74"/>
        <v>0</v>
      </c>
      <c r="B236">
        <f t="shared" si="74"/>
        <v>7</v>
      </c>
      <c r="D236">
        <f t="shared" si="75"/>
        <v>0.43333333333333335</v>
      </c>
      <c r="F236">
        <f t="shared" si="76"/>
        <v>3.5714285714285712E-2</v>
      </c>
      <c r="H236">
        <f t="shared" si="77"/>
        <v>0.30769230769230771</v>
      </c>
      <c r="J236">
        <f t="shared" si="78"/>
        <v>9.6774193548387094E-2</v>
      </c>
      <c r="L236">
        <f t="shared" si="79"/>
        <v>0.17647058823529413</v>
      </c>
      <c r="N236">
        <f t="shared" si="80"/>
        <v>0.18181818181818182</v>
      </c>
      <c r="P236">
        <f t="shared" si="81"/>
        <v>0.37142857142857144</v>
      </c>
      <c r="R236">
        <f t="shared" si="82"/>
        <v>0.43243243243243246</v>
      </c>
    </row>
    <row r="237" spans="1:18" x14ac:dyDescent="0.35">
      <c r="A237">
        <f t="shared" si="74"/>
        <v>0</v>
      </c>
      <c r="B237">
        <f t="shared" si="74"/>
        <v>8</v>
      </c>
      <c r="D237">
        <f t="shared" si="75"/>
        <v>0.15909090909090909</v>
      </c>
      <c r="F237">
        <f t="shared" si="76"/>
        <v>0.41935483870967744</v>
      </c>
      <c r="H237">
        <f t="shared" si="77"/>
        <v>0.51111111111111107</v>
      </c>
      <c r="J237">
        <f t="shared" si="78"/>
        <v>3.125E-2</v>
      </c>
      <c r="L237">
        <f t="shared" si="79"/>
        <v>0.17857142857142858</v>
      </c>
      <c r="N237">
        <f t="shared" si="80"/>
        <v>0.2</v>
      </c>
      <c r="P237">
        <f t="shared" si="81"/>
        <v>0.32258064516129031</v>
      </c>
      <c r="R237">
        <f t="shared" si="82"/>
        <v>0.26666666666666666</v>
      </c>
    </row>
    <row r="238" spans="1:18" x14ac:dyDescent="0.35">
      <c r="A238">
        <f t="shared" si="74"/>
        <v>0</v>
      </c>
      <c r="B238">
        <f t="shared" si="74"/>
        <v>9</v>
      </c>
      <c r="D238">
        <f t="shared" si="75"/>
        <v>-0.19047619047619047</v>
      </c>
      <c r="F238">
        <f t="shared" si="76"/>
        <v>0.35483870967741937</v>
      </c>
      <c r="H238">
        <f t="shared" si="77"/>
        <v>0.375</v>
      </c>
      <c r="J238">
        <f t="shared" si="78"/>
        <v>0.30555555555555558</v>
      </c>
      <c r="L238">
        <f t="shared" si="79"/>
        <v>0</v>
      </c>
      <c r="N238">
        <f t="shared" si="80"/>
        <v>8.5714285714285715E-2</v>
      </c>
      <c r="P238">
        <f t="shared" si="81"/>
        <v>0.33333333333333331</v>
      </c>
      <c r="R238">
        <f t="shared" si="82"/>
        <v>0.12</v>
      </c>
    </row>
    <row r="239" spans="1:18" x14ac:dyDescent="0.35">
      <c r="A239">
        <f t="shared" si="74"/>
        <v>0</v>
      </c>
      <c r="B239">
        <f t="shared" si="74"/>
        <v>10</v>
      </c>
      <c r="D239">
        <f t="shared" si="75"/>
        <v>0.12</v>
      </c>
      <c r="F239">
        <f t="shared" si="76"/>
        <v>2.9411764705882353E-2</v>
      </c>
      <c r="H239">
        <f t="shared" si="77"/>
        <v>0.24242424242424243</v>
      </c>
      <c r="J239">
        <f t="shared" si="78"/>
        <v>0.61764705882352944</v>
      </c>
      <c r="L239">
        <f t="shared" si="79"/>
        <v>-7.1428571428571425E-2</v>
      </c>
      <c r="N239">
        <f t="shared" si="80"/>
        <v>6.25E-2</v>
      </c>
      <c r="P239">
        <f t="shared" si="81"/>
        <v>0.31818181818181818</v>
      </c>
      <c r="R239">
        <f t="shared" si="82"/>
        <v>0.08</v>
      </c>
    </row>
    <row r="241" spans="1:18" x14ac:dyDescent="0.35">
      <c r="A241" t="str">
        <f t="shared" ref="A241:B250" si="83">A148</f>
        <v>6 days</v>
      </c>
      <c r="B241">
        <f t="shared" si="83"/>
        <v>1</v>
      </c>
      <c r="D241">
        <f t="shared" ref="D241:D250" si="84">(C148-D148)/C148</f>
        <v>0.17647058823529413</v>
      </c>
      <c r="F241">
        <f t="shared" ref="F241:F250" si="85">(E148-F148)/E148</f>
        <v>0.29411764705882354</v>
      </c>
      <c r="H241">
        <f t="shared" ref="H241:H250" si="86">(G148-H148)/G148</f>
        <v>0.4</v>
      </c>
      <c r="J241">
        <f t="shared" ref="J241:J250" si="87">(I148-J148)/I148</f>
        <v>0.33333333333333331</v>
      </c>
      <c r="L241">
        <f t="shared" ref="L241:L250" si="88">(K148-L148)/K148</f>
        <v>-0.16666666666666666</v>
      </c>
      <c r="N241">
        <f t="shared" ref="N241:N250" si="89">(M148-N148)/M148</f>
        <v>0.25</v>
      </c>
      <c r="P241">
        <f t="shared" ref="P241:P250" si="90">(O148-P148)/O148</f>
        <v>0.10714285714285714</v>
      </c>
      <c r="R241">
        <f t="shared" ref="R241:R250" si="91">(Q148-R148)/Q148</f>
        <v>0.24242424242424243</v>
      </c>
    </row>
    <row r="242" spans="1:18" x14ac:dyDescent="0.35">
      <c r="A242">
        <f t="shared" si="83"/>
        <v>0</v>
      </c>
      <c r="B242">
        <f t="shared" si="83"/>
        <v>2</v>
      </c>
      <c r="D242">
        <f t="shared" si="84"/>
        <v>3.5714285714285712E-2</v>
      </c>
      <c r="F242">
        <f t="shared" si="85"/>
        <v>0.1111111111111111</v>
      </c>
      <c r="H242">
        <f t="shared" si="86"/>
        <v>6.8965517241379309E-2</v>
      </c>
      <c r="J242">
        <f t="shared" si="87"/>
        <v>0</v>
      </c>
      <c r="L242">
        <f t="shared" si="88"/>
        <v>0.22222222222222221</v>
      </c>
      <c r="N242">
        <f t="shared" si="89"/>
        <v>0</v>
      </c>
      <c r="P242">
        <f t="shared" si="90"/>
        <v>-0.38095238095238093</v>
      </c>
      <c r="R242">
        <f t="shared" si="91"/>
        <v>0.35483870967741937</v>
      </c>
    </row>
    <row r="243" spans="1:18" x14ac:dyDescent="0.35">
      <c r="A243">
        <f t="shared" si="83"/>
        <v>0</v>
      </c>
      <c r="B243">
        <f t="shared" si="83"/>
        <v>3</v>
      </c>
      <c r="D243">
        <f t="shared" si="84"/>
        <v>-2.7777777777777776E-2</v>
      </c>
      <c r="F243">
        <f t="shared" si="85"/>
        <v>0.25</v>
      </c>
      <c r="H243">
        <f t="shared" si="86"/>
        <v>0.20689655172413793</v>
      </c>
      <c r="J243">
        <f t="shared" si="87"/>
        <v>0.13793103448275862</v>
      </c>
      <c r="L243">
        <f t="shared" si="88"/>
        <v>8.6956521739130432E-2</v>
      </c>
      <c r="N243">
        <f t="shared" si="89"/>
        <v>-0.76</v>
      </c>
      <c r="P243">
        <f t="shared" si="90"/>
        <v>0.33333333333333331</v>
      </c>
      <c r="R243">
        <f t="shared" si="91"/>
        <v>0.34375</v>
      </c>
    </row>
    <row r="244" spans="1:18" x14ac:dyDescent="0.35">
      <c r="A244">
        <f t="shared" si="83"/>
        <v>0</v>
      </c>
      <c r="B244">
        <f t="shared" si="83"/>
        <v>4</v>
      </c>
      <c r="D244">
        <f t="shared" si="84"/>
        <v>0.19354838709677419</v>
      </c>
      <c r="F244">
        <f t="shared" si="85"/>
        <v>0.27777777777777779</v>
      </c>
      <c r="H244">
        <f t="shared" si="86"/>
        <v>0.15384615384615385</v>
      </c>
      <c r="J244">
        <f t="shared" si="87"/>
        <v>0.15789473684210525</v>
      </c>
      <c r="L244">
        <f t="shared" si="88"/>
        <v>3.4482758620689655E-2</v>
      </c>
      <c r="N244">
        <f t="shared" si="89"/>
        <v>-6.25E-2</v>
      </c>
      <c r="P244">
        <f t="shared" si="90"/>
        <v>-0.15789473684210525</v>
      </c>
      <c r="R244">
        <f t="shared" si="91"/>
        <v>-6.8965517241379309E-2</v>
      </c>
    </row>
    <row r="245" spans="1:18" x14ac:dyDescent="0.35">
      <c r="A245">
        <f t="shared" si="83"/>
        <v>0</v>
      </c>
      <c r="B245">
        <f t="shared" si="83"/>
        <v>5</v>
      </c>
      <c r="D245">
        <f t="shared" si="84"/>
        <v>0.3235294117647059</v>
      </c>
      <c r="F245">
        <f t="shared" si="85"/>
        <v>0.19565217391304349</v>
      </c>
      <c r="H245">
        <f t="shared" si="86"/>
        <v>-7.1428571428571425E-2</v>
      </c>
      <c r="J245">
        <f t="shared" si="87"/>
        <v>0.26315789473684209</v>
      </c>
      <c r="L245">
        <f t="shared" si="88"/>
        <v>0.27777777777777779</v>
      </c>
      <c r="N245">
        <f t="shared" si="89"/>
        <v>0.19047619047619047</v>
      </c>
      <c r="P245">
        <f t="shared" si="90"/>
        <v>0.23529411764705882</v>
      </c>
      <c r="R245">
        <f t="shared" si="91"/>
        <v>-0.33333333333333331</v>
      </c>
    </row>
    <row r="246" spans="1:18" x14ac:dyDescent="0.35">
      <c r="A246">
        <f t="shared" si="83"/>
        <v>0</v>
      </c>
      <c r="B246">
        <f t="shared" si="83"/>
        <v>6</v>
      </c>
      <c r="D246">
        <f t="shared" si="84"/>
        <v>-0.18181818181818182</v>
      </c>
      <c r="F246">
        <f t="shared" si="85"/>
        <v>6.6666666666666666E-2</v>
      </c>
      <c r="H246">
        <f t="shared" si="86"/>
        <v>0.33333333333333331</v>
      </c>
      <c r="J246">
        <f t="shared" si="87"/>
        <v>0.08</v>
      </c>
      <c r="L246">
        <f t="shared" si="88"/>
        <v>7.1428571428571425E-2</v>
      </c>
      <c r="N246">
        <f t="shared" si="89"/>
        <v>7.6923076923076927E-2</v>
      </c>
      <c r="P246">
        <f t="shared" si="90"/>
        <v>0.08</v>
      </c>
      <c r="R246">
        <f t="shared" si="91"/>
        <v>0.27272727272727271</v>
      </c>
    </row>
    <row r="247" spans="1:18" x14ac:dyDescent="0.35">
      <c r="A247">
        <f t="shared" si="83"/>
        <v>0</v>
      </c>
      <c r="B247">
        <f t="shared" si="83"/>
        <v>7</v>
      </c>
      <c r="D247">
        <f t="shared" si="84"/>
        <v>0.58064516129032262</v>
      </c>
      <c r="F247">
        <f t="shared" si="85"/>
        <v>9.375E-2</v>
      </c>
      <c r="H247">
        <f t="shared" si="86"/>
        <v>0.2</v>
      </c>
      <c r="J247">
        <f t="shared" si="87"/>
        <v>0.34482758620689657</v>
      </c>
      <c r="L247">
        <f t="shared" si="88"/>
        <v>6.6666666666666666E-2</v>
      </c>
      <c r="N247">
        <f t="shared" si="89"/>
        <v>-7.6923076923076927E-2</v>
      </c>
      <c r="P247">
        <f t="shared" si="90"/>
        <v>0.29629629629629628</v>
      </c>
      <c r="R247">
        <f t="shared" si="91"/>
        <v>0</v>
      </c>
    </row>
    <row r="248" spans="1:18" x14ac:dyDescent="0.35">
      <c r="A248">
        <f t="shared" si="83"/>
        <v>0</v>
      </c>
      <c r="B248">
        <f t="shared" si="83"/>
        <v>8</v>
      </c>
      <c r="D248">
        <f t="shared" si="84"/>
        <v>0.29411764705882354</v>
      </c>
      <c r="F248">
        <f t="shared" si="85"/>
        <v>0.35714285714285715</v>
      </c>
      <c r="H248">
        <f t="shared" si="86"/>
        <v>-3.0303030303030304E-2</v>
      </c>
      <c r="J248">
        <f t="shared" si="87"/>
        <v>6.4516129032258063E-2</v>
      </c>
      <c r="L248">
        <f t="shared" si="88"/>
        <v>0.41463414634146339</v>
      </c>
      <c r="N248">
        <f t="shared" si="89"/>
        <v>-0.28125</v>
      </c>
      <c r="P248">
        <f t="shared" si="90"/>
        <v>-0.35714285714285715</v>
      </c>
      <c r="R248">
        <f t="shared" si="91"/>
        <v>0.41176470588235292</v>
      </c>
    </row>
    <row r="249" spans="1:18" x14ac:dyDescent="0.35">
      <c r="A249">
        <f t="shared" si="83"/>
        <v>0</v>
      </c>
      <c r="B249">
        <f t="shared" si="83"/>
        <v>9</v>
      </c>
      <c r="D249">
        <f t="shared" si="84"/>
        <v>0.3902439024390244</v>
      </c>
      <c r="F249">
        <f t="shared" si="85"/>
        <v>0.52941176470588236</v>
      </c>
      <c r="H249">
        <f t="shared" si="86"/>
        <v>3.125E-2</v>
      </c>
      <c r="J249">
        <f t="shared" si="87"/>
        <v>0.14705882352941177</v>
      </c>
      <c r="L249">
        <f t="shared" si="88"/>
        <v>0.37037037037037035</v>
      </c>
      <c r="N249">
        <f t="shared" si="89"/>
        <v>0.24242424242424243</v>
      </c>
      <c r="P249">
        <f t="shared" si="90"/>
        <v>0.36956521739130432</v>
      </c>
      <c r="R249">
        <f t="shared" si="91"/>
        <v>0.28125</v>
      </c>
    </row>
    <row r="250" spans="1:18" x14ac:dyDescent="0.35">
      <c r="A250">
        <f t="shared" si="83"/>
        <v>0</v>
      </c>
      <c r="B250">
        <f t="shared" si="83"/>
        <v>10</v>
      </c>
      <c r="D250">
        <f t="shared" si="84"/>
        <v>0.18181818181818182</v>
      </c>
      <c r="F250">
        <f t="shared" si="85"/>
        <v>0.61904761904761907</v>
      </c>
      <c r="H250">
        <f t="shared" si="86"/>
        <v>0.44117647058823528</v>
      </c>
      <c r="J250">
        <f t="shared" si="87"/>
        <v>0.12903225806451613</v>
      </c>
      <c r="L250">
        <f t="shared" si="88"/>
        <v>0.12</v>
      </c>
      <c r="N250">
        <f t="shared" si="89"/>
        <v>0.17241379310344829</v>
      </c>
      <c r="P250">
        <f t="shared" si="90"/>
        <v>0.29032258064516131</v>
      </c>
      <c r="R250">
        <f t="shared" si="91"/>
        <v>0.48484848484848486</v>
      </c>
    </row>
    <row r="252" spans="1:18" x14ac:dyDescent="0.35">
      <c r="A252" t="str">
        <f t="shared" ref="A252:B261" si="92">A159</f>
        <v>31 days</v>
      </c>
      <c r="B252">
        <f t="shared" si="92"/>
        <v>1</v>
      </c>
      <c r="D252">
        <f t="shared" ref="D252:D261" si="93">(C159-D159)/C159</f>
        <v>-0.32</v>
      </c>
      <c r="F252">
        <f t="shared" ref="F252:F261" si="94">(E159-F159)/E159</f>
        <v>0.25806451612903225</v>
      </c>
      <c r="H252">
        <f t="shared" ref="H252:H261" si="95">(G159-H159)/G159</f>
        <v>-0.13636363636363635</v>
      </c>
      <c r="J252">
        <f t="shared" ref="J252:J261" si="96">(I159-J159)/I159</f>
        <v>3.5714285714285712E-2</v>
      </c>
      <c r="L252">
        <f t="shared" ref="L252:L260" si="97">(K159-L159)/K159</f>
        <v>0.16666666666666666</v>
      </c>
      <c r="N252">
        <f t="shared" ref="N252:N261" si="98">(M159-N159)/M159</f>
        <v>-0.14285714285714285</v>
      </c>
      <c r="P252">
        <f>(O159-P159)/O159</f>
        <v>0.22222222222222221</v>
      </c>
    </row>
    <row r="253" spans="1:18" x14ac:dyDescent="0.35">
      <c r="A253">
        <f t="shared" si="92"/>
        <v>0</v>
      </c>
      <c r="B253">
        <f t="shared" si="92"/>
        <v>2</v>
      </c>
      <c r="D253">
        <f t="shared" si="93"/>
        <v>8.8235294117647065E-2</v>
      </c>
      <c r="F253">
        <f t="shared" si="94"/>
        <v>0.10714285714285714</v>
      </c>
      <c r="H253">
        <f t="shared" si="95"/>
        <v>0.125</v>
      </c>
      <c r="J253">
        <f t="shared" si="96"/>
        <v>8.3333333333333329E-2</v>
      </c>
      <c r="L253">
        <f t="shared" si="97"/>
        <v>-8.3333333333333329E-2</v>
      </c>
      <c r="N253">
        <f t="shared" si="98"/>
        <v>0</v>
      </c>
      <c r="P253">
        <f>(O160-P160)/O160</f>
        <v>-0.14814814814814814</v>
      </c>
      <c r="R253">
        <f>(Q160-R160)/Q160</f>
        <v>0.36666666666666664</v>
      </c>
    </row>
    <row r="254" spans="1:18" x14ac:dyDescent="0.35">
      <c r="A254">
        <f t="shared" si="92"/>
        <v>0</v>
      </c>
      <c r="B254">
        <f t="shared" si="92"/>
        <v>3</v>
      </c>
      <c r="D254">
        <f t="shared" si="93"/>
        <v>-8.3333333333333329E-2</v>
      </c>
      <c r="F254">
        <f t="shared" si="94"/>
        <v>0.25714285714285712</v>
      </c>
      <c r="H254">
        <f t="shared" si="95"/>
        <v>0.42424242424242425</v>
      </c>
      <c r="J254">
        <f t="shared" si="96"/>
        <v>0.29411764705882354</v>
      </c>
      <c r="L254">
        <f t="shared" si="97"/>
        <v>-0.19230769230769232</v>
      </c>
      <c r="N254">
        <f t="shared" si="98"/>
        <v>0.26666666666666666</v>
      </c>
      <c r="P254">
        <f>(O161-P161)/O161</f>
        <v>-0.2857142857142857</v>
      </c>
      <c r="R254">
        <f>(Q161-R161)/Q161</f>
        <v>0.2857142857142857</v>
      </c>
    </row>
    <row r="255" spans="1:18" x14ac:dyDescent="0.35">
      <c r="A255">
        <f t="shared" si="92"/>
        <v>0</v>
      </c>
      <c r="B255">
        <f t="shared" si="92"/>
        <v>4</v>
      </c>
      <c r="D255">
        <f t="shared" si="93"/>
        <v>-7.1428571428571425E-2</v>
      </c>
      <c r="F255">
        <f t="shared" si="94"/>
        <v>-0.13043478260869565</v>
      </c>
      <c r="H255">
        <f t="shared" si="95"/>
        <v>-9.6774193548387094E-2</v>
      </c>
      <c r="J255">
        <f t="shared" si="96"/>
        <v>-1.3</v>
      </c>
      <c r="L255">
        <f t="shared" si="97"/>
        <v>-8.3333333333333329E-2</v>
      </c>
      <c r="N255">
        <f t="shared" si="98"/>
        <v>-0.17241379310344829</v>
      </c>
    </row>
    <row r="256" spans="1:18" x14ac:dyDescent="0.35">
      <c r="A256">
        <f t="shared" si="92"/>
        <v>0</v>
      </c>
      <c r="B256">
        <f t="shared" si="92"/>
        <v>5</v>
      </c>
      <c r="D256">
        <f t="shared" si="93"/>
        <v>-6.4516129032258063E-2</v>
      </c>
      <c r="F256">
        <f t="shared" si="94"/>
        <v>7.1428571428571425E-2</v>
      </c>
      <c r="H256">
        <f t="shared" si="95"/>
        <v>-0.2</v>
      </c>
      <c r="J256">
        <f t="shared" si="96"/>
        <v>-7.6923076923076927E-2</v>
      </c>
      <c r="L256">
        <f t="shared" si="97"/>
        <v>-0.10714285714285714</v>
      </c>
      <c r="N256">
        <f t="shared" si="98"/>
        <v>0</v>
      </c>
      <c r="P256">
        <f>(O163-P163)/O163</f>
        <v>-0.11538461538461539</v>
      </c>
      <c r="R256">
        <f>(Q163-R163)/Q163</f>
        <v>-0.13333333333333333</v>
      </c>
    </row>
    <row r="257" spans="1:18" x14ac:dyDescent="0.35">
      <c r="A257">
        <f t="shared" si="92"/>
        <v>0</v>
      </c>
      <c r="B257">
        <f t="shared" si="92"/>
        <v>6</v>
      </c>
      <c r="D257">
        <f t="shared" si="93"/>
        <v>0.11428571428571428</v>
      </c>
      <c r="F257">
        <f t="shared" si="94"/>
        <v>0.23684210526315788</v>
      </c>
      <c r="H257">
        <f t="shared" si="95"/>
        <v>3.2258064516129031E-2</v>
      </c>
      <c r="J257">
        <f t="shared" si="96"/>
        <v>3.3333333333333333E-2</v>
      </c>
      <c r="L257">
        <f t="shared" si="97"/>
        <v>-0.1111111111111111</v>
      </c>
      <c r="N257">
        <f t="shared" si="98"/>
        <v>0.18181818181818182</v>
      </c>
      <c r="P257">
        <f>(O164-P164)/O164</f>
        <v>-0.10714285714285714</v>
      </c>
      <c r="R257">
        <f>(Q164-R164)/Q164</f>
        <v>3.2258064516129031E-2</v>
      </c>
    </row>
    <row r="258" spans="1:18" x14ac:dyDescent="0.35">
      <c r="A258">
        <f t="shared" si="92"/>
        <v>0</v>
      </c>
      <c r="B258">
        <f t="shared" si="92"/>
        <v>7</v>
      </c>
      <c r="D258">
        <f t="shared" si="93"/>
        <v>0.32258064516129031</v>
      </c>
      <c r="F258">
        <f t="shared" si="94"/>
        <v>-0.22222222222222221</v>
      </c>
      <c r="H258">
        <f t="shared" si="95"/>
        <v>0.11764705882352941</v>
      </c>
      <c r="J258">
        <f t="shared" si="96"/>
        <v>8.5714285714285715E-2</v>
      </c>
      <c r="L258">
        <f t="shared" si="97"/>
        <v>-0.33333333333333331</v>
      </c>
      <c r="N258">
        <f t="shared" si="98"/>
        <v>-0.18518518518518517</v>
      </c>
      <c r="P258">
        <f>(O165-P165)/O165</f>
        <v>0.32258064516129031</v>
      </c>
      <c r="R258">
        <f>(Q165-R165)/Q165</f>
        <v>2.8571428571428571E-2</v>
      </c>
    </row>
    <row r="259" spans="1:18" x14ac:dyDescent="0.35">
      <c r="A259">
        <f t="shared" si="92"/>
        <v>0</v>
      </c>
      <c r="B259">
        <f t="shared" si="92"/>
        <v>8</v>
      </c>
      <c r="D259">
        <f t="shared" si="93"/>
        <v>0.3125</v>
      </c>
      <c r="F259">
        <f t="shared" si="94"/>
        <v>0.31578947368421051</v>
      </c>
      <c r="H259">
        <f t="shared" si="95"/>
        <v>0.17142857142857143</v>
      </c>
      <c r="J259">
        <f t="shared" si="96"/>
        <v>0.23076923076923078</v>
      </c>
      <c r="L259">
        <f t="shared" si="97"/>
        <v>0.44444444444444442</v>
      </c>
      <c r="N259">
        <f t="shared" si="98"/>
        <v>-2.9411764705882353E-2</v>
      </c>
      <c r="P259">
        <f>(O166-P166)/O166</f>
        <v>0.33333333333333331</v>
      </c>
      <c r="R259">
        <f>(Q166-R166)/Q166</f>
        <v>3.5714285714285712E-2</v>
      </c>
    </row>
    <row r="260" spans="1:18" x14ac:dyDescent="0.35">
      <c r="A260">
        <f t="shared" si="92"/>
        <v>0</v>
      </c>
      <c r="B260">
        <f t="shared" si="92"/>
        <v>9</v>
      </c>
      <c r="D260">
        <f t="shared" si="93"/>
        <v>0.2413793103448276</v>
      </c>
      <c r="F260">
        <f t="shared" si="94"/>
        <v>-3.5714285714285712E-2</v>
      </c>
      <c r="H260">
        <f t="shared" si="95"/>
        <v>0.22222222222222221</v>
      </c>
      <c r="J260">
        <f t="shared" si="96"/>
        <v>-0.39130434782608697</v>
      </c>
      <c r="L260">
        <f t="shared" si="97"/>
        <v>0.22580645161290322</v>
      </c>
      <c r="N260">
        <f t="shared" si="98"/>
        <v>-0.16666666666666666</v>
      </c>
    </row>
    <row r="261" spans="1:18" x14ac:dyDescent="0.35">
      <c r="A261">
        <f t="shared" si="92"/>
        <v>0</v>
      </c>
      <c r="B261">
        <f t="shared" si="92"/>
        <v>10</v>
      </c>
      <c r="D261">
        <f t="shared" si="93"/>
        <v>0.22580645161290322</v>
      </c>
      <c r="F261">
        <f t="shared" si="94"/>
        <v>0.1875</v>
      </c>
      <c r="H261">
        <f t="shared" si="95"/>
        <v>-3.5714285714285712E-2</v>
      </c>
      <c r="J261">
        <f t="shared" si="96"/>
        <v>4.1666666666666664E-2</v>
      </c>
      <c r="N261">
        <f t="shared" si="98"/>
        <v>3.4482758620689655E-2</v>
      </c>
      <c r="P261">
        <f>(O168-P168)/O168</f>
        <v>0.26470588235294118</v>
      </c>
      <c r="R261">
        <f>(Q168-R168)/Q168</f>
        <v>-0.29166666666666669</v>
      </c>
    </row>
    <row r="264" spans="1:18" x14ac:dyDescent="0.35">
      <c r="D264">
        <f>AVERAGE(D186:D195)</f>
        <v>0.52420430782499738</v>
      </c>
      <c r="F264">
        <f t="shared" ref="F264:R264" si="99">AVERAGE(F186:F195)</f>
        <v>0.40856497127865909</v>
      </c>
      <c r="H264">
        <f t="shared" si="99"/>
        <v>0.47770247320736986</v>
      </c>
      <c r="J264">
        <f t="shared" si="99"/>
        <v>0.43364952041422633</v>
      </c>
      <c r="L264">
        <f t="shared" si="99"/>
        <v>0.45387737609998446</v>
      </c>
      <c r="P264">
        <f t="shared" si="99"/>
        <v>0.42480896099438548</v>
      </c>
      <c r="R264">
        <f t="shared" si="99"/>
        <v>0.52910636171990255</v>
      </c>
    </row>
    <row r="265" spans="1:18" x14ac:dyDescent="0.35">
      <c r="D265">
        <f>AVERAGE(D197:D206)</f>
        <v>0.3575613163037098</v>
      </c>
      <c r="F265">
        <f t="shared" ref="F265:R265" si="100">AVERAGE(F197:F206)</f>
        <v>0.35611706913680596</v>
      </c>
      <c r="H265">
        <f t="shared" si="100"/>
        <v>0.30796243037111976</v>
      </c>
      <c r="J265">
        <f t="shared" si="100"/>
        <v>0.37543637032120969</v>
      </c>
      <c r="L265">
        <f t="shared" si="100"/>
        <v>0.32312641507149514</v>
      </c>
      <c r="N265">
        <f t="shared" si="100"/>
        <v>0.37698050665596311</v>
      </c>
      <c r="P265">
        <f t="shared" si="100"/>
        <v>0.39491856999209934</v>
      </c>
      <c r="R265">
        <f t="shared" si="100"/>
        <v>0.39157887841823724</v>
      </c>
    </row>
    <row r="266" spans="1:18" x14ac:dyDescent="0.35">
      <c r="D266">
        <f>AVERAGE(D208:D217)</f>
        <v>0.21088812422701927</v>
      </c>
      <c r="F266">
        <f t="shared" ref="F266:R266" si="101">AVERAGE(F208:F217)</f>
        <v>0.3245776655655308</v>
      </c>
      <c r="H266">
        <f t="shared" si="101"/>
        <v>0.22210338498418253</v>
      </c>
      <c r="J266">
        <f t="shared" si="101"/>
        <v>0.2528902056778437</v>
      </c>
      <c r="L266">
        <f t="shared" si="101"/>
        <v>0.32856730491139097</v>
      </c>
      <c r="N266">
        <f t="shared" si="101"/>
        <v>0.15363906807955896</v>
      </c>
      <c r="P266">
        <f t="shared" si="101"/>
        <v>0.27585369306827107</v>
      </c>
      <c r="R266">
        <f t="shared" si="101"/>
        <v>0.3375818698578617</v>
      </c>
    </row>
    <row r="267" spans="1:18" x14ac:dyDescent="0.35">
      <c r="D267">
        <f>AVERAGE(D219:D228)</f>
        <v>0.38110725591691369</v>
      </c>
      <c r="F267">
        <f t="shared" ref="F267:R267" si="102">AVERAGE(F219:F228)</f>
        <v>0.39340676138114467</v>
      </c>
      <c r="H267">
        <f t="shared" si="102"/>
        <v>0.31957908577780658</v>
      </c>
      <c r="J267">
        <f t="shared" si="102"/>
        <v>0.23836752236478601</v>
      </c>
      <c r="L267">
        <f t="shared" si="102"/>
        <v>0.25124746215997973</v>
      </c>
      <c r="N267">
        <f t="shared" si="102"/>
        <v>0.36654666797456176</v>
      </c>
      <c r="P267">
        <f t="shared" si="102"/>
        <v>0.22555455975022901</v>
      </c>
      <c r="R267">
        <f t="shared" si="102"/>
        <v>0.27233582817566448</v>
      </c>
    </row>
    <row r="268" spans="1:18" x14ac:dyDescent="0.35">
      <c r="D268">
        <f>AVERAGE(D230:D239)</f>
        <v>0.20448049697058646</v>
      </c>
      <c r="F268">
        <f t="shared" ref="F268:R268" si="103">AVERAGE(F230:F239)</f>
        <v>0.17492366425478378</v>
      </c>
      <c r="H268">
        <f t="shared" si="103"/>
        <v>0.2968135450023322</v>
      </c>
      <c r="J268">
        <f t="shared" si="103"/>
        <v>0.18761432948964812</v>
      </c>
      <c r="L268">
        <f t="shared" si="103"/>
        <v>0.12198505134348883</v>
      </c>
      <c r="N268">
        <f t="shared" si="103"/>
        <v>0.23817536495762304</v>
      </c>
      <c r="P268">
        <f t="shared" si="103"/>
        <v>0.26348672832543801</v>
      </c>
      <c r="R268">
        <f t="shared" si="103"/>
        <v>0.26095284985982664</v>
      </c>
    </row>
    <row r="269" spans="1:18" x14ac:dyDescent="0.35">
      <c r="D269">
        <f>AVERAGE(D241:D250)</f>
        <v>0.19664916058214527</v>
      </c>
      <c r="F269">
        <f t="shared" ref="F269:R269" si="104">AVERAGE(F241:F250)</f>
        <v>0.27946776174237808</v>
      </c>
      <c r="H269">
        <f t="shared" si="104"/>
        <v>0.17337364250016379</v>
      </c>
      <c r="J269">
        <f t="shared" si="104"/>
        <v>0.16577517962281213</v>
      </c>
      <c r="L269">
        <f t="shared" si="104"/>
        <v>0.14978723685002254</v>
      </c>
      <c r="N269">
        <f t="shared" si="104"/>
        <v>-2.4843577399611884E-2</v>
      </c>
      <c r="P269">
        <f t="shared" si="104"/>
        <v>8.1596442751866796E-2</v>
      </c>
      <c r="R269">
        <f t="shared" si="104"/>
        <v>0.19893045649850599</v>
      </c>
    </row>
    <row r="270" spans="1:18" x14ac:dyDescent="0.35">
      <c r="D270">
        <f>AVERAGE(D252:D261)</f>
        <v>7.6550938172821964E-2</v>
      </c>
      <c r="F270">
        <f t="shared" ref="F270:R270" si="105">AVERAGE(F252:F261)</f>
        <v>0.10455390902454828</v>
      </c>
      <c r="H270">
        <f t="shared" si="105"/>
        <v>6.2394622560656719E-2</v>
      </c>
      <c r="J270">
        <f t="shared" si="105"/>
        <v>-9.6357864215920491E-2</v>
      </c>
      <c r="L270">
        <f t="shared" si="105"/>
        <v>-8.182677537516253E-3</v>
      </c>
      <c r="N270">
        <f t="shared" si="105"/>
        <v>-2.1356694541278719E-2</v>
      </c>
      <c r="P270">
        <f t="shared" si="105"/>
        <v>6.0806522084985076E-2</v>
      </c>
      <c r="R270">
        <f t="shared" si="105"/>
        <v>4.6274961597542227E-2</v>
      </c>
    </row>
    <row r="272" spans="1:18" x14ac:dyDescent="0.35">
      <c r="D272">
        <f>AVERAGE(D264:D270)</f>
        <v>0.27877737142831338</v>
      </c>
      <c r="F272">
        <f t="shared" ref="F272:R272" si="106">AVERAGE(F264:F270)</f>
        <v>0.29165882891197864</v>
      </c>
      <c r="H272">
        <f t="shared" si="106"/>
        <v>0.26570416920051876</v>
      </c>
      <c r="J272">
        <f t="shared" si="106"/>
        <v>0.22248218052494367</v>
      </c>
      <c r="L272">
        <f t="shared" si="106"/>
        <v>0.23148688127126363</v>
      </c>
      <c r="N272">
        <f t="shared" si="106"/>
        <v>0.18152355595446937</v>
      </c>
      <c r="P272">
        <f t="shared" si="106"/>
        <v>0.24671792528103928</v>
      </c>
      <c r="R272">
        <f t="shared" si="106"/>
        <v>0.29096588658964867</v>
      </c>
    </row>
  </sheetData>
  <mergeCells count="29">
    <mergeCell ref="Z92:AA92"/>
    <mergeCell ref="C17:D17"/>
    <mergeCell ref="E17:F17"/>
    <mergeCell ref="G17:H17"/>
    <mergeCell ref="I17:J17"/>
    <mergeCell ref="J55:Q55"/>
    <mergeCell ref="J24:P24"/>
    <mergeCell ref="C27:I27"/>
    <mergeCell ref="C58:I58"/>
    <mergeCell ref="K17:L17"/>
    <mergeCell ref="M17:N17"/>
    <mergeCell ref="AB91:AE91"/>
    <mergeCell ref="AB85:AE85"/>
    <mergeCell ref="O17:P17"/>
    <mergeCell ref="Z91:AA91"/>
    <mergeCell ref="AB17:AC17"/>
    <mergeCell ref="AD17:AE17"/>
    <mergeCell ref="T31:U31"/>
    <mergeCell ref="V31:W31"/>
    <mergeCell ref="X31:Y31"/>
    <mergeCell ref="Z31:AA31"/>
    <mergeCell ref="AB31:AC31"/>
    <mergeCell ref="AD31:AE31"/>
    <mergeCell ref="AF31:AG31"/>
    <mergeCell ref="AF17:AG17"/>
    <mergeCell ref="T17:U17"/>
    <mergeCell ref="V17:W17"/>
    <mergeCell ref="X17:Y17"/>
    <mergeCell ref="Z17:AA17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3"/>
  <dimension ref="B2:S40"/>
  <sheetViews>
    <sheetView workbookViewId="0">
      <selection activeCell="C21" sqref="C21"/>
    </sheetView>
  </sheetViews>
  <sheetFormatPr defaultRowHeight="14.5" x14ac:dyDescent="0.35"/>
  <cols>
    <col min="2" max="2" width="14.90625" customWidth="1"/>
    <col min="3" max="16" width="10.6328125" customWidth="1"/>
  </cols>
  <sheetData>
    <row r="2" spans="2:19" x14ac:dyDescent="0.3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R2" s="26"/>
      <c r="S2" s="26"/>
    </row>
    <row r="3" spans="2:19" ht="15.5" x14ac:dyDescent="0.35">
      <c r="B3" s="153"/>
      <c r="R3" s="14"/>
      <c r="S3" s="87"/>
    </row>
    <row r="4" spans="2:19" ht="16" thickBot="1" x14ac:dyDescent="0.4">
      <c r="B4" s="261" t="s">
        <v>125</v>
      </c>
      <c r="C4" s="147"/>
      <c r="D4" s="147"/>
      <c r="E4" s="51"/>
      <c r="R4" s="14"/>
      <c r="S4" s="87"/>
    </row>
    <row r="5" spans="2:19" ht="15" thickBot="1" x14ac:dyDescent="0.4">
      <c r="B5" s="162"/>
      <c r="C5" s="259" t="s">
        <v>74</v>
      </c>
      <c r="D5" s="259" t="s">
        <v>75</v>
      </c>
      <c r="E5" s="172" t="s">
        <v>76</v>
      </c>
      <c r="F5" s="155" t="s">
        <v>77</v>
      </c>
      <c r="G5" s="154" t="s">
        <v>78</v>
      </c>
      <c r="H5" s="154" t="s">
        <v>79</v>
      </c>
      <c r="I5" s="155" t="s">
        <v>80</v>
      </c>
      <c r="J5" s="155" t="s">
        <v>81</v>
      </c>
      <c r="K5" s="154" t="s">
        <v>82</v>
      </c>
      <c r="L5" s="154" t="s">
        <v>83</v>
      </c>
      <c r="M5" s="155" t="s">
        <v>84</v>
      </c>
      <c r="N5" s="155" t="s">
        <v>85</v>
      </c>
      <c r="O5" s="154" t="s">
        <v>86</v>
      </c>
      <c r="P5" s="154" t="s">
        <v>87</v>
      </c>
      <c r="R5" s="14"/>
      <c r="S5" s="87"/>
    </row>
    <row r="6" spans="2:19" x14ac:dyDescent="0.35">
      <c r="B6" s="221" t="s">
        <v>63</v>
      </c>
      <c r="C6" s="156">
        <v>24.8</v>
      </c>
      <c r="D6" s="156">
        <v>11.9</v>
      </c>
      <c r="E6" s="157">
        <v>28.1</v>
      </c>
      <c r="F6" s="157">
        <v>17.100000000000001</v>
      </c>
      <c r="G6" s="158">
        <v>28.1</v>
      </c>
      <c r="H6" s="159">
        <v>19</v>
      </c>
      <c r="I6" s="143">
        <v>27.5</v>
      </c>
      <c r="J6" s="160">
        <v>16.399999999999999</v>
      </c>
      <c r="K6" s="158">
        <v>27.4</v>
      </c>
      <c r="L6" s="159">
        <v>18.899999999999999</v>
      </c>
      <c r="M6" s="143">
        <v>28.3</v>
      </c>
      <c r="N6" s="160">
        <v>22.4</v>
      </c>
      <c r="O6" s="158">
        <v>26.3</v>
      </c>
      <c r="P6" s="161">
        <v>25.4</v>
      </c>
      <c r="R6" s="14"/>
      <c r="S6" s="87"/>
    </row>
    <row r="7" spans="2:19" x14ac:dyDescent="0.35">
      <c r="B7" s="221" t="s">
        <v>64</v>
      </c>
      <c r="C7" s="156">
        <v>30.4</v>
      </c>
      <c r="D7" s="156">
        <v>15.6</v>
      </c>
      <c r="E7" s="157">
        <v>29.5</v>
      </c>
      <c r="F7" s="157">
        <v>20.100000000000001</v>
      </c>
      <c r="G7" s="158">
        <v>28.8</v>
      </c>
      <c r="H7" s="159">
        <v>22.1</v>
      </c>
      <c r="I7" s="143">
        <v>29.1</v>
      </c>
      <c r="J7" s="160">
        <v>21.4</v>
      </c>
      <c r="K7" s="158">
        <v>28.9</v>
      </c>
      <c r="L7" s="159">
        <v>22.9</v>
      </c>
      <c r="M7" s="143">
        <v>27.5</v>
      </c>
      <c r="N7" s="160">
        <v>25.6</v>
      </c>
      <c r="O7" s="158">
        <v>27.9</v>
      </c>
      <c r="P7" s="161">
        <v>25.9</v>
      </c>
      <c r="R7" s="14"/>
      <c r="S7" s="87"/>
    </row>
    <row r="8" spans="2:19" x14ac:dyDescent="0.35">
      <c r="B8" s="221" t="s">
        <v>65</v>
      </c>
      <c r="C8" s="156">
        <v>30.6</v>
      </c>
      <c r="D8" s="156">
        <v>16.899999999999999</v>
      </c>
      <c r="E8" s="157">
        <v>34.299999999999997</v>
      </c>
      <c r="F8" s="157">
        <v>19.8</v>
      </c>
      <c r="G8" s="158">
        <v>32.6</v>
      </c>
      <c r="H8" s="159">
        <v>20.9</v>
      </c>
      <c r="I8" s="143">
        <v>32.9</v>
      </c>
      <c r="J8" s="160">
        <v>21</v>
      </c>
      <c r="K8" s="158">
        <v>32.5</v>
      </c>
      <c r="L8" s="159">
        <v>25.9</v>
      </c>
      <c r="M8" s="143">
        <v>30</v>
      </c>
      <c r="N8" s="160">
        <v>27.3</v>
      </c>
      <c r="O8" s="158">
        <v>28.9</v>
      </c>
      <c r="P8" s="161">
        <v>24.4</v>
      </c>
      <c r="R8" s="14"/>
      <c r="S8" s="87"/>
    </row>
    <row r="9" spans="2:19" x14ac:dyDescent="0.35">
      <c r="B9" s="221" t="s">
        <v>66</v>
      </c>
      <c r="C9" s="156">
        <v>35.4</v>
      </c>
      <c r="D9" s="156">
        <v>17.8</v>
      </c>
      <c r="E9" s="157">
        <v>31.4</v>
      </c>
      <c r="F9" s="157">
        <v>16.899999999999999</v>
      </c>
      <c r="G9" s="158">
        <v>31.2</v>
      </c>
      <c r="H9" s="159">
        <v>21.8</v>
      </c>
      <c r="I9" s="143">
        <v>30.4</v>
      </c>
      <c r="J9" s="160">
        <v>24</v>
      </c>
      <c r="K9" s="158">
        <v>34.1</v>
      </c>
      <c r="L9" s="159">
        <v>24</v>
      </c>
      <c r="M9" s="143">
        <v>32.4</v>
      </c>
      <c r="N9" s="160">
        <v>30.3</v>
      </c>
      <c r="O9" s="158">
        <v>27.8</v>
      </c>
      <c r="P9" s="161">
        <v>34.799999999999997</v>
      </c>
      <c r="R9" s="14"/>
      <c r="S9" s="87"/>
    </row>
    <row r="10" spans="2:19" x14ac:dyDescent="0.35">
      <c r="B10" s="221" t="s">
        <v>67</v>
      </c>
      <c r="C10" s="156">
        <v>30.5</v>
      </c>
      <c r="D10" s="156">
        <v>14.3</v>
      </c>
      <c r="E10" s="157">
        <v>30</v>
      </c>
      <c r="F10" s="157">
        <v>20.3</v>
      </c>
      <c r="G10" s="158">
        <v>30</v>
      </c>
      <c r="H10" s="159">
        <v>20.8</v>
      </c>
      <c r="I10" s="143">
        <v>31.6</v>
      </c>
      <c r="J10" s="160">
        <v>23.1</v>
      </c>
      <c r="K10" s="158">
        <v>31.8</v>
      </c>
      <c r="L10" s="159">
        <v>26.1</v>
      </c>
      <c r="M10" s="143">
        <v>36</v>
      </c>
      <c r="N10" s="160">
        <v>30.5</v>
      </c>
      <c r="O10" s="158">
        <v>27.5</v>
      </c>
      <c r="P10" s="161">
        <v>29.6</v>
      </c>
    </row>
    <row r="11" spans="2:19" x14ac:dyDescent="0.35">
      <c r="B11" s="221" t="s">
        <v>68</v>
      </c>
      <c r="C11" s="156">
        <v>29.4</v>
      </c>
      <c r="D11" s="156">
        <v>16.399999999999999</v>
      </c>
      <c r="E11" s="157">
        <v>28.8</v>
      </c>
      <c r="F11" s="157">
        <v>18.600000000000001</v>
      </c>
      <c r="G11" s="158">
        <v>30.9</v>
      </c>
      <c r="H11" s="159">
        <v>22.4</v>
      </c>
      <c r="I11" s="143">
        <v>28.1</v>
      </c>
      <c r="J11" s="160">
        <v>19.8</v>
      </c>
      <c r="K11" s="158">
        <v>33.4</v>
      </c>
      <c r="L11" s="159">
        <v>27</v>
      </c>
      <c r="M11" s="143">
        <v>29</v>
      </c>
      <c r="N11" s="160">
        <v>25.8</v>
      </c>
      <c r="O11" s="158">
        <v>32.799999999999997</v>
      </c>
      <c r="P11" s="161">
        <v>30.9</v>
      </c>
    </row>
    <row r="12" spans="2:19" x14ac:dyDescent="0.35">
      <c r="B12" s="221" t="s">
        <v>69</v>
      </c>
      <c r="C12" s="156">
        <v>34.1</v>
      </c>
      <c r="D12" s="156">
        <v>17.5</v>
      </c>
      <c r="E12" s="157">
        <v>28.3</v>
      </c>
      <c r="F12" s="157">
        <v>19.100000000000001</v>
      </c>
      <c r="G12" s="158">
        <v>31.6</v>
      </c>
      <c r="H12" s="159">
        <v>24.9</v>
      </c>
      <c r="I12" s="143">
        <v>32.9</v>
      </c>
      <c r="J12" s="160">
        <v>21.4</v>
      </c>
      <c r="K12" s="158">
        <v>31.8</v>
      </c>
      <c r="L12" s="159">
        <v>23.5</v>
      </c>
      <c r="M12" s="143">
        <v>27.5</v>
      </c>
      <c r="N12" s="160">
        <v>22.1</v>
      </c>
      <c r="O12" s="158">
        <v>32.4</v>
      </c>
      <c r="P12" s="161">
        <v>31.8</v>
      </c>
    </row>
    <row r="13" spans="2:19" x14ac:dyDescent="0.35">
      <c r="B13" s="221" t="s">
        <v>70</v>
      </c>
      <c r="C13" s="156">
        <v>29.1</v>
      </c>
      <c r="D13" s="156">
        <v>14.8</v>
      </c>
      <c r="E13" s="157">
        <v>32.1</v>
      </c>
      <c r="F13" s="157">
        <v>19.399999999999999</v>
      </c>
      <c r="G13" s="158">
        <v>31.4</v>
      </c>
      <c r="H13" s="159">
        <v>22.3</v>
      </c>
      <c r="I13" s="143">
        <v>34.299999999999997</v>
      </c>
      <c r="J13" s="160">
        <v>21.6</v>
      </c>
      <c r="K13" s="158">
        <v>35.1</v>
      </c>
      <c r="L13" s="159">
        <v>25.8</v>
      </c>
      <c r="M13" s="143">
        <v>34.4</v>
      </c>
      <c r="N13" s="160">
        <v>29.6</v>
      </c>
      <c r="O13" s="158">
        <v>32</v>
      </c>
      <c r="P13" s="161">
        <v>24.6</v>
      </c>
    </row>
    <row r="14" spans="2:19" x14ac:dyDescent="0.35">
      <c r="B14" s="221" t="s">
        <v>71</v>
      </c>
      <c r="C14" s="156">
        <v>31.4</v>
      </c>
      <c r="D14" s="156">
        <v>17.399999999999999</v>
      </c>
      <c r="E14" s="157">
        <v>29.8</v>
      </c>
      <c r="F14" s="157">
        <v>18.600000000000001</v>
      </c>
      <c r="G14" s="158">
        <v>35.1</v>
      </c>
      <c r="H14" s="159">
        <v>28.3</v>
      </c>
      <c r="I14" s="143">
        <v>31.8</v>
      </c>
      <c r="J14" s="160">
        <v>22.8</v>
      </c>
      <c r="K14" s="158">
        <v>30.1</v>
      </c>
      <c r="L14" s="159">
        <v>24</v>
      </c>
      <c r="M14" s="143">
        <v>34.9</v>
      </c>
      <c r="N14" s="160">
        <v>24.4</v>
      </c>
      <c r="O14" s="158">
        <v>30</v>
      </c>
      <c r="P14" s="161">
        <v>28.3</v>
      </c>
    </row>
    <row r="15" spans="2:19" ht="15" thickBot="1" x14ac:dyDescent="0.4">
      <c r="B15" s="222" t="s">
        <v>72</v>
      </c>
      <c r="C15" s="163">
        <v>32</v>
      </c>
      <c r="D15" s="163">
        <v>20.100000000000001</v>
      </c>
      <c r="E15" s="164">
        <v>34.299999999999997</v>
      </c>
      <c r="F15" s="164">
        <v>22.3</v>
      </c>
      <c r="G15" s="165" t="s">
        <v>73</v>
      </c>
      <c r="H15" s="166" t="s">
        <v>73</v>
      </c>
      <c r="I15" s="143">
        <v>33.6</v>
      </c>
      <c r="J15" s="167">
        <v>21.9</v>
      </c>
      <c r="K15" s="165">
        <v>29.1</v>
      </c>
      <c r="L15" s="166">
        <v>23.9</v>
      </c>
      <c r="M15" s="143">
        <v>32.299999999999997</v>
      </c>
      <c r="N15" s="167">
        <v>21.8</v>
      </c>
      <c r="O15" s="165">
        <v>28.9</v>
      </c>
      <c r="P15" s="168">
        <v>26.6</v>
      </c>
    </row>
    <row r="16" spans="2:19" x14ac:dyDescent="0.35">
      <c r="B16" s="221" t="s">
        <v>116</v>
      </c>
      <c r="C16" s="158">
        <v>10</v>
      </c>
      <c r="D16" s="161">
        <v>10</v>
      </c>
      <c r="E16" s="161">
        <v>10</v>
      </c>
      <c r="F16" s="161">
        <v>10</v>
      </c>
      <c r="G16" s="161">
        <v>9</v>
      </c>
      <c r="H16" s="161">
        <v>9</v>
      </c>
      <c r="I16" s="223">
        <v>10</v>
      </c>
      <c r="J16" s="158">
        <v>10</v>
      </c>
      <c r="K16" s="161">
        <v>10</v>
      </c>
      <c r="L16" s="161">
        <v>10</v>
      </c>
      <c r="M16" s="223">
        <v>10</v>
      </c>
      <c r="N16" s="158">
        <v>10</v>
      </c>
      <c r="O16" s="161">
        <v>10</v>
      </c>
      <c r="P16" s="161">
        <v>10</v>
      </c>
    </row>
    <row r="17" spans="2:16" x14ac:dyDescent="0.35">
      <c r="B17" s="180" t="s">
        <v>59</v>
      </c>
      <c r="C17" s="198">
        <v>30.771000000000001</v>
      </c>
      <c r="D17" s="198">
        <v>16.257999999999999</v>
      </c>
      <c r="E17" s="198">
        <v>30.638999999999999</v>
      </c>
      <c r="F17" s="198">
        <v>19.216000000000001</v>
      </c>
      <c r="G17" s="198">
        <v>31.071110000000001</v>
      </c>
      <c r="H17" s="198">
        <v>22.481110000000001</v>
      </c>
      <c r="I17" s="198">
        <v>31.216000000000001</v>
      </c>
      <c r="J17" s="198">
        <v>21.327999999999999</v>
      </c>
      <c r="K17" s="198">
        <v>31.416</v>
      </c>
      <c r="L17" s="198">
        <v>24.19</v>
      </c>
      <c r="M17" s="198">
        <v>31.213999999999999</v>
      </c>
      <c r="N17" s="198">
        <v>25.965</v>
      </c>
      <c r="O17" s="198">
        <v>29.437000000000001</v>
      </c>
      <c r="P17" s="198">
        <v>28.231000000000002</v>
      </c>
    </row>
    <row r="18" spans="2:16" x14ac:dyDescent="0.35">
      <c r="B18" s="180" t="s">
        <v>120</v>
      </c>
      <c r="C18" s="198">
        <v>2.8982160000000001</v>
      </c>
      <c r="D18" s="198">
        <v>2.2706770000000001</v>
      </c>
      <c r="E18" s="198">
        <v>2.2832110000000001</v>
      </c>
      <c r="F18" s="198">
        <v>1.560778</v>
      </c>
      <c r="G18" s="198">
        <v>2.076063</v>
      </c>
      <c r="H18" s="198">
        <v>2.674614</v>
      </c>
      <c r="I18" s="198">
        <v>2.3430569999999999</v>
      </c>
      <c r="J18" s="198">
        <v>2.105299</v>
      </c>
      <c r="K18" s="198">
        <v>2.4947780000000002</v>
      </c>
      <c r="L18" s="198">
        <v>2.2974869999999998</v>
      </c>
      <c r="M18" s="198">
        <v>3.1893959999999999</v>
      </c>
      <c r="N18" s="198">
        <v>3.3666209999999999</v>
      </c>
      <c r="O18" s="198">
        <v>2.256561</v>
      </c>
      <c r="P18" s="198">
        <v>3.4776030000000002</v>
      </c>
    </row>
    <row r="19" spans="2:16" x14ac:dyDescent="0.35">
      <c r="B19" s="180" t="s">
        <v>116</v>
      </c>
      <c r="C19" s="198">
        <v>10</v>
      </c>
      <c r="D19" s="198">
        <v>10</v>
      </c>
      <c r="E19" s="198">
        <v>10</v>
      </c>
      <c r="F19" s="198">
        <v>10</v>
      </c>
      <c r="G19" s="198">
        <v>9</v>
      </c>
      <c r="H19" s="198">
        <v>9</v>
      </c>
      <c r="I19" s="198">
        <v>10</v>
      </c>
      <c r="J19" s="198">
        <v>10</v>
      </c>
      <c r="K19" s="198">
        <v>10</v>
      </c>
      <c r="L19" s="198">
        <v>10</v>
      </c>
      <c r="M19" s="198">
        <v>10</v>
      </c>
      <c r="N19" s="198">
        <v>10</v>
      </c>
      <c r="O19" s="198">
        <v>10</v>
      </c>
      <c r="P19" s="198">
        <v>10</v>
      </c>
    </row>
    <row r="20" spans="2:16" x14ac:dyDescent="0.35">
      <c r="B20" s="180" t="s">
        <v>117</v>
      </c>
      <c r="C20" s="198">
        <f>C18/(SQRT(C19))</f>
        <v>0.91649637111425597</v>
      </c>
      <c r="D20" s="198">
        <f t="shared" ref="D20:P20" si="0">D18/(SQRT(D19))</f>
        <v>0.71805111505581554</v>
      </c>
      <c r="E20" s="198">
        <f t="shared" si="0"/>
        <v>0.72201471387507055</v>
      </c>
      <c r="F20" s="198">
        <f t="shared" si="0"/>
        <v>0.49356134018822823</v>
      </c>
      <c r="G20" s="198">
        <f t="shared" si="0"/>
        <v>0.692021</v>
      </c>
      <c r="H20" s="198">
        <f t="shared" si="0"/>
        <v>0.89153800000000005</v>
      </c>
      <c r="I20" s="198">
        <f t="shared" si="0"/>
        <v>0.74093968076011418</v>
      </c>
      <c r="J20" s="198">
        <f t="shared" si="0"/>
        <v>0.66575399956748282</v>
      </c>
      <c r="K20" s="198">
        <f t="shared" si="0"/>
        <v>0.78891807364795485</v>
      </c>
      <c r="L20" s="198">
        <f t="shared" si="0"/>
        <v>0.72652918146272683</v>
      </c>
      <c r="M20" s="198">
        <f t="shared" si="0"/>
        <v>1.0085755720230387</v>
      </c>
      <c r="N20" s="198">
        <f t="shared" si="0"/>
        <v>1.0646190378553728</v>
      </c>
      <c r="O20" s="198">
        <f t="shared" si="0"/>
        <v>0.71358724391072181</v>
      </c>
      <c r="P20" s="198">
        <f t="shared" si="0"/>
        <v>1.0997146277834537</v>
      </c>
    </row>
    <row r="21" spans="2:16" x14ac:dyDescent="0.35">
      <c r="B21" s="180" t="s">
        <v>118</v>
      </c>
      <c r="C21" s="96">
        <f>1.96*C20</f>
        <v>1.7963328873839417</v>
      </c>
      <c r="D21" s="96">
        <f t="shared" ref="D21:P21" si="1">1.96*D20</f>
        <v>1.4073801855093984</v>
      </c>
      <c r="E21" s="96">
        <f t="shared" si="1"/>
        <v>1.4151488391951383</v>
      </c>
      <c r="F21" s="96">
        <f t="shared" si="1"/>
        <v>0.96738022676892732</v>
      </c>
      <c r="G21" s="96">
        <f t="shared" si="1"/>
        <v>1.3563611600000001</v>
      </c>
      <c r="H21" s="96">
        <f t="shared" si="1"/>
        <v>1.74741448</v>
      </c>
      <c r="I21" s="96">
        <f t="shared" si="1"/>
        <v>1.4522417742898237</v>
      </c>
      <c r="J21" s="96">
        <f t="shared" si="1"/>
        <v>1.3048778391522664</v>
      </c>
      <c r="K21" s="96">
        <f t="shared" si="1"/>
        <v>1.5462794243499915</v>
      </c>
      <c r="L21" s="96">
        <f t="shared" si="1"/>
        <v>1.4239971956669446</v>
      </c>
      <c r="M21" s="96">
        <f t="shared" si="1"/>
        <v>1.9768081211651558</v>
      </c>
      <c r="N21" s="96">
        <f t="shared" si="1"/>
        <v>2.0866533141965307</v>
      </c>
      <c r="O21" s="96">
        <f t="shared" si="1"/>
        <v>1.3986309980650147</v>
      </c>
      <c r="P21" s="96">
        <f t="shared" si="1"/>
        <v>2.1554406704555693</v>
      </c>
    </row>
    <row r="28" spans="2:16" x14ac:dyDescent="0.35">
      <c r="C28" s="199"/>
      <c r="D28" s="414" t="s">
        <v>121</v>
      </c>
      <c r="E28" s="414"/>
      <c r="F28" s="414"/>
      <c r="G28" s="414" t="s">
        <v>122</v>
      </c>
      <c r="H28" s="414"/>
      <c r="I28" s="414"/>
    </row>
    <row r="29" spans="2:16" x14ac:dyDescent="0.35">
      <c r="C29" s="170"/>
      <c r="D29" s="173" t="s">
        <v>116</v>
      </c>
      <c r="E29" s="173" t="s">
        <v>59</v>
      </c>
      <c r="F29" s="173" t="s">
        <v>123</v>
      </c>
      <c r="G29" s="173" t="s">
        <v>116</v>
      </c>
      <c r="H29" s="173" t="s">
        <v>59</v>
      </c>
      <c r="I29" s="171" t="s">
        <v>123</v>
      </c>
    </row>
    <row r="30" spans="2:16" x14ac:dyDescent="0.35">
      <c r="C30" s="174" t="s">
        <v>1</v>
      </c>
      <c r="D30" s="200">
        <v>10</v>
      </c>
      <c r="E30" s="201">
        <v>30.771000000000001</v>
      </c>
      <c r="F30" s="202">
        <v>2.8982160000000001</v>
      </c>
      <c r="G30" s="200">
        <v>10</v>
      </c>
      <c r="H30" s="201">
        <v>16.257999999999999</v>
      </c>
      <c r="I30" s="202">
        <v>2.2706770000000001</v>
      </c>
    </row>
    <row r="31" spans="2:16" x14ac:dyDescent="0.35">
      <c r="C31" s="175" t="s">
        <v>109</v>
      </c>
      <c r="D31" s="203">
        <v>10</v>
      </c>
      <c r="E31" s="169">
        <v>30.638999999999999</v>
      </c>
      <c r="F31" s="204">
        <v>2.2832110000000001</v>
      </c>
      <c r="G31" s="203">
        <v>10</v>
      </c>
      <c r="H31" s="169">
        <v>19.216000000000001</v>
      </c>
      <c r="I31" s="204">
        <v>1.560778</v>
      </c>
    </row>
    <row r="32" spans="2:16" x14ac:dyDescent="0.35">
      <c r="C32" s="175" t="s">
        <v>110</v>
      </c>
      <c r="D32" s="203">
        <v>9</v>
      </c>
      <c r="E32" s="169">
        <v>31.071110000000001</v>
      </c>
      <c r="F32" s="204">
        <v>2.076063</v>
      </c>
      <c r="G32" s="203">
        <v>9</v>
      </c>
      <c r="H32" s="169">
        <v>22.481110000000001</v>
      </c>
      <c r="I32" s="204">
        <v>2.674614</v>
      </c>
      <c r="J32" s="169"/>
      <c r="K32" s="169"/>
    </row>
    <row r="33" spans="2:11" x14ac:dyDescent="0.35">
      <c r="C33" s="175" t="s">
        <v>111</v>
      </c>
      <c r="D33" s="203">
        <v>10</v>
      </c>
      <c r="E33" s="169">
        <v>31.216000000000001</v>
      </c>
      <c r="F33" s="204">
        <v>2.3430569999999999</v>
      </c>
      <c r="G33" s="203">
        <v>10</v>
      </c>
      <c r="H33" s="169">
        <v>21.327999999999999</v>
      </c>
      <c r="I33" s="204">
        <v>2.105299</v>
      </c>
      <c r="J33" s="169"/>
      <c r="K33" s="169"/>
    </row>
    <row r="34" spans="2:11" x14ac:dyDescent="0.35">
      <c r="C34" s="175" t="s">
        <v>112</v>
      </c>
      <c r="D34" s="203">
        <v>10</v>
      </c>
      <c r="E34" s="169">
        <v>31.416</v>
      </c>
      <c r="F34" s="204">
        <v>2.4947780000000002</v>
      </c>
      <c r="G34" s="203">
        <v>10</v>
      </c>
      <c r="H34" s="169">
        <v>24.19</v>
      </c>
      <c r="I34" s="204">
        <v>2.2974869999999998</v>
      </c>
      <c r="J34" s="169"/>
      <c r="K34" s="169"/>
    </row>
    <row r="35" spans="2:11" x14ac:dyDescent="0.35">
      <c r="C35" s="175" t="s">
        <v>113</v>
      </c>
      <c r="D35" s="203">
        <v>10</v>
      </c>
      <c r="E35" s="169">
        <v>31.213999999999999</v>
      </c>
      <c r="F35" s="204">
        <v>3.1893959999999999</v>
      </c>
      <c r="G35" s="203">
        <v>10</v>
      </c>
      <c r="H35" s="169">
        <v>25.965</v>
      </c>
      <c r="I35" s="204">
        <v>3.3666209999999999</v>
      </c>
      <c r="J35" s="169"/>
      <c r="K35" s="169"/>
    </row>
    <row r="36" spans="2:11" x14ac:dyDescent="0.35">
      <c r="C36" s="176" t="s">
        <v>114</v>
      </c>
      <c r="D36" s="205">
        <v>10</v>
      </c>
      <c r="E36" s="206">
        <v>29.437000000000001</v>
      </c>
      <c r="F36" s="207">
        <v>2.256561</v>
      </c>
      <c r="G36" s="205">
        <v>10</v>
      </c>
      <c r="H36" s="206">
        <v>28.231000000000002</v>
      </c>
      <c r="I36" s="207">
        <v>3.4776030000000002</v>
      </c>
      <c r="J36" s="169"/>
      <c r="K36" s="169"/>
    </row>
    <row r="37" spans="2:11" x14ac:dyDescent="0.35">
      <c r="E37" s="173"/>
      <c r="F37" s="169"/>
      <c r="G37" s="169"/>
      <c r="H37" s="169"/>
      <c r="I37" s="169"/>
      <c r="J37" s="169"/>
      <c r="K37" s="169"/>
    </row>
    <row r="38" spans="2:11" ht="15.5" x14ac:dyDescent="0.35">
      <c r="B38" s="153"/>
    </row>
    <row r="39" spans="2:11" ht="15.5" x14ac:dyDescent="0.35">
      <c r="B39" s="153"/>
    </row>
    <row r="40" spans="2:11" ht="15.5" x14ac:dyDescent="0.35">
      <c r="B40" s="153"/>
    </row>
  </sheetData>
  <mergeCells count="2">
    <mergeCell ref="D28:F28"/>
    <mergeCell ref="G28:I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P221"/>
  <sheetViews>
    <sheetView tabSelected="1" zoomScale="80" zoomScaleNormal="80" workbookViewId="0">
      <selection activeCell="G2" sqref="G2"/>
    </sheetView>
  </sheetViews>
  <sheetFormatPr defaultRowHeight="14.5" x14ac:dyDescent="0.35"/>
  <cols>
    <col min="1" max="1" width="6.08984375" customWidth="1"/>
    <col min="2" max="2" width="9.6328125" customWidth="1"/>
    <col min="3" max="3" width="6.81640625" style="1" customWidth="1"/>
    <col min="4" max="4" width="3.90625" customWidth="1"/>
    <col min="5" max="5" width="5.1796875" customWidth="1"/>
    <col min="6" max="6" width="3.90625" customWidth="1"/>
    <col min="7" max="7" width="5.1796875" customWidth="1"/>
    <col min="8" max="8" width="3.90625" customWidth="1"/>
    <col min="9" max="9" width="5.1796875" customWidth="1"/>
    <col min="10" max="10" width="3.90625" customWidth="1"/>
    <col min="11" max="11" width="5.1796875" customWidth="1"/>
    <col min="12" max="12" width="3.90625" customWidth="1"/>
    <col min="13" max="13" width="5.1796875" customWidth="1"/>
    <col min="14" max="14" width="3.90625" customWidth="1"/>
    <col min="15" max="15" width="5.1796875" customWidth="1"/>
    <col min="16" max="16" width="3.90625" customWidth="1"/>
    <col min="17" max="17" width="5.1796875" customWidth="1"/>
    <col min="18" max="18" width="3.90625" customWidth="1"/>
    <col min="19" max="19" width="5.1796875" customWidth="1"/>
    <col min="20" max="20" width="3.90625" customWidth="1"/>
    <col min="21" max="21" width="5.1796875" customWidth="1"/>
    <col min="22" max="22" width="3.90625" customWidth="1"/>
    <col min="23" max="23" width="5.1796875" customWidth="1"/>
    <col min="24" max="24" width="3.90625" customWidth="1"/>
    <col min="25" max="25" width="5.1796875" customWidth="1"/>
    <col min="26" max="26" width="3.90625" customWidth="1"/>
    <col min="27" max="27" width="5.1796875" customWidth="1"/>
    <col min="28" max="28" width="3.90625" customWidth="1"/>
    <col min="29" max="29" width="5.1796875" customWidth="1"/>
    <col min="30" max="30" width="3.90625" customWidth="1"/>
    <col min="31" max="31" width="5.1796875" customWidth="1"/>
    <col min="33" max="33" width="3.54296875" customWidth="1"/>
    <col min="38" max="38" width="11.6328125" customWidth="1"/>
    <col min="41" max="41" width="13.36328125" bestFit="1" customWidth="1"/>
    <col min="42" max="43" width="20.1796875" bestFit="1" customWidth="1"/>
  </cols>
  <sheetData>
    <row r="1" spans="3:32" x14ac:dyDescent="0.35">
      <c r="C1" s="61" t="s">
        <v>186</v>
      </c>
      <c r="E1" s="61" t="s">
        <v>74</v>
      </c>
      <c r="F1" s="61"/>
      <c r="G1" s="61" t="s">
        <v>75</v>
      </c>
      <c r="H1" s="61" t="s">
        <v>162</v>
      </c>
      <c r="I1" s="61" t="s">
        <v>76</v>
      </c>
      <c r="K1" s="61" t="s">
        <v>77</v>
      </c>
      <c r="L1" s="61" t="s">
        <v>162</v>
      </c>
      <c r="M1" s="61" t="s">
        <v>78</v>
      </c>
      <c r="O1" s="61" t="s">
        <v>79</v>
      </c>
      <c r="P1" s="61" t="s">
        <v>162</v>
      </c>
      <c r="Q1" s="61" t="s">
        <v>80</v>
      </c>
      <c r="S1" s="61" t="s">
        <v>81</v>
      </c>
      <c r="T1" s="61" t="s">
        <v>162</v>
      </c>
      <c r="U1" s="61" t="s">
        <v>82</v>
      </c>
      <c r="W1" s="61" t="s">
        <v>83</v>
      </c>
      <c r="X1" s="61" t="s">
        <v>162</v>
      </c>
      <c r="Y1" s="61" t="s">
        <v>84</v>
      </c>
      <c r="AA1" s="61" t="s">
        <v>85</v>
      </c>
      <c r="AB1" s="61" t="s">
        <v>162</v>
      </c>
      <c r="AC1" s="61" t="s">
        <v>86</v>
      </c>
      <c r="AE1" s="61" t="s">
        <v>87</v>
      </c>
      <c r="AF1" s="61" t="s">
        <v>162</v>
      </c>
    </row>
    <row r="2" spans="3:32" x14ac:dyDescent="0.35">
      <c r="C2" s="61">
        <v>1</v>
      </c>
      <c r="E2">
        <v>1405</v>
      </c>
      <c r="G2">
        <v>670</v>
      </c>
      <c r="H2">
        <f>(E2-G2)/E2</f>
        <v>0.52313167259786475</v>
      </c>
      <c r="I2">
        <v>1690</v>
      </c>
      <c r="K2">
        <v>1280</v>
      </c>
      <c r="L2">
        <f>(I2-K2)/I2</f>
        <v>0.24260355029585798</v>
      </c>
      <c r="M2">
        <v>1815</v>
      </c>
      <c r="O2">
        <v>1240</v>
      </c>
      <c r="P2">
        <f>(M2-O2)/M2</f>
        <v>0.3168044077134986</v>
      </c>
      <c r="Q2">
        <v>1670</v>
      </c>
      <c r="S2">
        <v>1105</v>
      </c>
      <c r="T2">
        <f>(Q2-S2)/Q2</f>
        <v>0.33832335329341318</v>
      </c>
      <c r="U2">
        <v>1710</v>
      </c>
      <c r="W2">
        <v>1195</v>
      </c>
      <c r="X2">
        <f>(U2-W2)/U2</f>
        <v>0.30116959064327486</v>
      </c>
      <c r="Y2">
        <v>1780</v>
      </c>
      <c r="AA2">
        <v>1370</v>
      </c>
      <c r="AB2">
        <f>(Y2-AA2)/Y2</f>
        <v>0.2303370786516854</v>
      </c>
      <c r="AC2">
        <v>1480</v>
      </c>
      <c r="AE2">
        <v>1380</v>
      </c>
      <c r="AF2">
        <f>(AC2-AE2)/AC2</f>
        <v>6.7567567567567571E-2</v>
      </c>
    </row>
    <row r="3" spans="3:32" x14ac:dyDescent="0.35">
      <c r="C3" s="61">
        <v>2</v>
      </c>
      <c r="E3">
        <v>1840</v>
      </c>
      <c r="G3">
        <v>1210</v>
      </c>
      <c r="H3">
        <f t="shared" ref="H3:H12" si="0">(E3-G3)/E3</f>
        <v>0.34239130434782611</v>
      </c>
      <c r="I3">
        <v>1790</v>
      </c>
      <c r="K3">
        <v>1330</v>
      </c>
      <c r="L3">
        <f t="shared" ref="L3:L12" si="1">(I3-K3)/I3</f>
        <v>0.25698324022346369</v>
      </c>
      <c r="M3">
        <v>1780</v>
      </c>
      <c r="O3">
        <v>1350</v>
      </c>
      <c r="P3">
        <f t="shared" ref="P3:P12" si="2">(M3-O3)/M3</f>
        <v>0.24157303370786518</v>
      </c>
      <c r="Q3">
        <v>1840</v>
      </c>
      <c r="S3">
        <v>1325</v>
      </c>
      <c r="T3">
        <f t="shared" ref="T3:T12" si="3">(Q3-S3)/Q3</f>
        <v>0.27989130434782611</v>
      </c>
      <c r="U3">
        <v>1635</v>
      </c>
      <c r="W3">
        <v>1340</v>
      </c>
      <c r="X3">
        <f t="shared" ref="X3:X12" si="4">(U3-W3)/U3</f>
        <v>0.18042813455657492</v>
      </c>
      <c r="Y3">
        <v>1605</v>
      </c>
      <c r="AA3">
        <v>1560</v>
      </c>
      <c r="AB3">
        <f t="shared" ref="AB3:AB11" si="5">(Y3-AA3)/Y3</f>
        <v>2.8037383177570093E-2</v>
      </c>
      <c r="AC3">
        <v>1680</v>
      </c>
      <c r="AE3">
        <v>1450</v>
      </c>
      <c r="AF3">
        <f t="shared" ref="AF3:AF12" si="6">(AC3-AE3)/AC3</f>
        <v>0.13690476190476192</v>
      </c>
    </row>
    <row r="4" spans="3:32" x14ac:dyDescent="0.35">
      <c r="C4" s="61">
        <v>3</v>
      </c>
      <c r="E4">
        <v>1830</v>
      </c>
      <c r="G4">
        <v>1100</v>
      </c>
      <c r="H4">
        <f t="shared" si="0"/>
        <v>0.39890710382513661</v>
      </c>
      <c r="I4">
        <v>2070</v>
      </c>
      <c r="K4">
        <v>1235</v>
      </c>
      <c r="L4">
        <f t="shared" si="1"/>
        <v>0.40338164251207731</v>
      </c>
      <c r="M4">
        <v>1935</v>
      </c>
      <c r="O4">
        <v>1350</v>
      </c>
      <c r="P4">
        <f t="shared" si="2"/>
        <v>0.30232558139534882</v>
      </c>
      <c r="Q4">
        <v>1930</v>
      </c>
      <c r="S4">
        <v>1205</v>
      </c>
      <c r="T4">
        <f t="shared" si="3"/>
        <v>0.37564766839378239</v>
      </c>
      <c r="U4">
        <v>1950</v>
      </c>
      <c r="W4">
        <v>1580</v>
      </c>
      <c r="X4">
        <f t="shared" si="4"/>
        <v>0.18974358974358974</v>
      </c>
      <c r="Y4">
        <v>1870</v>
      </c>
      <c r="AA4">
        <v>1545</v>
      </c>
      <c r="AB4">
        <f t="shared" si="5"/>
        <v>0.17379679144385027</v>
      </c>
      <c r="AC4">
        <v>1770</v>
      </c>
      <c r="AE4">
        <v>1530</v>
      </c>
      <c r="AF4">
        <f t="shared" si="6"/>
        <v>0.13559322033898305</v>
      </c>
    </row>
    <row r="5" spans="3:32" x14ac:dyDescent="0.35">
      <c r="C5" s="61">
        <v>4</v>
      </c>
      <c r="E5">
        <v>2180</v>
      </c>
      <c r="G5">
        <v>960</v>
      </c>
      <c r="H5">
        <f t="shared" si="0"/>
        <v>0.55963302752293576</v>
      </c>
      <c r="I5">
        <v>1875</v>
      </c>
      <c r="K5">
        <v>1130</v>
      </c>
      <c r="L5">
        <f t="shared" si="1"/>
        <v>0.39733333333333332</v>
      </c>
      <c r="M5">
        <v>1525</v>
      </c>
      <c r="O5">
        <v>975</v>
      </c>
      <c r="P5">
        <f t="shared" si="2"/>
        <v>0.36065573770491804</v>
      </c>
      <c r="Q5">
        <v>1740</v>
      </c>
      <c r="S5">
        <v>1365</v>
      </c>
      <c r="T5">
        <f t="shared" si="3"/>
        <v>0.21551724137931033</v>
      </c>
      <c r="U5">
        <v>1935</v>
      </c>
      <c r="W5">
        <v>1440</v>
      </c>
      <c r="X5">
        <f t="shared" si="4"/>
        <v>0.2558139534883721</v>
      </c>
      <c r="Y5">
        <v>2020</v>
      </c>
      <c r="AA5">
        <v>1805</v>
      </c>
      <c r="AB5">
        <f t="shared" si="5"/>
        <v>0.10643564356435643</v>
      </c>
      <c r="AC5">
        <v>1440</v>
      </c>
      <c r="AE5">
        <v>1510</v>
      </c>
      <c r="AF5">
        <f t="shared" si="6"/>
        <v>-4.8611111111111112E-2</v>
      </c>
    </row>
    <row r="6" spans="3:32" x14ac:dyDescent="0.35">
      <c r="C6" s="61">
        <v>5</v>
      </c>
      <c r="E6">
        <v>1800</v>
      </c>
      <c r="G6">
        <v>840</v>
      </c>
      <c r="H6">
        <f t="shared" si="0"/>
        <v>0.53333333333333333</v>
      </c>
      <c r="I6">
        <v>1775</v>
      </c>
      <c r="K6">
        <v>1245</v>
      </c>
      <c r="L6">
        <f t="shared" si="1"/>
        <v>0.29859154929577464</v>
      </c>
      <c r="M6">
        <v>1770</v>
      </c>
      <c r="O6">
        <v>1275</v>
      </c>
      <c r="P6">
        <f t="shared" si="2"/>
        <v>0.27966101694915252</v>
      </c>
      <c r="Q6">
        <v>1875</v>
      </c>
      <c r="S6">
        <v>1410</v>
      </c>
      <c r="T6">
        <f t="shared" si="3"/>
        <v>0.248</v>
      </c>
      <c r="U6">
        <v>1830</v>
      </c>
      <c r="W6">
        <v>1500</v>
      </c>
      <c r="X6">
        <f t="shared" si="4"/>
        <v>0.18032786885245902</v>
      </c>
      <c r="Y6">
        <v>2090</v>
      </c>
      <c r="AA6">
        <v>1785</v>
      </c>
      <c r="AB6">
        <f t="shared" si="5"/>
        <v>0.145933014354067</v>
      </c>
      <c r="AC6">
        <v>1650</v>
      </c>
      <c r="AE6">
        <v>1760</v>
      </c>
      <c r="AF6">
        <f t="shared" si="6"/>
        <v>-6.6666666666666666E-2</v>
      </c>
    </row>
    <row r="7" spans="3:32" x14ac:dyDescent="0.35">
      <c r="C7" s="61">
        <v>6</v>
      </c>
      <c r="E7">
        <v>1815</v>
      </c>
      <c r="G7">
        <v>1345</v>
      </c>
      <c r="H7">
        <f t="shared" si="0"/>
        <v>0.25895316804407714</v>
      </c>
      <c r="I7">
        <v>1765</v>
      </c>
      <c r="K7">
        <v>1170</v>
      </c>
      <c r="L7">
        <f t="shared" si="1"/>
        <v>0.33711048158640228</v>
      </c>
      <c r="M7">
        <v>1815</v>
      </c>
      <c r="O7">
        <v>1335</v>
      </c>
      <c r="P7">
        <f t="shared" si="2"/>
        <v>0.26446280991735538</v>
      </c>
      <c r="Q7">
        <v>1710</v>
      </c>
      <c r="S7">
        <v>1215</v>
      </c>
      <c r="T7">
        <f t="shared" si="3"/>
        <v>0.28947368421052633</v>
      </c>
      <c r="U7">
        <v>2130</v>
      </c>
      <c r="W7">
        <v>1485</v>
      </c>
      <c r="X7">
        <f t="shared" si="4"/>
        <v>0.30281690140845069</v>
      </c>
      <c r="Y7">
        <v>1740</v>
      </c>
      <c r="AA7">
        <v>1585</v>
      </c>
      <c r="AB7">
        <f t="shared" si="5"/>
        <v>8.9080459770114945E-2</v>
      </c>
      <c r="AC7">
        <v>1890</v>
      </c>
      <c r="AE7">
        <v>1785</v>
      </c>
      <c r="AF7">
        <f t="shared" si="6"/>
        <v>5.5555555555555552E-2</v>
      </c>
    </row>
    <row r="8" spans="3:32" x14ac:dyDescent="0.35">
      <c r="C8" s="61">
        <v>7</v>
      </c>
      <c r="E8">
        <v>2040</v>
      </c>
      <c r="G8">
        <v>1110</v>
      </c>
      <c r="H8">
        <f t="shared" si="0"/>
        <v>0.45588235294117646</v>
      </c>
      <c r="I8">
        <v>1680</v>
      </c>
      <c r="K8">
        <v>1125</v>
      </c>
      <c r="L8">
        <f t="shared" si="1"/>
        <v>0.33035714285714285</v>
      </c>
      <c r="M8">
        <v>1635</v>
      </c>
      <c r="O8">
        <v>1220</v>
      </c>
      <c r="P8">
        <f t="shared" si="2"/>
        <v>0.25382262996941896</v>
      </c>
      <c r="Q8">
        <v>1905</v>
      </c>
      <c r="S8">
        <v>1325</v>
      </c>
      <c r="T8">
        <f t="shared" si="3"/>
        <v>0.30446194225721784</v>
      </c>
      <c r="U8">
        <v>1890</v>
      </c>
      <c r="W8">
        <v>1440</v>
      </c>
      <c r="X8">
        <f t="shared" si="4"/>
        <v>0.23809523809523808</v>
      </c>
      <c r="Y8">
        <v>1710</v>
      </c>
      <c r="AA8">
        <v>1350</v>
      </c>
      <c r="AB8">
        <f t="shared" si="5"/>
        <v>0.21052631578947367</v>
      </c>
      <c r="AC8">
        <v>1815</v>
      </c>
      <c r="AE8">
        <v>1745</v>
      </c>
      <c r="AF8">
        <f t="shared" si="6"/>
        <v>3.8567493112947659E-2</v>
      </c>
    </row>
    <row r="9" spans="3:32" x14ac:dyDescent="0.35">
      <c r="C9" s="61">
        <v>8</v>
      </c>
      <c r="E9">
        <v>1725</v>
      </c>
      <c r="G9">
        <v>865</v>
      </c>
      <c r="H9">
        <f t="shared" si="0"/>
        <v>0.49855072463768119</v>
      </c>
      <c r="I9">
        <v>1905</v>
      </c>
      <c r="K9">
        <v>1250</v>
      </c>
      <c r="L9">
        <f t="shared" si="1"/>
        <v>0.34383202099737531</v>
      </c>
      <c r="M9">
        <v>1845</v>
      </c>
      <c r="O9">
        <v>1380</v>
      </c>
      <c r="P9">
        <f t="shared" si="2"/>
        <v>0.25203252032520324</v>
      </c>
      <c r="Q9">
        <v>2095</v>
      </c>
      <c r="S9">
        <v>1235</v>
      </c>
      <c r="T9">
        <f t="shared" si="3"/>
        <v>0.41050119331742241</v>
      </c>
      <c r="U9">
        <v>2085</v>
      </c>
      <c r="W9">
        <v>1460</v>
      </c>
      <c r="X9">
        <f t="shared" si="4"/>
        <v>0.29976019184652281</v>
      </c>
      <c r="Y9">
        <v>2025</v>
      </c>
      <c r="AA9">
        <v>1665</v>
      </c>
      <c r="AB9">
        <f t="shared" si="5"/>
        <v>0.17777777777777778</v>
      </c>
      <c r="AC9">
        <v>1910</v>
      </c>
      <c r="AE9">
        <v>1505</v>
      </c>
      <c r="AF9">
        <f t="shared" si="6"/>
        <v>0.21204188481675393</v>
      </c>
    </row>
    <row r="10" spans="3:32" x14ac:dyDescent="0.35">
      <c r="C10" s="61">
        <v>9</v>
      </c>
      <c r="E10">
        <v>1935</v>
      </c>
      <c r="G10">
        <v>1320</v>
      </c>
      <c r="H10">
        <f t="shared" si="0"/>
        <v>0.31782945736434109</v>
      </c>
      <c r="I10">
        <v>1805</v>
      </c>
      <c r="K10">
        <v>1155</v>
      </c>
      <c r="L10">
        <f t="shared" si="1"/>
        <v>0.36011080332409973</v>
      </c>
      <c r="M10">
        <v>1950</v>
      </c>
      <c r="O10">
        <v>1585</v>
      </c>
      <c r="P10">
        <f t="shared" si="2"/>
        <v>0.18717948717948718</v>
      </c>
      <c r="Q10">
        <v>1860</v>
      </c>
      <c r="S10">
        <v>1290</v>
      </c>
      <c r="T10">
        <f t="shared" si="3"/>
        <v>0.30645161290322581</v>
      </c>
      <c r="U10">
        <v>1740</v>
      </c>
      <c r="W10">
        <v>1335</v>
      </c>
      <c r="X10">
        <f t="shared" si="4"/>
        <v>0.23275862068965517</v>
      </c>
      <c r="Y10">
        <v>2100</v>
      </c>
      <c r="AA10">
        <v>1415</v>
      </c>
      <c r="AB10">
        <f t="shared" si="5"/>
        <v>0.3261904761904762</v>
      </c>
      <c r="AC10">
        <v>1490</v>
      </c>
      <c r="AE10">
        <v>1260</v>
      </c>
      <c r="AF10">
        <f t="shared" si="6"/>
        <v>0.15436241610738255</v>
      </c>
    </row>
    <row r="11" spans="3:32" x14ac:dyDescent="0.35">
      <c r="C11" s="61">
        <v>10</v>
      </c>
      <c r="E11">
        <v>1830</v>
      </c>
      <c r="G11">
        <v>1235</v>
      </c>
      <c r="H11">
        <f t="shared" si="0"/>
        <v>0.3251366120218579</v>
      </c>
      <c r="I11">
        <v>2065</v>
      </c>
      <c r="K11">
        <v>1325</v>
      </c>
      <c r="L11">
        <f t="shared" si="1"/>
        <v>0.3583535108958838</v>
      </c>
      <c r="Q11">
        <v>1980</v>
      </c>
      <c r="S11">
        <v>1275</v>
      </c>
      <c r="T11">
        <f t="shared" si="3"/>
        <v>0.35606060606060608</v>
      </c>
      <c r="U11">
        <v>1695</v>
      </c>
      <c r="W11">
        <v>1375</v>
      </c>
      <c r="X11">
        <f t="shared" si="4"/>
        <v>0.1887905604719764</v>
      </c>
      <c r="Y11">
        <v>1890</v>
      </c>
      <c r="AA11">
        <v>1275</v>
      </c>
      <c r="AB11">
        <f t="shared" si="5"/>
        <v>0.32539682539682541</v>
      </c>
      <c r="AC11">
        <v>1710</v>
      </c>
      <c r="AE11">
        <v>1395</v>
      </c>
      <c r="AF11">
        <f t="shared" si="6"/>
        <v>0.18421052631578946</v>
      </c>
    </row>
    <row r="12" spans="3:32" x14ac:dyDescent="0.35">
      <c r="C12" t="s">
        <v>60</v>
      </c>
      <c r="E12">
        <f>AVERAGE(E2:E11)</f>
        <v>1840</v>
      </c>
      <c r="G12">
        <f>AVERAGE(G2:G11)</f>
        <v>1065.5</v>
      </c>
      <c r="H12">
        <f t="shared" si="0"/>
        <v>0.42092391304347826</v>
      </c>
      <c r="I12">
        <f>AVERAGE(I2:I11)</f>
        <v>1842</v>
      </c>
      <c r="K12">
        <f>AVERAGE(K2:K11)</f>
        <v>1224.5</v>
      </c>
      <c r="L12">
        <f t="shared" si="1"/>
        <v>0.33523344191096632</v>
      </c>
      <c r="M12">
        <f>AVERAGE(M2:M11)</f>
        <v>1785.5555555555557</v>
      </c>
      <c r="O12">
        <f>AVERAGE(O2:O11)</f>
        <v>1301.1111111111111</v>
      </c>
      <c r="P12">
        <f t="shared" si="2"/>
        <v>0.27131300560049787</v>
      </c>
      <c r="Q12">
        <f>AVERAGE(Q2:Q11)</f>
        <v>1860.5</v>
      </c>
      <c r="S12">
        <f>AVERAGE(S2:S11)</f>
        <v>1275</v>
      </c>
      <c r="T12">
        <f t="shared" si="3"/>
        <v>0.31470034936844932</v>
      </c>
      <c r="U12">
        <f>AVERAGE(U2:U11)</f>
        <v>1860</v>
      </c>
      <c r="W12">
        <f>AVERAGE(W2:W11)</f>
        <v>1415</v>
      </c>
      <c r="X12">
        <f t="shared" si="4"/>
        <v>0.239247311827957</v>
      </c>
      <c r="Y12">
        <f>AVERAGE(Y2:Y11)</f>
        <v>1883</v>
      </c>
      <c r="AA12">
        <f>AVERAGE(AA2:AA11)</f>
        <v>1535.5</v>
      </c>
      <c r="AB12">
        <f>(Y12-AA12)/Y12</f>
        <v>0.18454593733404143</v>
      </c>
      <c r="AC12">
        <f>AVERAGE(AC2:AC11)</f>
        <v>1683.5</v>
      </c>
      <c r="AE12">
        <f>AVERAGE(AE2:AE11)</f>
        <v>1532</v>
      </c>
      <c r="AF12">
        <f t="shared" si="6"/>
        <v>8.9991089991089984E-2</v>
      </c>
    </row>
    <row r="13" spans="3:32" x14ac:dyDescent="0.35">
      <c r="C13" t="s">
        <v>22</v>
      </c>
      <c r="E13">
        <f>((E12-G12)/E12)*100</f>
        <v>42.092391304347828</v>
      </c>
      <c r="I13">
        <f>((I12-K12)/I12)*100</f>
        <v>33.523344191096633</v>
      </c>
      <c r="M13">
        <f>((M12-O12)/M12)*100</f>
        <v>27.131300560049787</v>
      </c>
      <c r="Q13">
        <f>((Q12-S12)/Q12)*100</f>
        <v>31.470034936844932</v>
      </c>
      <c r="U13">
        <f>((U12-W12)/U12)*100</f>
        <v>23.9247311827957</v>
      </c>
      <c r="Y13">
        <f>((Y12-AA12)/Y12)*100</f>
        <v>18.454593733404142</v>
      </c>
      <c r="AC13">
        <f>((AC12-AE12)/AC12)*100</f>
        <v>8.9991089991089979</v>
      </c>
    </row>
    <row r="14" spans="3:32" x14ac:dyDescent="0.35">
      <c r="C14"/>
    </row>
    <row r="16" spans="3:32" x14ac:dyDescent="0.35">
      <c r="C16" s="262"/>
    </row>
    <row r="17" spans="1:42" x14ac:dyDescent="0.35">
      <c r="C17" s="262"/>
    </row>
    <row r="18" spans="1:42" ht="15" thickBot="1" x14ac:dyDescent="0.4">
      <c r="A18" s="74"/>
      <c r="B18" s="74"/>
      <c r="C18" s="284"/>
      <c r="D18" s="284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</row>
    <row r="19" spans="1:42" x14ac:dyDescent="0.35">
      <c r="A19" s="286"/>
      <c r="B19" s="287"/>
      <c r="C19" s="288"/>
      <c r="D19" s="365" t="s">
        <v>133</v>
      </c>
      <c r="E19" s="366"/>
      <c r="F19" s="366"/>
      <c r="G19" s="368"/>
      <c r="H19" s="365" t="s">
        <v>43</v>
      </c>
      <c r="I19" s="366"/>
      <c r="J19" s="366"/>
      <c r="K19" s="368"/>
      <c r="L19" s="365" t="s">
        <v>44</v>
      </c>
      <c r="M19" s="366"/>
      <c r="N19" s="366"/>
      <c r="O19" s="368"/>
      <c r="P19" s="365" t="s">
        <v>45</v>
      </c>
      <c r="Q19" s="366"/>
      <c r="R19" s="366"/>
      <c r="S19" s="368"/>
      <c r="T19" s="365" t="s">
        <v>46</v>
      </c>
      <c r="U19" s="366"/>
      <c r="V19" s="366"/>
      <c r="W19" s="368"/>
      <c r="X19" s="365" t="s">
        <v>48</v>
      </c>
      <c r="Y19" s="366"/>
      <c r="Z19" s="366"/>
      <c r="AA19" s="368"/>
      <c r="AB19" s="365" t="s">
        <v>49</v>
      </c>
      <c r="AC19" s="366"/>
      <c r="AD19" s="366"/>
      <c r="AE19" s="367"/>
    </row>
    <row r="20" spans="1:42" x14ac:dyDescent="0.35">
      <c r="A20" s="359" t="s">
        <v>203</v>
      </c>
      <c r="B20" s="360"/>
      <c r="C20" s="361"/>
      <c r="D20" s="362" t="s">
        <v>184</v>
      </c>
      <c r="E20" s="363"/>
      <c r="F20" s="362" t="s">
        <v>185</v>
      </c>
      <c r="G20" s="363"/>
      <c r="H20" s="362" t="s">
        <v>184</v>
      </c>
      <c r="I20" s="363"/>
      <c r="J20" s="362" t="s">
        <v>185</v>
      </c>
      <c r="K20" s="363"/>
      <c r="L20" s="362" t="s">
        <v>184</v>
      </c>
      <c r="M20" s="363"/>
      <c r="N20" s="362" t="s">
        <v>185</v>
      </c>
      <c r="O20" s="363"/>
      <c r="P20" s="362" t="s">
        <v>184</v>
      </c>
      <c r="Q20" s="363"/>
      <c r="R20" s="362" t="s">
        <v>185</v>
      </c>
      <c r="S20" s="363"/>
      <c r="T20" s="362" t="s">
        <v>184</v>
      </c>
      <c r="U20" s="363"/>
      <c r="V20" s="362" t="s">
        <v>185</v>
      </c>
      <c r="W20" s="363"/>
      <c r="X20" s="362" t="s">
        <v>184</v>
      </c>
      <c r="Y20" s="363"/>
      <c r="Z20" s="362" t="s">
        <v>185</v>
      </c>
      <c r="AA20" s="363"/>
      <c r="AB20" s="362" t="s">
        <v>184</v>
      </c>
      <c r="AC20" s="363"/>
      <c r="AD20" s="362" t="s">
        <v>185</v>
      </c>
      <c r="AE20" s="364"/>
      <c r="AH20" s="358"/>
      <c r="AI20" s="358"/>
      <c r="AJ20" s="358"/>
      <c r="AK20" s="358"/>
    </row>
    <row r="21" spans="1:42" x14ac:dyDescent="0.35">
      <c r="A21" s="289" t="s">
        <v>169</v>
      </c>
      <c r="B21" s="273" t="s">
        <v>202</v>
      </c>
      <c r="C21" s="273" t="s">
        <v>50</v>
      </c>
      <c r="D21" s="277" t="s">
        <v>186</v>
      </c>
      <c r="E21" s="278" t="s">
        <v>29</v>
      </c>
      <c r="F21" s="277" t="s">
        <v>186</v>
      </c>
      <c r="G21" s="278" t="s">
        <v>29</v>
      </c>
      <c r="H21" s="277" t="s">
        <v>186</v>
      </c>
      <c r="I21" s="278" t="s">
        <v>29</v>
      </c>
      <c r="J21" s="277" t="s">
        <v>186</v>
      </c>
      <c r="K21" s="278" t="s">
        <v>29</v>
      </c>
      <c r="L21" s="277" t="s">
        <v>186</v>
      </c>
      <c r="M21" s="278" t="s">
        <v>29</v>
      </c>
      <c r="N21" s="277" t="s">
        <v>186</v>
      </c>
      <c r="O21" s="278" t="s">
        <v>29</v>
      </c>
      <c r="P21" s="277" t="s">
        <v>186</v>
      </c>
      <c r="Q21" s="278" t="s">
        <v>29</v>
      </c>
      <c r="R21" s="277" t="s">
        <v>186</v>
      </c>
      <c r="S21" s="278" t="s">
        <v>29</v>
      </c>
      <c r="T21" s="277" t="s">
        <v>186</v>
      </c>
      <c r="U21" s="278" t="s">
        <v>29</v>
      </c>
      <c r="V21" s="277" t="s">
        <v>186</v>
      </c>
      <c r="W21" s="278" t="s">
        <v>29</v>
      </c>
      <c r="X21" s="277" t="s">
        <v>186</v>
      </c>
      <c r="Y21" s="278" t="s">
        <v>29</v>
      </c>
      <c r="Z21" s="277" t="s">
        <v>186</v>
      </c>
      <c r="AA21" s="278" t="s">
        <v>29</v>
      </c>
      <c r="AB21" s="277" t="s">
        <v>186</v>
      </c>
      <c r="AC21" s="278" t="s">
        <v>29</v>
      </c>
      <c r="AD21" s="277" t="s">
        <v>186</v>
      </c>
      <c r="AE21" s="290" t="s">
        <v>29</v>
      </c>
      <c r="AG21" s="61"/>
      <c r="AH21" s="61"/>
      <c r="AI21" s="61"/>
      <c r="AJ21" s="61"/>
      <c r="AK21" s="61"/>
      <c r="AL21" s="61"/>
      <c r="AM21" s="61"/>
      <c r="AN21" s="61"/>
    </row>
    <row r="22" spans="1:42" x14ac:dyDescent="0.35">
      <c r="A22" s="65">
        <v>0</v>
      </c>
      <c r="B22" t="s">
        <v>52</v>
      </c>
      <c r="C22" s="276">
        <v>40878</v>
      </c>
      <c r="D22" s="54"/>
      <c r="E22" t="str">
        <f t="shared" ref="E22:E53" si="7">IF(OR(ISBLANK(D22),ISTEXT(D22)),"",LOOKUP(D22,$C$2:$C$11,E$2:E$11))</f>
        <v/>
      </c>
      <c r="G22" s="58" t="str">
        <f t="shared" ref="G22:G53" si="8">IF(OR(ISBLANK(F22),ISTEXT(F22)),"",LOOKUP(F22,$C$2:$C$11,G$2:G$11))</f>
        <v/>
      </c>
      <c r="H22" s="54"/>
      <c r="I22" t="str">
        <f t="shared" ref="I22:I53" si="9">IF(OR(ISBLANK(H22),ISTEXT(H22)),"",LOOKUP(H22,$C$2:$C$11,I$2:I$11))</f>
        <v/>
      </c>
      <c r="K22" s="58" t="str">
        <f t="shared" ref="K22:K53" si="10">IF(OR(ISBLANK(J22),ISTEXT(J22)),"",LOOKUP(J22,$C$2:$C$11,K$2:K$11))</f>
        <v/>
      </c>
      <c r="L22" s="54"/>
      <c r="M22" t="str">
        <f t="shared" ref="M22:M53" si="11">IF(OR(ISBLANK(L22),ISTEXT(L22)),"",LOOKUP(L22,$C$2:$C$11,M$2:M$11))</f>
        <v/>
      </c>
      <c r="O22" s="58" t="str">
        <f t="shared" ref="O22:O53" si="12">IF(OR(ISBLANK(N22),ISTEXT(N22)),"",LOOKUP(N22,$C$2:$C$11,O$2:O$11))</f>
        <v/>
      </c>
      <c r="P22" s="54">
        <v>1</v>
      </c>
      <c r="Q22">
        <f t="shared" ref="Q22:Q53" si="13">IF(OR(ISBLANK(P22),ISTEXT(P22)),"",LOOKUP(P22,$C$2:$C$11,Q$2:Q$11))</f>
        <v>1670</v>
      </c>
      <c r="S22" s="58" t="str">
        <f t="shared" ref="S22:S53" si="14">IF(OR(ISBLANK(R22),ISTEXT(R22)),"",LOOKUP(R22,$C$2:$C$11,S$2:S$11))</f>
        <v/>
      </c>
      <c r="T22" s="54"/>
      <c r="U22" t="str">
        <f t="shared" ref="U22:U53" si="15">IF(OR(ISBLANK(T22),ISTEXT(T22)),"",LOOKUP(T22,$C$2:$C$11,U$2:U$11))</f>
        <v/>
      </c>
      <c r="W22" s="58" t="str">
        <f t="shared" ref="W22:W53" si="16">IF(OR(ISBLANK(V22),ISTEXT(V22)),"",LOOKUP(V22,$C$2:$C$11,W$2:W$11))</f>
        <v/>
      </c>
      <c r="X22" s="54">
        <v>1</v>
      </c>
      <c r="Y22">
        <f t="shared" ref="Y22:Y53" si="17">IF(OR(ISBLANK(X22),ISTEXT(X22)),"",LOOKUP(X22,$C$2:$C$11,Y$2:Y$11))</f>
        <v>1780</v>
      </c>
      <c r="AA22" s="58" t="str">
        <f t="shared" ref="AA22:AA53" si="18">IF(OR(ISBLANK(Z22),ISTEXT(Z22)),"",LOOKUP(Z22,$C$2:$C$11,AA$2:AA$11))</f>
        <v/>
      </c>
      <c r="AB22" s="54"/>
      <c r="AC22" t="str">
        <f t="shared" ref="AC22:AC53" si="19">IF(OR(ISBLANK(AB22),ISTEXT(AB22)),"",LOOKUP(AB22,$C$2:$C$11,AC$2:AC$11))</f>
        <v/>
      </c>
      <c r="AE22" s="66" t="str">
        <f t="shared" ref="AE22:AE53" si="20">IF(OR(ISBLANK(AD22),ISTEXT(AD22)),"",LOOKUP(AD22,$C$2:$C$11,AE$2:AE$11))</f>
        <v/>
      </c>
      <c r="AL22" s="279"/>
      <c r="AN22" s="279"/>
      <c r="AP22" s="1"/>
    </row>
    <row r="23" spans="1:42" x14ac:dyDescent="0.35">
      <c r="A23" s="65">
        <v>1</v>
      </c>
      <c r="B23" t="s">
        <v>53</v>
      </c>
      <c r="C23" s="276">
        <v>40879</v>
      </c>
      <c r="D23" s="54">
        <v>1</v>
      </c>
      <c r="E23">
        <f t="shared" si="7"/>
        <v>1405</v>
      </c>
      <c r="F23">
        <v>1</v>
      </c>
      <c r="G23" s="58">
        <f t="shared" si="8"/>
        <v>670</v>
      </c>
      <c r="H23" s="54"/>
      <c r="I23" t="str">
        <f t="shared" si="9"/>
        <v/>
      </c>
      <c r="J23" t="s">
        <v>183</v>
      </c>
      <c r="K23" s="58" t="str">
        <f t="shared" si="10"/>
        <v/>
      </c>
      <c r="L23" s="54"/>
      <c r="M23" t="str">
        <f t="shared" si="11"/>
        <v/>
      </c>
      <c r="N23" t="s">
        <v>183</v>
      </c>
      <c r="O23" s="58" t="str">
        <f t="shared" si="12"/>
        <v/>
      </c>
      <c r="P23" s="54" t="s">
        <v>183</v>
      </c>
      <c r="Q23" t="str">
        <f t="shared" si="13"/>
        <v/>
      </c>
      <c r="R23">
        <v>1</v>
      </c>
      <c r="S23" s="58">
        <f t="shared" si="14"/>
        <v>1105</v>
      </c>
      <c r="T23" s="54">
        <v>1</v>
      </c>
      <c r="U23">
        <f t="shared" si="15"/>
        <v>1710</v>
      </c>
      <c r="V23" t="s">
        <v>183</v>
      </c>
      <c r="W23" s="58" t="str">
        <f t="shared" si="16"/>
        <v/>
      </c>
      <c r="X23" s="54" t="s">
        <v>183</v>
      </c>
      <c r="Y23" t="str">
        <f t="shared" si="17"/>
        <v/>
      </c>
      <c r="Z23" t="s">
        <v>183</v>
      </c>
      <c r="AA23" s="58" t="str">
        <f t="shared" si="18"/>
        <v/>
      </c>
      <c r="AB23" s="54" t="s">
        <v>183</v>
      </c>
      <c r="AC23" t="str">
        <f t="shared" si="19"/>
        <v/>
      </c>
      <c r="AD23" t="s">
        <v>183</v>
      </c>
      <c r="AE23" s="66" t="str">
        <f t="shared" si="20"/>
        <v/>
      </c>
      <c r="AL23" s="279"/>
      <c r="AN23" s="279"/>
      <c r="AP23" s="1"/>
    </row>
    <row r="24" spans="1:42" x14ac:dyDescent="0.35">
      <c r="A24" s="65">
        <v>2</v>
      </c>
      <c r="B24" t="s">
        <v>54</v>
      </c>
      <c r="C24" s="276">
        <v>40880</v>
      </c>
      <c r="D24" s="54"/>
      <c r="E24" t="str">
        <f t="shared" si="7"/>
        <v/>
      </c>
      <c r="G24" s="58" t="str">
        <f t="shared" si="8"/>
        <v/>
      </c>
      <c r="H24" s="54"/>
      <c r="I24" t="str">
        <f t="shared" si="9"/>
        <v/>
      </c>
      <c r="J24" t="s">
        <v>183</v>
      </c>
      <c r="K24" s="58" t="str">
        <f t="shared" si="10"/>
        <v/>
      </c>
      <c r="L24" s="54"/>
      <c r="M24" t="str">
        <f t="shared" si="11"/>
        <v/>
      </c>
      <c r="N24" t="s">
        <v>183</v>
      </c>
      <c r="O24" s="58" t="str">
        <f t="shared" si="12"/>
        <v/>
      </c>
      <c r="P24" s="54" t="s">
        <v>183</v>
      </c>
      <c r="Q24" t="str">
        <f t="shared" si="13"/>
        <v/>
      </c>
      <c r="R24" t="s">
        <v>183</v>
      </c>
      <c r="S24" s="58" t="str">
        <f t="shared" si="14"/>
        <v/>
      </c>
      <c r="T24" s="54" t="s">
        <v>183</v>
      </c>
      <c r="U24" t="str">
        <f t="shared" si="15"/>
        <v/>
      </c>
      <c r="V24" t="s">
        <v>183</v>
      </c>
      <c r="W24" s="58" t="str">
        <f t="shared" si="16"/>
        <v/>
      </c>
      <c r="X24" s="54" t="s">
        <v>183</v>
      </c>
      <c r="Y24" t="str">
        <f t="shared" si="17"/>
        <v/>
      </c>
      <c r="Z24" t="s">
        <v>183</v>
      </c>
      <c r="AA24" s="58" t="str">
        <f t="shared" si="18"/>
        <v/>
      </c>
      <c r="AB24" s="54">
        <v>1</v>
      </c>
      <c r="AC24">
        <f t="shared" si="19"/>
        <v>1480</v>
      </c>
      <c r="AD24" t="s">
        <v>183</v>
      </c>
      <c r="AE24" s="66" t="str">
        <f t="shared" si="20"/>
        <v/>
      </c>
      <c r="AL24" s="279"/>
      <c r="AN24" s="279"/>
      <c r="AP24" s="1"/>
    </row>
    <row r="25" spans="1:42" x14ac:dyDescent="0.35">
      <c r="A25" s="65">
        <v>3</v>
      </c>
      <c r="B25" t="s">
        <v>55</v>
      </c>
      <c r="C25" s="276">
        <v>40881</v>
      </c>
      <c r="D25" s="54"/>
      <c r="E25" t="str">
        <f t="shared" si="7"/>
        <v/>
      </c>
      <c r="F25" t="s">
        <v>183</v>
      </c>
      <c r="G25" s="58" t="str">
        <f t="shared" si="8"/>
        <v/>
      </c>
      <c r="H25" s="54"/>
      <c r="I25" t="str">
        <f t="shared" si="9"/>
        <v/>
      </c>
      <c r="J25" t="s">
        <v>183</v>
      </c>
      <c r="K25" s="58" t="str">
        <f t="shared" si="10"/>
        <v/>
      </c>
      <c r="L25" s="54"/>
      <c r="M25" t="str">
        <f t="shared" si="11"/>
        <v/>
      </c>
      <c r="N25" t="s">
        <v>183</v>
      </c>
      <c r="O25" s="58" t="str">
        <f t="shared" si="12"/>
        <v/>
      </c>
      <c r="P25" s="54" t="s">
        <v>183</v>
      </c>
      <c r="Q25" t="str">
        <f t="shared" si="13"/>
        <v/>
      </c>
      <c r="R25" t="s">
        <v>183</v>
      </c>
      <c r="S25" s="58" t="str">
        <f t="shared" si="14"/>
        <v/>
      </c>
      <c r="T25" s="54" t="s">
        <v>183</v>
      </c>
      <c r="U25" t="str">
        <f t="shared" si="15"/>
        <v/>
      </c>
      <c r="V25">
        <v>1</v>
      </c>
      <c r="W25" s="58">
        <f t="shared" si="16"/>
        <v>1195</v>
      </c>
      <c r="X25" s="54" t="s">
        <v>183</v>
      </c>
      <c r="Y25" t="str">
        <f t="shared" si="17"/>
        <v/>
      </c>
      <c r="Z25" t="s">
        <v>183</v>
      </c>
      <c r="AA25" s="58" t="str">
        <f t="shared" si="18"/>
        <v/>
      </c>
      <c r="AB25" s="54" t="s">
        <v>183</v>
      </c>
      <c r="AC25" t="str">
        <f t="shared" si="19"/>
        <v/>
      </c>
      <c r="AD25" t="s">
        <v>183</v>
      </c>
      <c r="AE25" s="66" t="str">
        <f t="shared" si="20"/>
        <v/>
      </c>
      <c r="AL25" s="279"/>
      <c r="AN25" s="279"/>
      <c r="AP25" s="1"/>
    </row>
    <row r="26" spans="1:42" x14ac:dyDescent="0.35">
      <c r="A26" s="65">
        <v>4</v>
      </c>
      <c r="B26" t="s">
        <v>56</v>
      </c>
      <c r="C26" s="276">
        <v>40882</v>
      </c>
      <c r="D26" s="54"/>
      <c r="E26" t="str">
        <f t="shared" si="7"/>
        <v/>
      </c>
      <c r="F26" t="s">
        <v>183</v>
      </c>
      <c r="G26" s="58" t="str">
        <f t="shared" si="8"/>
        <v/>
      </c>
      <c r="H26" s="54"/>
      <c r="I26" t="str">
        <f t="shared" si="9"/>
        <v/>
      </c>
      <c r="J26" t="s">
        <v>183</v>
      </c>
      <c r="K26" s="58" t="str">
        <f t="shared" si="10"/>
        <v/>
      </c>
      <c r="L26" s="54"/>
      <c r="M26" t="str">
        <f t="shared" si="11"/>
        <v/>
      </c>
      <c r="N26" t="s">
        <v>183</v>
      </c>
      <c r="O26" s="58" t="str">
        <f t="shared" si="12"/>
        <v/>
      </c>
      <c r="P26" s="54" t="s">
        <v>183</v>
      </c>
      <c r="Q26" t="str">
        <f t="shared" si="13"/>
        <v/>
      </c>
      <c r="R26" t="s">
        <v>183</v>
      </c>
      <c r="S26" s="58" t="str">
        <f t="shared" si="14"/>
        <v/>
      </c>
      <c r="T26" s="54" t="s">
        <v>183</v>
      </c>
      <c r="U26" t="str">
        <f t="shared" si="15"/>
        <v/>
      </c>
      <c r="V26" t="s">
        <v>183</v>
      </c>
      <c r="W26" s="58" t="str">
        <f t="shared" si="16"/>
        <v/>
      </c>
      <c r="X26" s="54" t="s">
        <v>183</v>
      </c>
      <c r="Y26" t="str">
        <f t="shared" si="17"/>
        <v/>
      </c>
      <c r="Z26" t="s">
        <v>183</v>
      </c>
      <c r="AA26" s="58" t="str">
        <f t="shared" si="18"/>
        <v/>
      </c>
      <c r="AB26" s="54" t="s">
        <v>183</v>
      </c>
      <c r="AC26" t="str">
        <f t="shared" si="19"/>
        <v/>
      </c>
      <c r="AD26" t="s">
        <v>183</v>
      </c>
      <c r="AE26" s="66" t="str">
        <f t="shared" si="20"/>
        <v/>
      </c>
      <c r="AL26" s="279"/>
      <c r="AN26" s="279"/>
      <c r="AP26" s="1"/>
    </row>
    <row r="27" spans="1:42" x14ac:dyDescent="0.35">
      <c r="A27" s="65">
        <v>5</v>
      </c>
      <c r="B27" t="s">
        <v>57</v>
      </c>
      <c r="C27" s="276">
        <v>40883</v>
      </c>
      <c r="D27" s="54"/>
      <c r="E27" t="str">
        <f t="shared" si="7"/>
        <v/>
      </c>
      <c r="F27" t="s">
        <v>183</v>
      </c>
      <c r="G27" s="58" t="str">
        <f t="shared" si="8"/>
        <v/>
      </c>
      <c r="H27" s="54"/>
      <c r="I27" t="str">
        <f t="shared" si="9"/>
        <v/>
      </c>
      <c r="J27" t="s">
        <v>183</v>
      </c>
      <c r="K27" s="58" t="str">
        <f t="shared" si="10"/>
        <v/>
      </c>
      <c r="L27" s="54"/>
      <c r="M27" t="str">
        <f t="shared" si="11"/>
        <v/>
      </c>
      <c r="N27" t="s">
        <v>183</v>
      </c>
      <c r="O27" s="58" t="str">
        <f t="shared" si="12"/>
        <v/>
      </c>
      <c r="P27" s="54" t="s">
        <v>183</v>
      </c>
      <c r="Q27" t="str">
        <f t="shared" si="13"/>
        <v/>
      </c>
      <c r="R27" t="s">
        <v>183</v>
      </c>
      <c r="S27" s="58" t="str">
        <f t="shared" si="14"/>
        <v/>
      </c>
      <c r="T27" s="54" t="s">
        <v>183</v>
      </c>
      <c r="U27" t="str">
        <f t="shared" si="15"/>
        <v/>
      </c>
      <c r="V27" t="s">
        <v>183</v>
      </c>
      <c r="W27" s="58" t="str">
        <f t="shared" si="16"/>
        <v/>
      </c>
      <c r="X27" s="54" t="s">
        <v>183</v>
      </c>
      <c r="Y27" t="str">
        <f t="shared" si="17"/>
        <v/>
      </c>
      <c r="Z27" t="s">
        <v>183</v>
      </c>
      <c r="AA27" s="58" t="str">
        <f t="shared" si="18"/>
        <v/>
      </c>
      <c r="AB27" s="54" t="s">
        <v>183</v>
      </c>
      <c r="AC27" t="str">
        <f t="shared" si="19"/>
        <v/>
      </c>
      <c r="AD27" t="s">
        <v>183</v>
      </c>
      <c r="AE27" s="66" t="str">
        <f t="shared" si="20"/>
        <v/>
      </c>
      <c r="AL27" s="279"/>
      <c r="AN27" s="279"/>
      <c r="AP27" s="1"/>
    </row>
    <row r="28" spans="1:42" x14ac:dyDescent="0.35">
      <c r="A28" s="65">
        <v>6</v>
      </c>
      <c r="B28" t="s">
        <v>58</v>
      </c>
      <c r="C28" s="276">
        <v>40884</v>
      </c>
      <c r="D28" s="54">
        <v>2</v>
      </c>
      <c r="E28">
        <f t="shared" si="7"/>
        <v>1840</v>
      </c>
      <c r="F28">
        <v>2</v>
      </c>
      <c r="G28" s="58">
        <f t="shared" si="8"/>
        <v>1210</v>
      </c>
      <c r="H28" s="54">
        <v>1</v>
      </c>
      <c r="I28">
        <f t="shared" si="9"/>
        <v>1690</v>
      </c>
      <c r="J28">
        <v>1</v>
      </c>
      <c r="K28" s="58">
        <f t="shared" si="10"/>
        <v>1280</v>
      </c>
      <c r="L28" s="54"/>
      <c r="M28" t="str">
        <f t="shared" si="11"/>
        <v/>
      </c>
      <c r="N28" t="s">
        <v>183</v>
      </c>
      <c r="O28" s="58" t="str">
        <f t="shared" si="12"/>
        <v/>
      </c>
      <c r="P28" s="54" t="s">
        <v>183</v>
      </c>
      <c r="Q28" t="str">
        <f t="shared" si="13"/>
        <v/>
      </c>
      <c r="R28" t="s">
        <v>183</v>
      </c>
      <c r="S28" s="58" t="str">
        <f t="shared" si="14"/>
        <v/>
      </c>
      <c r="T28" s="54" t="s">
        <v>183</v>
      </c>
      <c r="U28" t="str">
        <f t="shared" si="15"/>
        <v/>
      </c>
      <c r="V28" t="s">
        <v>183</v>
      </c>
      <c r="W28" s="58" t="str">
        <f t="shared" si="16"/>
        <v/>
      </c>
      <c r="X28" s="54" t="s">
        <v>183</v>
      </c>
      <c r="Y28" t="str">
        <f t="shared" si="17"/>
        <v/>
      </c>
      <c r="Z28">
        <v>1</v>
      </c>
      <c r="AA28" s="58">
        <f t="shared" si="18"/>
        <v>1370</v>
      </c>
      <c r="AB28" s="54" t="s">
        <v>183</v>
      </c>
      <c r="AC28" t="str">
        <f t="shared" si="19"/>
        <v/>
      </c>
      <c r="AD28" t="s">
        <v>183</v>
      </c>
      <c r="AE28" s="66" t="str">
        <f t="shared" si="20"/>
        <v/>
      </c>
      <c r="AL28" s="279"/>
      <c r="AN28" s="279"/>
      <c r="AP28" s="1"/>
    </row>
    <row r="29" spans="1:42" x14ac:dyDescent="0.35">
      <c r="A29" s="65">
        <v>7</v>
      </c>
      <c r="B29" t="s">
        <v>52</v>
      </c>
      <c r="C29" s="276">
        <v>40885</v>
      </c>
      <c r="D29" s="54"/>
      <c r="E29" t="str">
        <f t="shared" si="7"/>
        <v/>
      </c>
      <c r="F29" t="s">
        <v>183</v>
      </c>
      <c r="G29" s="58" t="str">
        <f t="shared" si="8"/>
        <v/>
      </c>
      <c r="H29" s="54"/>
      <c r="I29" t="str">
        <f t="shared" si="9"/>
        <v/>
      </c>
      <c r="J29" t="s">
        <v>183</v>
      </c>
      <c r="K29" s="58" t="str">
        <f t="shared" si="10"/>
        <v/>
      </c>
      <c r="L29" s="54"/>
      <c r="M29" t="str">
        <f t="shared" si="11"/>
        <v/>
      </c>
      <c r="N29" t="s">
        <v>183</v>
      </c>
      <c r="O29" s="58" t="str">
        <f t="shared" si="12"/>
        <v/>
      </c>
      <c r="P29" s="54" t="s">
        <v>183</v>
      </c>
      <c r="Q29" t="str">
        <f t="shared" si="13"/>
        <v/>
      </c>
      <c r="R29" t="s">
        <v>183</v>
      </c>
      <c r="S29" s="58" t="str">
        <f t="shared" si="14"/>
        <v/>
      </c>
      <c r="T29" s="54" t="s">
        <v>183</v>
      </c>
      <c r="U29" t="str">
        <f t="shared" si="15"/>
        <v/>
      </c>
      <c r="V29" t="s">
        <v>183</v>
      </c>
      <c r="W29" s="58" t="str">
        <f t="shared" si="16"/>
        <v/>
      </c>
      <c r="X29" s="54" t="s">
        <v>183</v>
      </c>
      <c r="Y29" t="str">
        <f t="shared" si="17"/>
        <v/>
      </c>
      <c r="Z29" t="s">
        <v>183</v>
      </c>
      <c r="AA29" s="58" t="str">
        <f t="shared" si="18"/>
        <v/>
      </c>
      <c r="AB29" s="54" t="s">
        <v>183</v>
      </c>
      <c r="AC29" t="str">
        <f t="shared" si="19"/>
        <v/>
      </c>
      <c r="AD29" t="s">
        <v>183</v>
      </c>
      <c r="AE29" s="66" t="str">
        <f t="shared" si="20"/>
        <v/>
      </c>
      <c r="AL29" s="279"/>
      <c r="AN29" s="279"/>
      <c r="AP29" s="1"/>
    </row>
    <row r="30" spans="1:42" x14ac:dyDescent="0.35">
      <c r="A30" s="65">
        <v>8</v>
      </c>
      <c r="B30" t="s">
        <v>53</v>
      </c>
      <c r="C30" s="276">
        <v>40886</v>
      </c>
      <c r="D30" s="54"/>
      <c r="E30" t="str">
        <f t="shared" si="7"/>
        <v/>
      </c>
      <c r="F30" t="s">
        <v>183</v>
      </c>
      <c r="G30" s="58" t="str">
        <f t="shared" si="8"/>
        <v/>
      </c>
      <c r="H30" s="54">
        <v>2</v>
      </c>
      <c r="I30">
        <f t="shared" si="9"/>
        <v>1790</v>
      </c>
      <c r="J30">
        <v>2</v>
      </c>
      <c r="K30" s="58">
        <f t="shared" si="10"/>
        <v>1330</v>
      </c>
      <c r="L30" s="54"/>
      <c r="M30" t="str">
        <f t="shared" si="11"/>
        <v/>
      </c>
      <c r="N30" t="s">
        <v>183</v>
      </c>
      <c r="O30" s="58" t="str">
        <f t="shared" si="12"/>
        <v/>
      </c>
      <c r="P30" s="54" t="s">
        <v>183</v>
      </c>
      <c r="Q30" t="str">
        <f t="shared" si="13"/>
        <v/>
      </c>
      <c r="R30" t="s">
        <v>183</v>
      </c>
      <c r="S30" s="58" t="str">
        <f t="shared" si="14"/>
        <v/>
      </c>
      <c r="T30" s="54" t="s">
        <v>183</v>
      </c>
      <c r="U30" t="str">
        <f t="shared" si="15"/>
        <v/>
      </c>
      <c r="V30" t="s">
        <v>183</v>
      </c>
      <c r="W30" s="58" t="str">
        <f t="shared" si="16"/>
        <v/>
      </c>
      <c r="X30" s="54">
        <v>2</v>
      </c>
      <c r="Y30">
        <f t="shared" si="17"/>
        <v>1605</v>
      </c>
      <c r="Z30" t="s">
        <v>183</v>
      </c>
      <c r="AA30" s="58" t="str">
        <f t="shared" si="18"/>
        <v/>
      </c>
      <c r="AB30" s="54">
        <v>2</v>
      </c>
      <c r="AC30">
        <f t="shared" si="19"/>
        <v>1680</v>
      </c>
      <c r="AD30" t="s">
        <v>183</v>
      </c>
      <c r="AE30" s="66" t="str">
        <f t="shared" si="20"/>
        <v/>
      </c>
      <c r="AL30" s="279"/>
      <c r="AN30" s="279"/>
      <c r="AP30" s="1"/>
    </row>
    <row r="31" spans="1:42" x14ac:dyDescent="0.35">
      <c r="A31" s="65">
        <v>9</v>
      </c>
      <c r="B31" t="s">
        <v>54</v>
      </c>
      <c r="C31" s="276">
        <v>40887</v>
      </c>
      <c r="D31" s="54"/>
      <c r="E31" t="str">
        <f t="shared" si="7"/>
        <v/>
      </c>
      <c r="F31" t="s">
        <v>183</v>
      </c>
      <c r="G31" s="58" t="str">
        <f t="shared" si="8"/>
        <v/>
      </c>
      <c r="H31" s="54"/>
      <c r="I31" t="str">
        <f t="shared" si="9"/>
        <v/>
      </c>
      <c r="J31" t="s">
        <v>183</v>
      </c>
      <c r="K31" s="58" t="str">
        <f t="shared" si="10"/>
        <v/>
      </c>
      <c r="L31" s="54">
        <v>1</v>
      </c>
      <c r="M31">
        <f t="shared" si="11"/>
        <v>1815</v>
      </c>
      <c r="N31">
        <v>1</v>
      </c>
      <c r="O31" s="58">
        <f t="shared" si="12"/>
        <v>1240</v>
      </c>
      <c r="P31" s="54" t="s">
        <v>183</v>
      </c>
      <c r="Q31" t="str">
        <f t="shared" si="13"/>
        <v/>
      </c>
      <c r="R31" t="s">
        <v>183</v>
      </c>
      <c r="S31" s="58" t="str">
        <f t="shared" si="14"/>
        <v/>
      </c>
      <c r="T31" s="54" t="s">
        <v>183</v>
      </c>
      <c r="U31" t="str">
        <f t="shared" si="15"/>
        <v/>
      </c>
      <c r="V31" t="s">
        <v>183</v>
      </c>
      <c r="W31" s="58" t="str">
        <f t="shared" si="16"/>
        <v/>
      </c>
      <c r="X31" s="54" t="s">
        <v>183</v>
      </c>
      <c r="Y31" t="str">
        <f t="shared" si="17"/>
        <v/>
      </c>
      <c r="Z31" t="s">
        <v>183</v>
      </c>
      <c r="AA31" s="58" t="str">
        <f t="shared" si="18"/>
        <v/>
      </c>
      <c r="AB31" s="54">
        <v>3</v>
      </c>
      <c r="AC31">
        <f t="shared" si="19"/>
        <v>1770</v>
      </c>
      <c r="AD31" t="s">
        <v>183</v>
      </c>
      <c r="AE31" s="66" t="str">
        <f t="shared" si="20"/>
        <v/>
      </c>
      <c r="AL31" s="279"/>
      <c r="AN31" s="279"/>
    </row>
    <row r="32" spans="1:42" x14ac:dyDescent="0.35">
      <c r="A32" s="65">
        <v>10</v>
      </c>
      <c r="B32" t="s">
        <v>55</v>
      </c>
      <c r="C32" s="276">
        <v>40888</v>
      </c>
      <c r="D32" s="54"/>
      <c r="E32" t="str">
        <f t="shared" si="7"/>
        <v/>
      </c>
      <c r="F32" t="s">
        <v>183</v>
      </c>
      <c r="G32" s="58" t="str">
        <f t="shared" si="8"/>
        <v/>
      </c>
      <c r="H32" s="54"/>
      <c r="I32" t="str">
        <f t="shared" si="9"/>
        <v/>
      </c>
      <c r="J32" t="s">
        <v>183</v>
      </c>
      <c r="K32" s="58" t="str">
        <f t="shared" si="10"/>
        <v/>
      </c>
      <c r="L32" s="54"/>
      <c r="M32" t="str">
        <f t="shared" si="11"/>
        <v/>
      </c>
      <c r="N32" t="s">
        <v>183</v>
      </c>
      <c r="O32" s="58" t="str">
        <f t="shared" si="12"/>
        <v/>
      </c>
      <c r="P32" s="54">
        <v>2</v>
      </c>
      <c r="Q32">
        <f t="shared" si="13"/>
        <v>1840</v>
      </c>
      <c r="R32" t="s">
        <v>183</v>
      </c>
      <c r="S32" s="58" t="str">
        <f t="shared" si="14"/>
        <v/>
      </c>
      <c r="T32" s="54" t="s">
        <v>183</v>
      </c>
      <c r="U32" t="str">
        <f t="shared" si="15"/>
        <v/>
      </c>
      <c r="V32" t="s">
        <v>183</v>
      </c>
      <c r="W32" s="58" t="str">
        <f t="shared" si="16"/>
        <v/>
      </c>
      <c r="X32" s="54" t="s">
        <v>183</v>
      </c>
      <c r="Y32" t="str">
        <f t="shared" si="17"/>
        <v/>
      </c>
      <c r="Z32" t="s">
        <v>183</v>
      </c>
      <c r="AA32" s="58" t="str">
        <f t="shared" si="18"/>
        <v/>
      </c>
      <c r="AB32" s="54">
        <v>4</v>
      </c>
      <c r="AC32">
        <f t="shared" si="19"/>
        <v>1440</v>
      </c>
      <c r="AD32" t="s">
        <v>183</v>
      </c>
      <c r="AE32" s="66" t="str">
        <f t="shared" si="20"/>
        <v/>
      </c>
      <c r="AL32" s="279"/>
      <c r="AN32" s="279"/>
    </row>
    <row r="33" spans="1:40" x14ac:dyDescent="0.35">
      <c r="A33" s="65">
        <v>11</v>
      </c>
      <c r="B33" t="s">
        <v>56</v>
      </c>
      <c r="C33" s="276">
        <v>40889</v>
      </c>
      <c r="D33" s="54"/>
      <c r="E33" t="str">
        <f t="shared" si="7"/>
        <v/>
      </c>
      <c r="F33" t="s">
        <v>183</v>
      </c>
      <c r="G33" s="58" t="str">
        <f t="shared" si="8"/>
        <v/>
      </c>
      <c r="H33" s="54"/>
      <c r="I33" t="str">
        <f t="shared" si="9"/>
        <v/>
      </c>
      <c r="J33" t="s">
        <v>183</v>
      </c>
      <c r="K33" s="58" t="str">
        <f t="shared" si="10"/>
        <v/>
      </c>
      <c r="L33" s="54"/>
      <c r="M33" t="str">
        <f t="shared" si="11"/>
        <v/>
      </c>
      <c r="N33" t="s">
        <v>183</v>
      </c>
      <c r="O33" s="58" t="str">
        <f t="shared" si="12"/>
        <v/>
      </c>
      <c r="P33" s="54" t="s">
        <v>183</v>
      </c>
      <c r="Q33" t="str">
        <f t="shared" si="13"/>
        <v/>
      </c>
      <c r="R33">
        <v>2</v>
      </c>
      <c r="S33" s="58">
        <f t="shared" si="14"/>
        <v>1325</v>
      </c>
      <c r="T33" s="54">
        <v>2</v>
      </c>
      <c r="U33">
        <f t="shared" si="15"/>
        <v>1635</v>
      </c>
      <c r="V33" t="s">
        <v>183</v>
      </c>
      <c r="W33" s="58" t="str">
        <f t="shared" si="16"/>
        <v/>
      </c>
      <c r="X33" s="54">
        <v>3</v>
      </c>
      <c r="Y33">
        <f t="shared" si="17"/>
        <v>1870</v>
      </c>
      <c r="Z33" t="s">
        <v>183</v>
      </c>
      <c r="AA33" s="58" t="str">
        <f t="shared" si="18"/>
        <v/>
      </c>
      <c r="AB33" s="54" t="s">
        <v>183</v>
      </c>
      <c r="AC33" t="str">
        <f t="shared" si="19"/>
        <v/>
      </c>
      <c r="AD33" t="s">
        <v>183</v>
      </c>
      <c r="AE33" s="66" t="str">
        <f t="shared" si="20"/>
        <v/>
      </c>
      <c r="AL33" s="279"/>
      <c r="AN33" s="279"/>
    </row>
    <row r="34" spans="1:40" x14ac:dyDescent="0.35">
      <c r="A34" s="65">
        <v>12</v>
      </c>
      <c r="B34" t="s">
        <v>57</v>
      </c>
      <c r="C34" s="276">
        <v>40890</v>
      </c>
      <c r="D34" s="54"/>
      <c r="E34" t="str">
        <f t="shared" si="7"/>
        <v/>
      </c>
      <c r="F34" t="s">
        <v>183</v>
      </c>
      <c r="G34" s="58" t="str">
        <f t="shared" si="8"/>
        <v/>
      </c>
      <c r="H34" s="54"/>
      <c r="I34" t="str">
        <f t="shared" si="9"/>
        <v/>
      </c>
      <c r="J34" t="s">
        <v>183</v>
      </c>
      <c r="K34" s="58" t="str">
        <f t="shared" si="10"/>
        <v/>
      </c>
      <c r="L34" s="54">
        <v>2</v>
      </c>
      <c r="M34">
        <f t="shared" si="11"/>
        <v>1780</v>
      </c>
      <c r="N34">
        <v>2</v>
      </c>
      <c r="O34" s="58">
        <f t="shared" si="12"/>
        <v>1350</v>
      </c>
      <c r="P34" s="54" t="s">
        <v>183</v>
      </c>
      <c r="Q34" t="str">
        <f t="shared" si="13"/>
        <v/>
      </c>
      <c r="R34" t="s">
        <v>183</v>
      </c>
      <c r="S34" s="58" t="str">
        <f t="shared" si="14"/>
        <v/>
      </c>
      <c r="T34" s="54" t="s">
        <v>183</v>
      </c>
      <c r="U34" t="str">
        <f t="shared" si="15"/>
        <v/>
      </c>
      <c r="V34" t="s">
        <v>183</v>
      </c>
      <c r="W34" s="58" t="str">
        <f t="shared" si="16"/>
        <v/>
      </c>
      <c r="X34" s="54" t="s">
        <v>183</v>
      </c>
      <c r="Y34" t="str">
        <f t="shared" si="17"/>
        <v/>
      </c>
      <c r="Z34" t="s">
        <v>183</v>
      </c>
      <c r="AA34" s="58" t="str">
        <f t="shared" si="18"/>
        <v/>
      </c>
      <c r="AB34" s="54" t="s">
        <v>183</v>
      </c>
      <c r="AC34" t="str">
        <f t="shared" si="19"/>
        <v/>
      </c>
      <c r="AD34" t="s">
        <v>183</v>
      </c>
      <c r="AE34" s="66" t="str">
        <f t="shared" si="20"/>
        <v/>
      </c>
      <c r="AL34" s="279"/>
      <c r="AN34" s="279"/>
    </row>
    <row r="35" spans="1:40" x14ac:dyDescent="0.35">
      <c r="A35" s="65">
        <v>13</v>
      </c>
      <c r="B35" t="s">
        <v>58</v>
      </c>
      <c r="C35" s="276">
        <v>40891</v>
      </c>
      <c r="D35" s="54">
        <v>3</v>
      </c>
      <c r="E35">
        <f t="shared" si="7"/>
        <v>1830</v>
      </c>
      <c r="F35">
        <v>3</v>
      </c>
      <c r="G35" s="58">
        <f t="shared" si="8"/>
        <v>1100</v>
      </c>
      <c r="H35" s="54"/>
      <c r="I35" t="str">
        <f t="shared" si="9"/>
        <v/>
      </c>
      <c r="J35" t="s">
        <v>183</v>
      </c>
      <c r="K35" s="58" t="str">
        <f t="shared" si="10"/>
        <v/>
      </c>
      <c r="L35" s="54"/>
      <c r="M35" t="str">
        <f t="shared" si="11"/>
        <v/>
      </c>
      <c r="N35" t="s">
        <v>183</v>
      </c>
      <c r="O35" s="58" t="str">
        <f t="shared" si="12"/>
        <v/>
      </c>
      <c r="P35" s="54" t="s">
        <v>183</v>
      </c>
      <c r="Q35" t="str">
        <f t="shared" si="13"/>
        <v/>
      </c>
      <c r="R35" t="s">
        <v>183</v>
      </c>
      <c r="S35" s="58" t="str">
        <f t="shared" si="14"/>
        <v/>
      </c>
      <c r="T35" s="54" t="s">
        <v>183</v>
      </c>
      <c r="U35" t="str">
        <f t="shared" si="15"/>
        <v/>
      </c>
      <c r="V35">
        <v>2</v>
      </c>
      <c r="W35" s="58">
        <f t="shared" si="16"/>
        <v>1340</v>
      </c>
      <c r="X35" s="54" t="s">
        <v>183</v>
      </c>
      <c r="Y35" t="str">
        <f t="shared" si="17"/>
        <v/>
      </c>
      <c r="Z35" t="s">
        <v>183</v>
      </c>
      <c r="AA35" s="58" t="str">
        <f t="shared" si="18"/>
        <v/>
      </c>
      <c r="AB35" s="54">
        <v>5</v>
      </c>
      <c r="AC35">
        <f t="shared" si="19"/>
        <v>1650</v>
      </c>
      <c r="AD35" t="s">
        <v>183</v>
      </c>
      <c r="AE35" s="66" t="str">
        <f t="shared" si="20"/>
        <v/>
      </c>
      <c r="AL35" s="279"/>
      <c r="AN35" s="279"/>
    </row>
    <row r="36" spans="1:40" x14ac:dyDescent="0.35">
      <c r="A36" s="65">
        <v>14</v>
      </c>
      <c r="B36" t="s">
        <v>52</v>
      </c>
      <c r="C36" s="276">
        <v>40892</v>
      </c>
      <c r="D36" s="54">
        <v>4</v>
      </c>
      <c r="E36">
        <f t="shared" si="7"/>
        <v>2180</v>
      </c>
      <c r="F36">
        <v>4</v>
      </c>
      <c r="G36" s="58">
        <f t="shared" si="8"/>
        <v>960</v>
      </c>
      <c r="H36" s="54"/>
      <c r="I36" t="str">
        <f t="shared" si="9"/>
        <v/>
      </c>
      <c r="J36" t="s">
        <v>183</v>
      </c>
      <c r="K36" s="58" t="str">
        <f t="shared" si="10"/>
        <v/>
      </c>
      <c r="L36" s="54"/>
      <c r="M36" t="str">
        <f t="shared" si="11"/>
        <v/>
      </c>
      <c r="N36" t="s">
        <v>183</v>
      </c>
      <c r="O36" s="58" t="str">
        <f t="shared" si="12"/>
        <v/>
      </c>
      <c r="P36" s="54" t="s">
        <v>183</v>
      </c>
      <c r="Q36" t="str">
        <f t="shared" si="13"/>
        <v/>
      </c>
      <c r="R36" t="s">
        <v>183</v>
      </c>
      <c r="S36" s="58" t="str">
        <f t="shared" si="14"/>
        <v/>
      </c>
      <c r="T36" s="54" t="s">
        <v>183</v>
      </c>
      <c r="U36" t="str">
        <f t="shared" si="15"/>
        <v/>
      </c>
      <c r="V36" t="s">
        <v>183</v>
      </c>
      <c r="W36" s="58" t="str">
        <f t="shared" si="16"/>
        <v/>
      </c>
      <c r="X36" s="54" t="s">
        <v>183</v>
      </c>
      <c r="Y36" t="str">
        <f t="shared" si="17"/>
        <v/>
      </c>
      <c r="Z36">
        <v>2</v>
      </c>
      <c r="AA36" s="58">
        <f t="shared" si="18"/>
        <v>1560</v>
      </c>
      <c r="AB36" s="54">
        <v>6</v>
      </c>
      <c r="AC36">
        <f t="shared" si="19"/>
        <v>1890</v>
      </c>
      <c r="AD36" t="s">
        <v>183</v>
      </c>
      <c r="AE36" s="66" t="str">
        <f t="shared" si="20"/>
        <v/>
      </c>
      <c r="AL36" s="279"/>
      <c r="AN36" s="279"/>
    </row>
    <row r="37" spans="1:40" x14ac:dyDescent="0.35">
      <c r="A37" s="65">
        <v>15</v>
      </c>
      <c r="B37" t="s">
        <v>53</v>
      </c>
      <c r="C37" s="276">
        <v>40893</v>
      </c>
      <c r="D37" s="54"/>
      <c r="E37" t="str">
        <f t="shared" si="7"/>
        <v/>
      </c>
      <c r="F37" t="s">
        <v>183</v>
      </c>
      <c r="G37" s="58" t="str">
        <f t="shared" si="8"/>
        <v/>
      </c>
      <c r="H37" s="54"/>
      <c r="I37" t="str">
        <f t="shared" si="9"/>
        <v/>
      </c>
      <c r="J37" t="s">
        <v>183</v>
      </c>
      <c r="K37" s="58" t="str">
        <f t="shared" si="10"/>
        <v/>
      </c>
      <c r="L37" s="54"/>
      <c r="M37" t="str">
        <f t="shared" si="11"/>
        <v/>
      </c>
      <c r="N37" t="s">
        <v>183</v>
      </c>
      <c r="O37" s="58" t="str">
        <f t="shared" si="12"/>
        <v/>
      </c>
      <c r="P37" s="54" t="s">
        <v>183</v>
      </c>
      <c r="Q37" t="str">
        <f t="shared" si="13"/>
        <v/>
      </c>
      <c r="R37" t="s">
        <v>183</v>
      </c>
      <c r="S37" s="58" t="str">
        <f t="shared" si="14"/>
        <v/>
      </c>
      <c r="T37" s="54">
        <v>3</v>
      </c>
      <c r="U37">
        <f t="shared" si="15"/>
        <v>1950</v>
      </c>
      <c r="V37" t="s">
        <v>183</v>
      </c>
      <c r="W37" s="58" t="str">
        <f t="shared" si="16"/>
        <v/>
      </c>
      <c r="X37" s="54" t="s">
        <v>183</v>
      </c>
      <c r="Y37" t="str">
        <f t="shared" si="17"/>
        <v/>
      </c>
      <c r="Z37" t="s">
        <v>183</v>
      </c>
      <c r="AA37" s="58" t="str">
        <f t="shared" si="18"/>
        <v/>
      </c>
      <c r="AB37" s="54" t="s">
        <v>183</v>
      </c>
      <c r="AC37" t="str">
        <f t="shared" si="19"/>
        <v/>
      </c>
      <c r="AD37" t="s">
        <v>183</v>
      </c>
      <c r="AE37" s="66" t="str">
        <f t="shared" si="20"/>
        <v/>
      </c>
      <c r="AL37" s="279"/>
      <c r="AN37" s="279"/>
    </row>
    <row r="38" spans="1:40" x14ac:dyDescent="0.35">
      <c r="A38" s="65">
        <v>16</v>
      </c>
      <c r="B38" t="s">
        <v>54</v>
      </c>
      <c r="C38" s="276">
        <v>40894</v>
      </c>
      <c r="D38" s="54"/>
      <c r="E38" t="str">
        <f t="shared" si="7"/>
        <v/>
      </c>
      <c r="F38" t="s">
        <v>183</v>
      </c>
      <c r="G38" s="58" t="str">
        <f t="shared" si="8"/>
        <v/>
      </c>
      <c r="H38" s="54"/>
      <c r="I38" t="str">
        <f t="shared" si="9"/>
        <v/>
      </c>
      <c r="J38" t="s">
        <v>183</v>
      </c>
      <c r="K38" s="58" t="str">
        <f t="shared" si="10"/>
        <v/>
      </c>
      <c r="L38" s="54"/>
      <c r="M38" t="str">
        <f t="shared" si="11"/>
        <v/>
      </c>
      <c r="N38" t="s">
        <v>183</v>
      </c>
      <c r="O38" s="58" t="str">
        <f t="shared" si="12"/>
        <v/>
      </c>
      <c r="P38" s="54" t="s">
        <v>183</v>
      </c>
      <c r="Q38" t="str">
        <f t="shared" si="13"/>
        <v/>
      </c>
      <c r="R38" t="s">
        <v>183</v>
      </c>
      <c r="S38" s="58" t="str">
        <f t="shared" si="14"/>
        <v/>
      </c>
      <c r="T38" s="54" t="s">
        <v>183</v>
      </c>
      <c r="U38" t="str">
        <f t="shared" si="15"/>
        <v/>
      </c>
      <c r="V38" t="s">
        <v>183</v>
      </c>
      <c r="W38" s="58" t="str">
        <f t="shared" si="16"/>
        <v/>
      </c>
      <c r="X38" s="54" t="s">
        <v>183</v>
      </c>
      <c r="Y38" t="str">
        <f t="shared" si="17"/>
        <v/>
      </c>
      <c r="Z38" t="s">
        <v>183</v>
      </c>
      <c r="AA38" s="58" t="str">
        <f t="shared" si="18"/>
        <v/>
      </c>
      <c r="AB38" s="54">
        <v>7</v>
      </c>
      <c r="AC38">
        <f t="shared" si="19"/>
        <v>1815</v>
      </c>
      <c r="AD38" t="s">
        <v>183</v>
      </c>
      <c r="AE38" s="66" t="str">
        <f t="shared" si="20"/>
        <v/>
      </c>
      <c r="AL38" s="279"/>
      <c r="AN38" s="279"/>
    </row>
    <row r="39" spans="1:40" x14ac:dyDescent="0.35">
      <c r="A39" s="65">
        <v>17</v>
      </c>
      <c r="B39" t="s">
        <v>55</v>
      </c>
      <c r="C39" s="276">
        <v>40895</v>
      </c>
      <c r="D39" s="54"/>
      <c r="E39" t="str">
        <f t="shared" si="7"/>
        <v/>
      </c>
      <c r="F39" t="s">
        <v>183</v>
      </c>
      <c r="G39" s="58" t="str">
        <f t="shared" si="8"/>
        <v/>
      </c>
      <c r="H39" s="54"/>
      <c r="I39" t="str">
        <f t="shared" si="9"/>
        <v/>
      </c>
      <c r="J39" t="s">
        <v>183</v>
      </c>
      <c r="K39" s="58" t="str">
        <f t="shared" si="10"/>
        <v/>
      </c>
      <c r="L39" s="54"/>
      <c r="M39" t="str">
        <f t="shared" si="11"/>
        <v/>
      </c>
      <c r="N39" t="s">
        <v>183</v>
      </c>
      <c r="O39" s="58" t="str">
        <f t="shared" si="12"/>
        <v/>
      </c>
      <c r="P39" s="54" t="s">
        <v>183</v>
      </c>
      <c r="Q39" t="str">
        <f t="shared" si="13"/>
        <v/>
      </c>
      <c r="R39" t="s">
        <v>183</v>
      </c>
      <c r="S39" s="58" t="str">
        <f t="shared" si="14"/>
        <v/>
      </c>
      <c r="T39" s="54" t="s">
        <v>183</v>
      </c>
      <c r="U39" t="str">
        <f t="shared" si="15"/>
        <v/>
      </c>
      <c r="V39">
        <v>3</v>
      </c>
      <c r="W39" s="58">
        <f t="shared" si="16"/>
        <v>1580</v>
      </c>
      <c r="X39" s="54" t="s">
        <v>183</v>
      </c>
      <c r="Y39" t="str">
        <f t="shared" si="17"/>
        <v/>
      </c>
      <c r="Z39">
        <v>3</v>
      </c>
      <c r="AA39" s="58">
        <f t="shared" si="18"/>
        <v>1545</v>
      </c>
      <c r="AB39" s="54" t="s">
        <v>183</v>
      </c>
      <c r="AC39" t="str">
        <f t="shared" si="19"/>
        <v/>
      </c>
      <c r="AD39" t="s">
        <v>183</v>
      </c>
      <c r="AE39" s="66" t="str">
        <f t="shared" si="20"/>
        <v/>
      </c>
      <c r="AL39" s="279"/>
      <c r="AN39" s="279"/>
    </row>
    <row r="40" spans="1:40" x14ac:dyDescent="0.35">
      <c r="A40" s="65">
        <v>18</v>
      </c>
      <c r="B40" t="s">
        <v>56</v>
      </c>
      <c r="C40" s="276">
        <v>40896</v>
      </c>
      <c r="D40" s="54"/>
      <c r="E40" t="str">
        <f t="shared" si="7"/>
        <v/>
      </c>
      <c r="F40" t="s">
        <v>183</v>
      </c>
      <c r="G40" s="58" t="str">
        <f t="shared" si="8"/>
        <v/>
      </c>
      <c r="H40" s="54">
        <v>3</v>
      </c>
      <c r="I40">
        <f t="shared" si="9"/>
        <v>2070</v>
      </c>
      <c r="J40">
        <v>3</v>
      </c>
      <c r="K40" s="58">
        <f t="shared" si="10"/>
        <v>1235</v>
      </c>
      <c r="L40" s="54"/>
      <c r="M40" t="str">
        <f t="shared" si="11"/>
        <v/>
      </c>
      <c r="N40" t="s">
        <v>183</v>
      </c>
      <c r="O40" s="58" t="str">
        <f t="shared" si="12"/>
        <v/>
      </c>
      <c r="P40" s="54" t="s">
        <v>183</v>
      </c>
      <c r="Q40" t="str">
        <f t="shared" si="13"/>
        <v/>
      </c>
      <c r="R40" t="s">
        <v>183</v>
      </c>
      <c r="S40" s="58" t="str">
        <f t="shared" si="14"/>
        <v/>
      </c>
      <c r="T40" s="54" t="s">
        <v>183</v>
      </c>
      <c r="U40" t="str">
        <f t="shared" si="15"/>
        <v/>
      </c>
      <c r="V40" t="s">
        <v>183</v>
      </c>
      <c r="W40" s="58" t="str">
        <f t="shared" si="16"/>
        <v/>
      </c>
      <c r="X40" s="54" t="s">
        <v>183</v>
      </c>
      <c r="Y40" t="str">
        <f t="shared" si="17"/>
        <v/>
      </c>
      <c r="Z40" t="s">
        <v>183</v>
      </c>
      <c r="AA40" s="58" t="str">
        <f t="shared" si="18"/>
        <v/>
      </c>
      <c r="AB40" s="54">
        <v>8</v>
      </c>
      <c r="AC40">
        <f t="shared" si="19"/>
        <v>1910</v>
      </c>
      <c r="AD40" t="s">
        <v>183</v>
      </c>
      <c r="AE40" s="66" t="str">
        <f t="shared" si="20"/>
        <v/>
      </c>
      <c r="AL40" s="279"/>
      <c r="AN40" s="279"/>
    </row>
    <row r="41" spans="1:40" x14ac:dyDescent="0.35">
      <c r="A41" s="65">
        <v>19</v>
      </c>
      <c r="B41" t="s">
        <v>57</v>
      </c>
      <c r="C41" s="276">
        <v>40897</v>
      </c>
      <c r="D41" s="54"/>
      <c r="E41" t="str">
        <f t="shared" si="7"/>
        <v/>
      </c>
      <c r="F41" t="s">
        <v>183</v>
      </c>
      <c r="G41" s="58" t="str">
        <f t="shared" si="8"/>
        <v/>
      </c>
      <c r="H41" s="54"/>
      <c r="I41" t="str">
        <f t="shared" si="9"/>
        <v/>
      </c>
      <c r="J41" t="s">
        <v>183</v>
      </c>
      <c r="K41" s="58" t="str">
        <f t="shared" si="10"/>
        <v/>
      </c>
      <c r="L41" s="54">
        <v>3</v>
      </c>
      <c r="M41">
        <f t="shared" si="11"/>
        <v>1935</v>
      </c>
      <c r="N41">
        <v>3</v>
      </c>
      <c r="O41" s="58">
        <f t="shared" si="12"/>
        <v>1350</v>
      </c>
      <c r="P41" s="54">
        <v>3</v>
      </c>
      <c r="Q41">
        <f t="shared" si="13"/>
        <v>1930</v>
      </c>
      <c r="R41" t="s">
        <v>183</v>
      </c>
      <c r="S41" s="58" t="str">
        <f t="shared" si="14"/>
        <v/>
      </c>
      <c r="T41" s="54" t="s">
        <v>183</v>
      </c>
      <c r="U41" t="str">
        <f t="shared" si="15"/>
        <v/>
      </c>
      <c r="V41" t="s">
        <v>183</v>
      </c>
      <c r="W41" s="58" t="str">
        <f t="shared" si="16"/>
        <v/>
      </c>
      <c r="X41" s="54">
        <v>4</v>
      </c>
      <c r="Y41">
        <f t="shared" si="17"/>
        <v>2020</v>
      </c>
      <c r="Z41" t="s">
        <v>183</v>
      </c>
      <c r="AA41" s="58" t="str">
        <f t="shared" si="18"/>
        <v/>
      </c>
      <c r="AB41" s="54" t="s">
        <v>183</v>
      </c>
      <c r="AC41" t="str">
        <f t="shared" si="19"/>
        <v/>
      </c>
      <c r="AD41" t="s">
        <v>183</v>
      </c>
      <c r="AE41" s="66" t="str">
        <f t="shared" si="20"/>
        <v/>
      </c>
      <c r="AL41" s="279"/>
      <c r="AN41" s="279"/>
    </row>
    <row r="42" spans="1:40" x14ac:dyDescent="0.35">
      <c r="A42" s="65">
        <v>20</v>
      </c>
      <c r="B42" t="s">
        <v>58</v>
      </c>
      <c r="C42" s="276">
        <v>40898</v>
      </c>
      <c r="D42" s="54"/>
      <c r="E42" t="str">
        <f t="shared" si="7"/>
        <v/>
      </c>
      <c r="F42" t="s">
        <v>183</v>
      </c>
      <c r="G42" s="58" t="str">
        <f t="shared" si="8"/>
        <v/>
      </c>
      <c r="H42" s="54">
        <v>4</v>
      </c>
      <c r="I42">
        <f t="shared" si="9"/>
        <v>1875</v>
      </c>
      <c r="J42">
        <v>4</v>
      </c>
      <c r="K42" s="58">
        <f t="shared" si="10"/>
        <v>1130</v>
      </c>
      <c r="L42" s="54"/>
      <c r="M42" t="str">
        <f t="shared" si="11"/>
        <v/>
      </c>
      <c r="N42" t="s">
        <v>183</v>
      </c>
      <c r="O42" s="58" t="str">
        <f t="shared" si="12"/>
        <v/>
      </c>
      <c r="P42" s="54" t="s">
        <v>183</v>
      </c>
      <c r="Q42" t="str">
        <f t="shared" si="13"/>
        <v/>
      </c>
      <c r="R42">
        <v>3</v>
      </c>
      <c r="S42" s="58">
        <f t="shared" si="14"/>
        <v>1205</v>
      </c>
      <c r="T42" s="54" t="s">
        <v>183</v>
      </c>
      <c r="U42" t="str">
        <f t="shared" si="15"/>
        <v/>
      </c>
      <c r="V42" t="s">
        <v>183</v>
      </c>
      <c r="W42" s="58" t="str">
        <f t="shared" si="16"/>
        <v/>
      </c>
      <c r="X42" s="54" t="s">
        <v>183</v>
      </c>
      <c r="Y42" t="str">
        <f t="shared" si="17"/>
        <v/>
      </c>
      <c r="Z42" t="s">
        <v>183</v>
      </c>
      <c r="AA42" s="58" t="str">
        <f t="shared" si="18"/>
        <v/>
      </c>
      <c r="AB42" s="54" t="s">
        <v>183</v>
      </c>
      <c r="AC42" t="str">
        <f t="shared" si="19"/>
        <v/>
      </c>
      <c r="AD42" t="s">
        <v>183</v>
      </c>
      <c r="AE42" s="66" t="str">
        <f t="shared" si="20"/>
        <v/>
      </c>
      <c r="AL42" s="279"/>
      <c r="AN42" s="279"/>
    </row>
    <row r="43" spans="1:40" x14ac:dyDescent="0.35">
      <c r="A43" s="65">
        <v>21</v>
      </c>
      <c r="B43" t="s">
        <v>52</v>
      </c>
      <c r="C43" s="276">
        <v>40899</v>
      </c>
      <c r="D43" s="54"/>
      <c r="E43" t="str">
        <f t="shared" si="7"/>
        <v/>
      </c>
      <c r="F43" t="s">
        <v>183</v>
      </c>
      <c r="G43" s="58" t="str">
        <f t="shared" si="8"/>
        <v/>
      </c>
      <c r="H43" s="54"/>
      <c r="I43" t="str">
        <f t="shared" si="9"/>
        <v/>
      </c>
      <c r="J43" t="s">
        <v>183</v>
      </c>
      <c r="K43" s="58" t="str">
        <f t="shared" si="10"/>
        <v/>
      </c>
      <c r="L43" s="54"/>
      <c r="M43" t="str">
        <f t="shared" si="11"/>
        <v/>
      </c>
      <c r="N43" t="s">
        <v>183</v>
      </c>
      <c r="O43" s="58" t="str">
        <f t="shared" si="12"/>
        <v/>
      </c>
      <c r="P43" s="54" t="s">
        <v>183</v>
      </c>
      <c r="Q43" t="str">
        <f t="shared" si="13"/>
        <v/>
      </c>
      <c r="R43" t="s">
        <v>183</v>
      </c>
      <c r="S43" s="58" t="str">
        <f t="shared" si="14"/>
        <v/>
      </c>
      <c r="T43" s="54" t="s">
        <v>183</v>
      </c>
      <c r="U43" t="str">
        <f t="shared" si="15"/>
        <v/>
      </c>
      <c r="V43" t="s">
        <v>183</v>
      </c>
      <c r="W43" s="58" t="str">
        <f t="shared" si="16"/>
        <v/>
      </c>
      <c r="X43" s="54" t="s">
        <v>183</v>
      </c>
      <c r="Y43" t="str">
        <f t="shared" si="17"/>
        <v/>
      </c>
      <c r="Z43" t="s">
        <v>183</v>
      </c>
      <c r="AA43" s="58" t="str">
        <f t="shared" si="18"/>
        <v/>
      </c>
      <c r="AB43" s="54">
        <v>9</v>
      </c>
      <c r="AC43">
        <f t="shared" si="19"/>
        <v>1490</v>
      </c>
      <c r="AD43" t="s">
        <v>183</v>
      </c>
      <c r="AE43" s="66" t="str">
        <f t="shared" si="20"/>
        <v/>
      </c>
      <c r="AL43" s="279"/>
      <c r="AN43" s="279"/>
    </row>
    <row r="44" spans="1:40" x14ac:dyDescent="0.35">
      <c r="A44" s="65">
        <v>22</v>
      </c>
      <c r="B44" t="s">
        <v>53</v>
      </c>
      <c r="C44" s="276">
        <v>40900</v>
      </c>
      <c r="D44" s="54"/>
      <c r="E44" t="str">
        <f t="shared" si="7"/>
        <v/>
      </c>
      <c r="F44" t="s">
        <v>183</v>
      </c>
      <c r="G44" s="58" t="str">
        <f t="shared" si="8"/>
        <v/>
      </c>
      <c r="H44" s="54"/>
      <c r="I44" t="str">
        <f t="shared" si="9"/>
        <v/>
      </c>
      <c r="J44" t="s">
        <v>183</v>
      </c>
      <c r="K44" s="58" t="str">
        <f t="shared" si="10"/>
        <v/>
      </c>
      <c r="L44" s="54"/>
      <c r="M44" t="str">
        <f t="shared" si="11"/>
        <v/>
      </c>
      <c r="N44" t="s">
        <v>183</v>
      </c>
      <c r="O44" s="58" t="str">
        <f t="shared" si="12"/>
        <v/>
      </c>
      <c r="P44" s="54" t="s">
        <v>183</v>
      </c>
      <c r="Q44" t="str">
        <f t="shared" si="13"/>
        <v/>
      </c>
      <c r="R44" t="s">
        <v>183</v>
      </c>
      <c r="S44" s="58" t="str">
        <f t="shared" si="14"/>
        <v/>
      </c>
      <c r="T44" s="54" t="s">
        <v>183</v>
      </c>
      <c r="U44" t="str">
        <f t="shared" si="15"/>
        <v/>
      </c>
      <c r="V44" t="s">
        <v>183</v>
      </c>
      <c r="W44" s="58" t="str">
        <f t="shared" si="16"/>
        <v/>
      </c>
      <c r="X44" s="54">
        <v>5</v>
      </c>
      <c r="Y44">
        <f t="shared" si="17"/>
        <v>2090</v>
      </c>
      <c r="Z44" t="s">
        <v>183</v>
      </c>
      <c r="AA44" s="58" t="str">
        <f t="shared" si="18"/>
        <v/>
      </c>
      <c r="AB44" s="54">
        <v>10</v>
      </c>
      <c r="AC44">
        <f t="shared" si="19"/>
        <v>1710</v>
      </c>
      <c r="AD44" t="s">
        <v>183</v>
      </c>
      <c r="AE44" s="66" t="str">
        <f t="shared" si="20"/>
        <v/>
      </c>
      <c r="AL44" s="279"/>
      <c r="AN44" s="279"/>
    </row>
    <row r="45" spans="1:40" x14ac:dyDescent="0.35">
      <c r="A45" s="65">
        <v>23</v>
      </c>
      <c r="B45" t="s">
        <v>54</v>
      </c>
      <c r="C45" s="276">
        <v>40901</v>
      </c>
      <c r="D45" s="54"/>
      <c r="E45" t="str">
        <f t="shared" si="7"/>
        <v/>
      </c>
      <c r="F45" t="s">
        <v>183</v>
      </c>
      <c r="G45" s="58" t="str">
        <f t="shared" si="8"/>
        <v/>
      </c>
      <c r="H45" s="54"/>
      <c r="I45" t="str">
        <f t="shared" si="9"/>
        <v/>
      </c>
      <c r="J45" t="s">
        <v>183</v>
      </c>
      <c r="K45" s="58" t="str">
        <f t="shared" si="10"/>
        <v/>
      </c>
      <c r="L45" s="54"/>
      <c r="M45" t="str">
        <f t="shared" si="11"/>
        <v/>
      </c>
      <c r="N45" t="s">
        <v>183</v>
      </c>
      <c r="O45" s="58" t="str">
        <f t="shared" si="12"/>
        <v/>
      </c>
      <c r="P45" s="54" t="s">
        <v>183</v>
      </c>
      <c r="Q45" t="str">
        <f t="shared" si="13"/>
        <v/>
      </c>
      <c r="R45" t="s">
        <v>183</v>
      </c>
      <c r="S45" s="58" t="str">
        <f t="shared" si="14"/>
        <v/>
      </c>
      <c r="T45" s="54" t="s">
        <v>183</v>
      </c>
      <c r="U45" t="str">
        <f t="shared" si="15"/>
        <v/>
      </c>
      <c r="V45" t="s">
        <v>183</v>
      </c>
      <c r="W45" s="58" t="str">
        <f t="shared" si="16"/>
        <v/>
      </c>
      <c r="X45" s="54" t="s">
        <v>183</v>
      </c>
      <c r="Y45" t="str">
        <f t="shared" si="17"/>
        <v/>
      </c>
      <c r="Z45" t="s">
        <v>183</v>
      </c>
      <c r="AA45" s="58" t="str">
        <f t="shared" si="18"/>
        <v/>
      </c>
      <c r="AB45" s="54" t="s">
        <v>183</v>
      </c>
      <c r="AC45" t="str">
        <f t="shared" si="19"/>
        <v/>
      </c>
      <c r="AD45" t="s">
        <v>183</v>
      </c>
      <c r="AE45" s="66" t="str">
        <f t="shared" si="20"/>
        <v/>
      </c>
      <c r="AL45" s="279"/>
      <c r="AN45" s="279"/>
    </row>
    <row r="46" spans="1:40" x14ac:dyDescent="0.35">
      <c r="A46" s="65">
        <v>24</v>
      </c>
      <c r="B46" t="s">
        <v>55</v>
      </c>
      <c r="C46" s="276">
        <v>40902</v>
      </c>
      <c r="D46" s="54"/>
      <c r="E46" t="str">
        <f t="shared" si="7"/>
        <v/>
      </c>
      <c r="F46" t="s">
        <v>183</v>
      </c>
      <c r="G46" s="58" t="str">
        <f t="shared" si="8"/>
        <v/>
      </c>
      <c r="H46" s="54"/>
      <c r="I46" t="str">
        <f t="shared" si="9"/>
        <v/>
      </c>
      <c r="J46" t="s">
        <v>183</v>
      </c>
      <c r="K46" s="58" t="str">
        <f t="shared" si="10"/>
        <v/>
      </c>
      <c r="L46" s="54"/>
      <c r="M46" t="str">
        <f t="shared" si="11"/>
        <v/>
      </c>
      <c r="N46" t="s">
        <v>183</v>
      </c>
      <c r="O46" s="58" t="str">
        <f t="shared" si="12"/>
        <v/>
      </c>
      <c r="P46" s="54" t="s">
        <v>183</v>
      </c>
      <c r="Q46" t="str">
        <f t="shared" si="13"/>
        <v/>
      </c>
      <c r="R46" t="s">
        <v>183</v>
      </c>
      <c r="S46" s="58" t="str">
        <f t="shared" si="14"/>
        <v/>
      </c>
      <c r="T46" s="54" t="s">
        <v>183</v>
      </c>
      <c r="U46" t="str">
        <f t="shared" si="15"/>
        <v/>
      </c>
      <c r="V46" t="s">
        <v>183</v>
      </c>
      <c r="W46" s="58" t="str">
        <f t="shared" si="16"/>
        <v/>
      </c>
      <c r="X46" s="54" t="s">
        <v>183</v>
      </c>
      <c r="Y46" t="str">
        <f t="shared" si="17"/>
        <v/>
      </c>
      <c r="Z46" t="s">
        <v>183</v>
      </c>
      <c r="AA46" s="58" t="str">
        <f t="shared" si="18"/>
        <v/>
      </c>
      <c r="AB46" s="54" t="s">
        <v>183</v>
      </c>
      <c r="AC46" t="str">
        <f t="shared" si="19"/>
        <v/>
      </c>
      <c r="AD46" t="s">
        <v>183</v>
      </c>
      <c r="AE46" s="66" t="str">
        <f t="shared" si="20"/>
        <v/>
      </c>
      <c r="AL46" s="279"/>
      <c r="AN46" s="279"/>
    </row>
    <row r="47" spans="1:40" x14ac:dyDescent="0.35">
      <c r="A47" s="65">
        <v>25</v>
      </c>
      <c r="B47" t="s">
        <v>56</v>
      </c>
      <c r="C47" s="276">
        <v>40903</v>
      </c>
      <c r="D47" s="54"/>
      <c r="E47" t="str">
        <f t="shared" si="7"/>
        <v/>
      </c>
      <c r="F47" t="s">
        <v>183</v>
      </c>
      <c r="G47" s="58" t="str">
        <f t="shared" si="8"/>
        <v/>
      </c>
      <c r="H47" s="54"/>
      <c r="I47" t="str">
        <f t="shared" si="9"/>
        <v/>
      </c>
      <c r="J47" t="s">
        <v>183</v>
      </c>
      <c r="K47" s="58" t="str">
        <f t="shared" si="10"/>
        <v/>
      </c>
      <c r="L47" s="54"/>
      <c r="M47" t="str">
        <f t="shared" si="11"/>
        <v/>
      </c>
      <c r="N47" t="s">
        <v>183</v>
      </c>
      <c r="O47" s="58" t="str">
        <f t="shared" si="12"/>
        <v/>
      </c>
      <c r="P47" s="54" t="s">
        <v>183</v>
      </c>
      <c r="Q47" t="str">
        <f t="shared" si="13"/>
        <v/>
      </c>
      <c r="R47" t="s">
        <v>183</v>
      </c>
      <c r="S47" s="58" t="str">
        <f t="shared" si="14"/>
        <v/>
      </c>
      <c r="T47" s="54" t="s">
        <v>183</v>
      </c>
      <c r="U47" t="str">
        <f t="shared" si="15"/>
        <v/>
      </c>
      <c r="V47" t="s">
        <v>183</v>
      </c>
      <c r="W47" s="58" t="str">
        <f t="shared" si="16"/>
        <v/>
      </c>
      <c r="X47" s="54" t="s">
        <v>183</v>
      </c>
      <c r="Y47" t="str">
        <f t="shared" si="17"/>
        <v/>
      </c>
      <c r="Z47">
        <v>4</v>
      </c>
      <c r="AA47" s="58">
        <f t="shared" si="18"/>
        <v>1805</v>
      </c>
      <c r="AB47" s="54" t="s">
        <v>183</v>
      </c>
      <c r="AC47" t="str">
        <f t="shared" si="19"/>
        <v/>
      </c>
      <c r="AD47" t="s">
        <v>183</v>
      </c>
      <c r="AE47" s="66" t="str">
        <f t="shared" si="20"/>
        <v/>
      </c>
      <c r="AL47" s="279"/>
      <c r="AN47" s="279"/>
    </row>
    <row r="48" spans="1:40" x14ac:dyDescent="0.35">
      <c r="A48" s="65">
        <v>26</v>
      </c>
      <c r="B48" t="s">
        <v>57</v>
      </c>
      <c r="C48" s="276">
        <v>40904</v>
      </c>
      <c r="D48" s="54"/>
      <c r="E48" t="str">
        <f t="shared" si="7"/>
        <v/>
      </c>
      <c r="F48" t="s">
        <v>183</v>
      </c>
      <c r="G48" s="58" t="str">
        <f t="shared" si="8"/>
        <v/>
      </c>
      <c r="H48" s="54"/>
      <c r="I48" t="str">
        <f t="shared" si="9"/>
        <v/>
      </c>
      <c r="J48" t="s">
        <v>183</v>
      </c>
      <c r="K48" s="58" t="str">
        <f t="shared" si="10"/>
        <v/>
      </c>
      <c r="L48" s="54"/>
      <c r="M48" t="str">
        <f t="shared" si="11"/>
        <v/>
      </c>
      <c r="N48" t="s">
        <v>183</v>
      </c>
      <c r="O48" s="58" t="str">
        <f t="shared" si="12"/>
        <v/>
      </c>
      <c r="P48" s="54">
        <v>4</v>
      </c>
      <c r="Q48">
        <f t="shared" si="13"/>
        <v>1740</v>
      </c>
      <c r="R48" t="s">
        <v>183</v>
      </c>
      <c r="S48" s="58" t="str">
        <f t="shared" si="14"/>
        <v/>
      </c>
      <c r="T48" s="54">
        <v>4</v>
      </c>
      <c r="U48">
        <f t="shared" si="15"/>
        <v>1935</v>
      </c>
      <c r="V48" t="s">
        <v>183</v>
      </c>
      <c r="W48" s="58" t="str">
        <f t="shared" si="16"/>
        <v/>
      </c>
      <c r="X48" s="54" t="s">
        <v>183</v>
      </c>
      <c r="Y48" t="str">
        <f t="shared" si="17"/>
        <v/>
      </c>
      <c r="Z48" t="s">
        <v>183</v>
      </c>
      <c r="AA48" s="58" t="str">
        <f t="shared" si="18"/>
        <v/>
      </c>
      <c r="AB48" s="54" t="s">
        <v>183</v>
      </c>
      <c r="AC48" t="str">
        <f t="shared" si="19"/>
        <v/>
      </c>
      <c r="AD48" t="s">
        <v>183</v>
      </c>
      <c r="AE48" s="66" t="str">
        <f t="shared" si="20"/>
        <v/>
      </c>
      <c r="AL48" s="279"/>
      <c r="AN48" s="279"/>
    </row>
    <row r="49" spans="1:40" x14ac:dyDescent="0.35">
      <c r="A49" s="65">
        <v>27</v>
      </c>
      <c r="B49" t="s">
        <v>58</v>
      </c>
      <c r="C49" s="276">
        <v>40905</v>
      </c>
      <c r="D49" s="54">
        <v>5</v>
      </c>
      <c r="E49">
        <f t="shared" si="7"/>
        <v>1800</v>
      </c>
      <c r="F49">
        <v>5</v>
      </c>
      <c r="G49" s="58">
        <f t="shared" si="8"/>
        <v>840</v>
      </c>
      <c r="H49" s="54"/>
      <c r="I49" t="str">
        <f t="shared" si="9"/>
        <v/>
      </c>
      <c r="J49" t="s">
        <v>183</v>
      </c>
      <c r="K49" s="58" t="str">
        <f t="shared" si="10"/>
        <v/>
      </c>
      <c r="L49" s="54"/>
      <c r="M49" t="str">
        <f t="shared" si="11"/>
        <v/>
      </c>
      <c r="N49" t="s">
        <v>183</v>
      </c>
      <c r="O49" s="58" t="str">
        <f t="shared" si="12"/>
        <v/>
      </c>
      <c r="P49" s="54" t="s">
        <v>183</v>
      </c>
      <c r="Q49" t="str">
        <f t="shared" si="13"/>
        <v/>
      </c>
      <c r="R49">
        <v>4</v>
      </c>
      <c r="S49" s="58">
        <f t="shared" si="14"/>
        <v>1365</v>
      </c>
      <c r="T49" s="54" t="s">
        <v>183</v>
      </c>
      <c r="U49" t="str">
        <f t="shared" si="15"/>
        <v/>
      </c>
      <c r="V49" t="s">
        <v>183</v>
      </c>
      <c r="W49" s="58" t="str">
        <f t="shared" si="16"/>
        <v/>
      </c>
      <c r="X49" s="54" t="s">
        <v>183</v>
      </c>
      <c r="Y49" t="str">
        <f t="shared" si="17"/>
        <v/>
      </c>
      <c r="Z49" t="s">
        <v>183</v>
      </c>
      <c r="AA49" s="58" t="str">
        <f t="shared" si="18"/>
        <v/>
      </c>
      <c r="AB49" s="54" t="s">
        <v>183</v>
      </c>
      <c r="AC49" t="str">
        <f t="shared" si="19"/>
        <v/>
      </c>
      <c r="AD49" t="s">
        <v>183</v>
      </c>
      <c r="AE49" s="66" t="str">
        <f t="shared" si="20"/>
        <v/>
      </c>
      <c r="AL49" s="279"/>
      <c r="AN49" s="279"/>
    </row>
    <row r="50" spans="1:40" x14ac:dyDescent="0.35">
      <c r="A50" s="65">
        <v>28</v>
      </c>
      <c r="B50" t="s">
        <v>52</v>
      </c>
      <c r="C50" s="276">
        <v>40906</v>
      </c>
      <c r="D50" s="54"/>
      <c r="E50" t="str">
        <f t="shared" si="7"/>
        <v/>
      </c>
      <c r="F50" t="s">
        <v>183</v>
      </c>
      <c r="G50" s="58" t="str">
        <f t="shared" si="8"/>
        <v/>
      </c>
      <c r="H50" s="54">
        <v>5</v>
      </c>
      <c r="I50">
        <f t="shared" si="9"/>
        <v>1775</v>
      </c>
      <c r="J50">
        <v>5</v>
      </c>
      <c r="K50" s="58">
        <f t="shared" si="10"/>
        <v>1245</v>
      </c>
      <c r="L50" s="54"/>
      <c r="M50" t="str">
        <f t="shared" si="11"/>
        <v/>
      </c>
      <c r="N50" t="s">
        <v>183</v>
      </c>
      <c r="O50" s="58" t="str">
        <f t="shared" si="12"/>
        <v/>
      </c>
      <c r="P50" s="54" t="s">
        <v>183</v>
      </c>
      <c r="Q50" t="str">
        <f t="shared" si="13"/>
        <v/>
      </c>
      <c r="R50" t="s">
        <v>183</v>
      </c>
      <c r="S50" s="58" t="str">
        <f t="shared" si="14"/>
        <v/>
      </c>
      <c r="T50" s="54" t="s">
        <v>183</v>
      </c>
      <c r="U50" t="str">
        <f t="shared" si="15"/>
        <v/>
      </c>
      <c r="V50">
        <v>4</v>
      </c>
      <c r="W50" s="58">
        <f t="shared" si="16"/>
        <v>1440</v>
      </c>
      <c r="X50" s="54" t="s">
        <v>183</v>
      </c>
      <c r="Y50" t="str">
        <f t="shared" si="17"/>
        <v/>
      </c>
      <c r="Z50">
        <v>5</v>
      </c>
      <c r="AA50" s="58">
        <f t="shared" si="18"/>
        <v>1785</v>
      </c>
      <c r="AB50" s="54" t="s">
        <v>183</v>
      </c>
      <c r="AC50" t="str">
        <f t="shared" si="19"/>
        <v/>
      </c>
      <c r="AD50" t="s">
        <v>183</v>
      </c>
      <c r="AE50" s="66" t="str">
        <f t="shared" si="20"/>
        <v/>
      </c>
      <c r="AL50" s="279"/>
      <c r="AN50" s="279"/>
    </row>
    <row r="51" spans="1:40" x14ac:dyDescent="0.35">
      <c r="A51" s="65">
        <v>29</v>
      </c>
      <c r="B51" t="s">
        <v>53</v>
      </c>
      <c r="C51" s="276">
        <v>40907</v>
      </c>
      <c r="D51" s="54"/>
      <c r="E51" t="str">
        <f t="shared" si="7"/>
        <v/>
      </c>
      <c r="F51" t="s">
        <v>183</v>
      </c>
      <c r="G51" s="58" t="str">
        <f t="shared" si="8"/>
        <v/>
      </c>
      <c r="H51" s="54"/>
      <c r="I51" t="str">
        <f t="shared" si="9"/>
        <v/>
      </c>
      <c r="J51" t="s">
        <v>183</v>
      </c>
      <c r="K51" s="58" t="str">
        <f t="shared" si="10"/>
        <v/>
      </c>
      <c r="L51" s="54"/>
      <c r="M51" t="str">
        <f t="shared" si="11"/>
        <v/>
      </c>
      <c r="N51" t="s">
        <v>183</v>
      </c>
      <c r="O51" s="58" t="str">
        <f t="shared" si="12"/>
        <v/>
      </c>
      <c r="P51" s="54" t="s">
        <v>183</v>
      </c>
      <c r="Q51" t="str">
        <f t="shared" si="13"/>
        <v/>
      </c>
      <c r="R51" t="s">
        <v>183</v>
      </c>
      <c r="S51" s="58" t="str">
        <f t="shared" si="14"/>
        <v/>
      </c>
      <c r="T51" s="54" t="s">
        <v>183</v>
      </c>
      <c r="U51" t="str">
        <f t="shared" si="15"/>
        <v/>
      </c>
      <c r="V51" t="s">
        <v>183</v>
      </c>
      <c r="W51" s="58" t="str">
        <f t="shared" si="16"/>
        <v/>
      </c>
      <c r="X51" s="54" t="s">
        <v>183</v>
      </c>
      <c r="Y51" t="str">
        <f t="shared" si="17"/>
        <v/>
      </c>
      <c r="Z51" t="s">
        <v>183</v>
      </c>
      <c r="AA51" s="58" t="str">
        <f t="shared" si="18"/>
        <v/>
      </c>
      <c r="AB51" s="54" t="s">
        <v>183</v>
      </c>
      <c r="AC51" t="str">
        <f t="shared" si="19"/>
        <v/>
      </c>
      <c r="AD51" t="s">
        <v>183</v>
      </c>
      <c r="AE51" s="66" t="str">
        <f t="shared" si="20"/>
        <v/>
      </c>
      <c r="AL51" s="279"/>
      <c r="AN51" s="279"/>
    </row>
    <row r="52" spans="1:40" x14ac:dyDescent="0.35">
      <c r="A52" s="65">
        <v>30</v>
      </c>
      <c r="B52" t="s">
        <v>54</v>
      </c>
      <c r="C52" s="276">
        <v>40908</v>
      </c>
      <c r="D52" s="54"/>
      <c r="E52" t="str">
        <f t="shared" si="7"/>
        <v/>
      </c>
      <c r="F52" t="s">
        <v>183</v>
      </c>
      <c r="G52" s="58" t="str">
        <f t="shared" si="8"/>
        <v/>
      </c>
      <c r="H52" s="54"/>
      <c r="I52" t="str">
        <f t="shared" si="9"/>
        <v/>
      </c>
      <c r="J52" t="s">
        <v>183</v>
      </c>
      <c r="K52" s="58" t="str">
        <f t="shared" si="10"/>
        <v/>
      </c>
      <c r="L52" s="54">
        <v>4</v>
      </c>
      <c r="M52">
        <f t="shared" si="11"/>
        <v>1525</v>
      </c>
      <c r="N52">
        <v>4</v>
      </c>
      <c r="O52" s="58">
        <f t="shared" si="12"/>
        <v>975</v>
      </c>
      <c r="P52" s="54" t="s">
        <v>183</v>
      </c>
      <c r="Q52" t="str">
        <f t="shared" si="13"/>
        <v/>
      </c>
      <c r="R52" t="s">
        <v>183</v>
      </c>
      <c r="S52" s="58" t="str">
        <f t="shared" si="14"/>
        <v/>
      </c>
      <c r="T52" s="54" t="s">
        <v>183</v>
      </c>
      <c r="U52" t="str">
        <f t="shared" si="15"/>
        <v/>
      </c>
      <c r="V52" t="s">
        <v>183</v>
      </c>
      <c r="W52" s="58" t="str">
        <f t="shared" si="16"/>
        <v/>
      </c>
      <c r="X52" s="54" t="s">
        <v>183</v>
      </c>
      <c r="Y52" t="str">
        <f t="shared" si="17"/>
        <v/>
      </c>
      <c r="Z52" t="s">
        <v>183</v>
      </c>
      <c r="AA52" s="58" t="str">
        <f t="shared" si="18"/>
        <v/>
      </c>
      <c r="AB52" s="54" t="s">
        <v>183</v>
      </c>
      <c r="AC52" t="str">
        <f t="shared" si="19"/>
        <v/>
      </c>
      <c r="AD52" t="s">
        <v>183</v>
      </c>
      <c r="AE52" s="66" t="str">
        <f t="shared" si="20"/>
        <v/>
      </c>
      <c r="AL52" s="279"/>
      <c r="AN52" s="279"/>
    </row>
    <row r="53" spans="1:40" x14ac:dyDescent="0.35">
      <c r="A53" s="65">
        <v>31</v>
      </c>
      <c r="B53" t="s">
        <v>55</v>
      </c>
      <c r="C53" s="276">
        <v>40909</v>
      </c>
      <c r="D53" s="54"/>
      <c r="E53" t="str">
        <f t="shared" si="7"/>
        <v/>
      </c>
      <c r="F53" t="s">
        <v>183</v>
      </c>
      <c r="G53" s="58" t="str">
        <f t="shared" si="8"/>
        <v/>
      </c>
      <c r="H53" s="54"/>
      <c r="I53" t="str">
        <f t="shared" si="9"/>
        <v/>
      </c>
      <c r="J53" t="s">
        <v>183</v>
      </c>
      <c r="K53" s="58" t="str">
        <f t="shared" si="10"/>
        <v/>
      </c>
      <c r="L53" s="54"/>
      <c r="M53" t="str">
        <f t="shared" si="11"/>
        <v/>
      </c>
      <c r="N53" t="s">
        <v>183</v>
      </c>
      <c r="O53" s="58" t="str">
        <f t="shared" si="12"/>
        <v/>
      </c>
      <c r="P53" s="54" t="s">
        <v>183</v>
      </c>
      <c r="Q53" t="str">
        <f t="shared" si="13"/>
        <v/>
      </c>
      <c r="R53" t="s">
        <v>183</v>
      </c>
      <c r="S53" s="58" t="str">
        <f t="shared" si="14"/>
        <v/>
      </c>
      <c r="T53" s="54" t="s">
        <v>183</v>
      </c>
      <c r="U53" t="str">
        <f t="shared" si="15"/>
        <v/>
      </c>
      <c r="V53" t="s">
        <v>183</v>
      </c>
      <c r="W53" s="58" t="str">
        <f t="shared" si="16"/>
        <v/>
      </c>
      <c r="X53" s="54" t="s">
        <v>183</v>
      </c>
      <c r="Y53" t="str">
        <f t="shared" si="17"/>
        <v/>
      </c>
      <c r="Z53" t="s">
        <v>183</v>
      </c>
      <c r="AA53" s="58" t="str">
        <f t="shared" si="18"/>
        <v/>
      </c>
      <c r="AB53" s="54" t="s">
        <v>183</v>
      </c>
      <c r="AC53" t="str">
        <f t="shared" si="19"/>
        <v/>
      </c>
      <c r="AD53" t="s">
        <v>183</v>
      </c>
      <c r="AE53" s="66" t="str">
        <f t="shared" si="20"/>
        <v/>
      </c>
      <c r="AL53" s="279"/>
      <c r="AN53" s="279"/>
    </row>
    <row r="54" spans="1:40" x14ac:dyDescent="0.35">
      <c r="A54" s="65">
        <v>32</v>
      </c>
      <c r="B54" t="s">
        <v>56</v>
      </c>
      <c r="C54" s="276">
        <v>40910</v>
      </c>
      <c r="D54" s="54"/>
      <c r="E54" t="str">
        <f t="shared" ref="E54:E85" si="21">IF(OR(ISBLANK(D54),ISTEXT(D54)),"",LOOKUP(D54,$C$2:$C$11,E$2:E$11))</f>
        <v/>
      </c>
      <c r="F54" t="s">
        <v>183</v>
      </c>
      <c r="G54" s="58" t="str">
        <f t="shared" ref="G54:G85" si="22">IF(OR(ISBLANK(F54),ISTEXT(F54)),"",LOOKUP(F54,$C$2:$C$11,G$2:G$11))</f>
        <v/>
      </c>
      <c r="H54" s="54"/>
      <c r="I54" t="str">
        <f t="shared" ref="I54:I85" si="23">IF(OR(ISBLANK(H54),ISTEXT(H54)),"",LOOKUP(H54,$C$2:$C$11,I$2:I$11))</f>
        <v/>
      </c>
      <c r="J54" t="s">
        <v>183</v>
      </c>
      <c r="K54" s="58" t="str">
        <f t="shared" ref="K54:K85" si="24">IF(OR(ISBLANK(J54),ISTEXT(J54)),"",LOOKUP(J54,$C$2:$C$11,K$2:K$11))</f>
        <v/>
      </c>
      <c r="L54" s="54"/>
      <c r="M54" t="str">
        <f t="shared" ref="M54:M85" si="25">IF(OR(ISBLANK(L54),ISTEXT(L54)),"",LOOKUP(L54,$C$2:$C$11,M$2:M$11))</f>
        <v/>
      </c>
      <c r="N54" t="s">
        <v>183</v>
      </c>
      <c r="O54" s="58" t="str">
        <f t="shared" ref="O54:O85" si="26">IF(OR(ISBLANK(N54),ISTEXT(N54)),"",LOOKUP(N54,$C$2:$C$11,O$2:O$11))</f>
        <v/>
      </c>
      <c r="P54" s="54" t="s">
        <v>183</v>
      </c>
      <c r="Q54" t="str">
        <f t="shared" ref="Q54:Q85" si="27">IF(OR(ISBLANK(P54),ISTEXT(P54)),"",LOOKUP(P54,$C$2:$C$11,Q$2:Q$11))</f>
        <v/>
      </c>
      <c r="R54" t="s">
        <v>183</v>
      </c>
      <c r="S54" s="58" t="str">
        <f t="shared" ref="S54:S85" si="28">IF(OR(ISBLANK(R54),ISTEXT(R54)),"",LOOKUP(R54,$C$2:$C$11,S$2:S$11))</f>
        <v/>
      </c>
      <c r="T54" s="54" t="s">
        <v>183</v>
      </c>
      <c r="U54" t="str">
        <f t="shared" ref="U54:U85" si="29">IF(OR(ISBLANK(T54),ISTEXT(T54)),"",LOOKUP(T54,$C$2:$C$11,U$2:U$11))</f>
        <v/>
      </c>
      <c r="V54" t="s">
        <v>183</v>
      </c>
      <c r="W54" s="58" t="str">
        <f t="shared" ref="W54:W85" si="30">IF(OR(ISBLANK(V54),ISTEXT(V54)),"",LOOKUP(V54,$C$2:$C$11,W$2:W$11))</f>
        <v/>
      </c>
      <c r="X54" s="54" t="s">
        <v>183</v>
      </c>
      <c r="Y54" t="str">
        <f t="shared" ref="Y54:Y85" si="31">IF(OR(ISBLANK(X54),ISTEXT(X54)),"",LOOKUP(X54,$C$2:$C$11,Y$2:Y$11))</f>
        <v/>
      </c>
      <c r="Z54" t="s">
        <v>183</v>
      </c>
      <c r="AA54" s="58" t="str">
        <f t="shared" ref="AA54:AA85" si="32">IF(OR(ISBLANK(Z54),ISTEXT(Z54)),"",LOOKUP(Z54,$C$2:$C$11,AA$2:AA$11))</f>
        <v/>
      </c>
      <c r="AB54" s="54" t="s">
        <v>183</v>
      </c>
      <c r="AC54" t="str">
        <f t="shared" ref="AC54:AC85" si="33">IF(OR(ISBLANK(AB54),ISTEXT(AB54)),"",LOOKUP(AB54,$C$2:$C$11,AC$2:AC$11))</f>
        <v/>
      </c>
      <c r="AD54" t="s">
        <v>183</v>
      </c>
      <c r="AE54" s="66" t="str">
        <f t="shared" ref="AE54:AE85" si="34">IF(OR(ISBLANK(AD54),ISTEXT(AD54)),"",LOOKUP(AD54,$C$2:$C$11,AE$2:AE$11))</f>
        <v/>
      </c>
      <c r="AL54" s="279"/>
      <c r="AN54" s="279"/>
    </row>
    <row r="55" spans="1:40" x14ac:dyDescent="0.35">
      <c r="A55" s="65">
        <v>33</v>
      </c>
      <c r="B55" t="s">
        <v>57</v>
      </c>
      <c r="C55" s="276">
        <v>40911</v>
      </c>
      <c r="D55" s="54"/>
      <c r="E55" t="str">
        <f t="shared" si="21"/>
        <v/>
      </c>
      <c r="F55" t="s">
        <v>183</v>
      </c>
      <c r="G55" s="58" t="str">
        <f t="shared" si="22"/>
        <v/>
      </c>
      <c r="H55" s="54"/>
      <c r="I55" t="str">
        <f t="shared" si="23"/>
        <v/>
      </c>
      <c r="J55" t="s">
        <v>183</v>
      </c>
      <c r="K55" s="58" t="str">
        <f t="shared" si="24"/>
        <v/>
      </c>
      <c r="L55" s="54"/>
      <c r="M55" t="str">
        <f t="shared" si="25"/>
        <v/>
      </c>
      <c r="N55" t="s">
        <v>183</v>
      </c>
      <c r="O55" s="58" t="str">
        <f t="shared" si="26"/>
        <v/>
      </c>
      <c r="P55" s="54" t="s">
        <v>183</v>
      </c>
      <c r="Q55" t="str">
        <f t="shared" si="27"/>
        <v/>
      </c>
      <c r="R55" t="s">
        <v>183</v>
      </c>
      <c r="S55" s="58" t="str">
        <f t="shared" si="28"/>
        <v/>
      </c>
      <c r="T55" s="54" t="s">
        <v>183</v>
      </c>
      <c r="U55" t="str">
        <f t="shared" si="29"/>
        <v/>
      </c>
      <c r="V55" t="s">
        <v>183</v>
      </c>
      <c r="W55" s="58" t="str">
        <f t="shared" si="30"/>
        <v/>
      </c>
      <c r="X55" s="54">
        <v>6</v>
      </c>
      <c r="Y55">
        <f t="shared" si="31"/>
        <v>1740</v>
      </c>
      <c r="Z55" t="s">
        <v>183</v>
      </c>
      <c r="AA55" s="58" t="str">
        <f t="shared" si="32"/>
        <v/>
      </c>
      <c r="AB55" s="54" t="s">
        <v>183</v>
      </c>
      <c r="AC55" t="str">
        <f t="shared" si="33"/>
        <v/>
      </c>
      <c r="AD55" t="s">
        <v>183</v>
      </c>
      <c r="AE55" s="66" t="str">
        <f t="shared" si="34"/>
        <v/>
      </c>
      <c r="AL55" s="279"/>
      <c r="AN55" s="279"/>
    </row>
    <row r="56" spans="1:40" x14ac:dyDescent="0.35">
      <c r="A56" s="65">
        <v>34</v>
      </c>
      <c r="B56" t="s">
        <v>58</v>
      </c>
      <c r="C56" s="276">
        <v>40912</v>
      </c>
      <c r="D56" s="54"/>
      <c r="E56" t="str">
        <f t="shared" si="21"/>
        <v/>
      </c>
      <c r="F56" t="s">
        <v>183</v>
      </c>
      <c r="G56" s="58" t="str">
        <f t="shared" si="22"/>
        <v/>
      </c>
      <c r="H56" s="54"/>
      <c r="I56" t="str">
        <f t="shared" si="23"/>
        <v/>
      </c>
      <c r="J56" t="s">
        <v>183</v>
      </c>
      <c r="K56" s="58" t="str">
        <f t="shared" si="24"/>
        <v/>
      </c>
      <c r="L56" s="54"/>
      <c r="M56" t="str">
        <f t="shared" si="25"/>
        <v/>
      </c>
      <c r="N56" t="s">
        <v>183</v>
      </c>
      <c r="O56" s="58" t="str">
        <f t="shared" si="26"/>
        <v/>
      </c>
      <c r="P56" s="54" t="s">
        <v>183</v>
      </c>
      <c r="Q56" t="str">
        <f t="shared" si="27"/>
        <v/>
      </c>
      <c r="R56" t="s">
        <v>183</v>
      </c>
      <c r="S56" s="58" t="str">
        <f t="shared" si="28"/>
        <v/>
      </c>
      <c r="T56" s="54" t="s">
        <v>183</v>
      </c>
      <c r="U56" t="str">
        <f t="shared" si="29"/>
        <v/>
      </c>
      <c r="V56" t="s">
        <v>183</v>
      </c>
      <c r="W56" s="58" t="str">
        <f t="shared" si="30"/>
        <v/>
      </c>
      <c r="X56" s="54" t="s">
        <v>183</v>
      </c>
      <c r="Y56" t="str">
        <f t="shared" si="31"/>
        <v/>
      </c>
      <c r="Z56" t="s">
        <v>183</v>
      </c>
      <c r="AA56" s="58" t="str">
        <f t="shared" si="32"/>
        <v/>
      </c>
      <c r="AB56" s="54" t="s">
        <v>183</v>
      </c>
      <c r="AC56" t="str">
        <f t="shared" si="33"/>
        <v/>
      </c>
      <c r="AD56" t="s">
        <v>183</v>
      </c>
      <c r="AE56" s="66" t="str">
        <f t="shared" si="34"/>
        <v/>
      </c>
      <c r="AL56" s="279"/>
      <c r="AN56" s="279"/>
    </row>
    <row r="57" spans="1:40" x14ac:dyDescent="0.35">
      <c r="A57" s="65">
        <v>35</v>
      </c>
      <c r="B57" t="s">
        <v>52</v>
      </c>
      <c r="C57" s="276">
        <v>40913</v>
      </c>
      <c r="D57" s="54"/>
      <c r="E57" t="str">
        <f t="shared" si="21"/>
        <v/>
      </c>
      <c r="F57" t="s">
        <v>183</v>
      </c>
      <c r="G57" s="58" t="str">
        <f t="shared" si="22"/>
        <v/>
      </c>
      <c r="H57" s="54"/>
      <c r="I57" t="str">
        <f t="shared" si="23"/>
        <v/>
      </c>
      <c r="J57" t="s">
        <v>183</v>
      </c>
      <c r="K57" s="58" t="str">
        <f t="shared" si="24"/>
        <v/>
      </c>
      <c r="L57" s="54">
        <v>5</v>
      </c>
      <c r="M57">
        <f t="shared" si="25"/>
        <v>1770</v>
      </c>
      <c r="N57">
        <v>5</v>
      </c>
      <c r="O57" s="58">
        <f t="shared" si="26"/>
        <v>1275</v>
      </c>
      <c r="P57" s="54">
        <v>5</v>
      </c>
      <c r="Q57">
        <f t="shared" si="27"/>
        <v>1875</v>
      </c>
      <c r="R57" t="s">
        <v>183</v>
      </c>
      <c r="S57" s="58" t="str">
        <f t="shared" si="28"/>
        <v/>
      </c>
      <c r="T57" s="54" t="s">
        <v>183</v>
      </c>
      <c r="U57" t="str">
        <f t="shared" si="29"/>
        <v/>
      </c>
      <c r="V57" t="s">
        <v>183</v>
      </c>
      <c r="W57" s="58" t="str">
        <f t="shared" si="30"/>
        <v/>
      </c>
      <c r="X57" s="54" t="s">
        <v>183</v>
      </c>
      <c r="Y57" t="str">
        <f t="shared" si="31"/>
        <v/>
      </c>
      <c r="Z57" t="s">
        <v>183</v>
      </c>
      <c r="AA57" s="58" t="str">
        <f t="shared" si="32"/>
        <v/>
      </c>
      <c r="AB57" s="54" t="s">
        <v>183</v>
      </c>
      <c r="AC57" t="str">
        <f t="shared" si="33"/>
        <v/>
      </c>
      <c r="AD57">
        <v>1</v>
      </c>
      <c r="AE57" s="66">
        <f t="shared" si="34"/>
        <v>1380</v>
      </c>
      <c r="AL57" s="279"/>
      <c r="AN57" s="279"/>
    </row>
    <row r="58" spans="1:40" x14ac:dyDescent="0.35">
      <c r="A58" s="65">
        <v>36</v>
      </c>
      <c r="B58" t="s">
        <v>53</v>
      </c>
      <c r="C58" s="276">
        <v>40914</v>
      </c>
      <c r="D58" s="54"/>
      <c r="E58" t="str">
        <f t="shared" si="21"/>
        <v/>
      </c>
      <c r="F58" t="s">
        <v>183</v>
      </c>
      <c r="G58" s="58" t="str">
        <f t="shared" si="22"/>
        <v/>
      </c>
      <c r="H58" s="54"/>
      <c r="I58" t="str">
        <f t="shared" si="23"/>
        <v/>
      </c>
      <c r="J58" t="s">
        <v>183</v>
      </c>
      <c r="K58" s="58" t="str">
        <f t="shared" si="24"/>
        <v/>
      </c>
      <c r="L58" s="54"/>
      <c r="M58" t="str">
        <f t="shared" si="25"/>
        <v/>
      </c>
      <c r="N58" t="s">
        <v>183</v>
      </c>
      <c r="O58" s="58" t="str">
        <f t="shared" si="26"/>
        <v/>
      </c>
      <c r="P58" s="54" t="s">
        <v>183</v>
      </c>
      <c r="Q58" t="str">
        <f t="shared" si="27"/>
        <v/>
      </c>
      <c r="R58">
        <v>5</v>
      </c>
      <c r="S58" s="58">
        <f t="shared" si="28"/>
        <v>1410</v>
      </c>
      <c r="T58" s="54">
        <v>5</v>
      </c>
      <c r="U58">
        <f t="shared" si="29"/>
        <v>1830</v>
      </c>
      <c r="V58" t="s">
        <v>183</v>
      </c>
      <c r="W58" s="58" t="str">
        <f t="shared" si="30"/>
        <v/>
      </c>
      <c r="X58" s="54" t="s">
        <v>183</v>
      </c>
      <c r="Y58" t="str">
        <f t="shared" si="31"/>
        <v/>
      </c>
      <c r="Z58" t="s">
        <v>183</v>
      </c>
      <c r="AA58" s="58" t="str">
        <f t="shared" si="32"/>
        <v/>
      </c>
      <c r="AB58" s="54" t="s">
        <v>183</v>
      </c>
      <c r="AC58" t="str">
        <f t="shared" si="33"/>
        <v/>
      </c>
      <c r="AD58" t="s">
        <v>183</v>
      </c>
      <c r="AE58" s="66" t="str">
        <f t="shared" si="34"/>
        <v/>
      </c>
      <c r="AL58" s="279"/>
      <c r="AN58" s="279"/>
    </row>
    <row r="59" spans="1:40" x14ac:dyDescent="0.35">
      <c r="A59" s="65">
        <v>37</v>
      </c>
      <c r="B59" t="s">
        <v>54</v>
      </c>
      <c r="C59" s="276">
        <v>40915</v>
      </c>
      <c r="D59" s="54">
        <v>6</v>
      </c>
      <c r="E59">
        <f t="shared" si="21"/>
        <v>1815</v>
      </c>
      <c r="F59">
        <v>6</v>
      </c>
      <c r="G59" s="58">
        <f t="shared" si="22"/>
        <v>1345</v>
      </c>
      <c r="H59" s="54"/>
      <c r="I59" t="str">
        <f t="shared" si="23"/>
        <v/>
      </c>
      <c r="J59" t="s">
        <v>183</v>
      </c>
      <c r="K59" s="58" t="str">
        <f t="shared" si="24"/>
        <v/>
      </c>
      <c r="L59" s="54"/>
      <c r="M59" t="str">
        <f t="shared" si="25"/>
        <v/>
      </c>
      <c r="N59" t="s">
        <v>183</v>
      </c>
      <c r="O59" s="58" t="str">
        <f t="shared" si="26"/>
        <v/>
      </c>
      <c r="P59" s="54" t="s">
        <v>183</v>
      </c>
      <c r="Q59" t="str">
        <f t="shared" si="27"/>
        <v/>
      </c>
      <c r="R59" t="s">
        <v>183</v>
      </c>
      <c r="S59" s="58" t="str">
        <f t="shared" si="28"/>
        <v/>
      </c>
      <c r="T59" s="54" t="s">
        <v>183</v>
      </c>
      <c r="U59" t="str">
        <f t="shared" si="29"/>
        <v/>
      </c>
      <c r="V59" t="s">
        <v>183</v>
      </c>
      <c r="W59" s="58" t="str">
        <f t="shared" si="30"/>
        <v/>
      </c>
      <c r="X59" s="54">
        <v>7</v>
      </c>
      <c r="Y59">
        <f t="shared" si="31"/>
        <v>1710</v>
      </c>
      <c r="Z59" t="s">
        <v>183</v>
      </c>
      <c r="AA59" s="58" t="str">
        <f t="shared" si="32"/>
        <v/>
      </c>
      <c r="AB59" s="54" t="s">
        <v>183</v>
      </c>
      <c r="AC59" t="str">
        <f t="shared" si="33"/>
        <v/>
      </c>
      <c r="AD59" t="s">
        <v>183</v>
      </c>
      <c r="AE59" s="66" t="str">
        <f t="shared" si="34"/>
        <v/>
      </c>
      <c r="AL59" s="279"/>
      <c r="AN59" s="279"/>
    </row>
    <row r="60" spans="1:40" x14ac:dyDescent="0.35">
      <c r="A60" s="65">
        <v>38</v>
      </c>
      <c r="B60" t="s">
        <v>55</v>
      </c>
      <c r="C60" s="276">
        <v>40916</v>
      </c>
      <c r="D60" s="54"/>
      <c r="E60" t="str">
        <f t="shared" si="21"/>
        <v/>
      </c>
      <c r="F60" t="s">
        <v>183</v>
      </c>
      <c r="G60" s="58" t="str">
        <f t="shared" si="22"/>
        <v/>
      </c>
      <c r="H60" s="54"/>
      <c r="I60" t="str">
        <f t="shared" si="23"/>
        <v/>
      </c>
      <c r="J60" t="s">
        <v>183</v>
      </c>
      <c r="K60" s="58" t="str">
        <f t="shared" si="24"/>
        <v/>
      </c>
      <c r="L60" s="54"/>
      <c r="M60" t="str">
        <f t="shared" si="25"/>
        <v/>
      </c>
      <c r="N60" t="s">
        <v>183</v>
      </c>
      <c r="O60" s="58" t="str">
        <f t="shared" si="26"/>
        <v/>
      </c>
      <c r="P60" s="54" t="s">
        <v>183</v>
      </c>
      <c r="Q60" t="str">
        <f t="shared" si="27"/>
        <v/>
      </c>
      <c r="R60" t="s">
        <v>183</v>
      </c>
      <c r="S60" s="58" t="str">
        <f t="shared" si="28"/>
        <v/>
      </c>
      <c r="T60" s="54" t="s">
        <v>183</v>
      </c>
      <c r="U60" t="str">
        <f t="shared" si="29"/>
        <v/>
      </c>
      <c r="V60">
        <v>5</v>
      </c>
      <c r="W60" s="58">
        <f t="shared" si="30"/>
        <v>1500</v>
      </c>
      <c r="X60" s="54" t="s">
        <v>183</v>
      </c>
      <c r="Y60" t="str">
        <f t="shared" si="31"/>
        <v/>
      </c>
      <c r="Z60" t="s">
        <v>183</v>
      </c>
      <c r="AA60" s="58" t="str">
        <f t="shared" si="32"/>
        <v/>
      </c>
      <c r="AB60" s="54" t="s">
        <v>183</v>
      </c>
      <c r="AC60" t="str">
        <f t="shared" si="33"/>
        <v/>
      </c>
      <c r="AD60" t="s">
        <v>183</v>
      </c>
      <c r="AE60" s="66" t="str">
        <f t="shared" si="34"/>
        <v/>
      </c>
      <c r="AL60" s="279"/>
      <c r="AN60" s="279"/>
    </row>
    <row r="61" spans="1:40" x14ac:dyDescent="0.35">
      <c r="A61" s="65">
        <v>39</v>
      </c>
      <c r="B61" t="s">
        <v>56</v>
      </c>
      <c r="C61" s="276">
        <v>40917</v>
      </c>
      <c r="D61" s="54"/>
      <c r="E61" t="str">
        <f t="shared" si="21"/>
        <v/>
      </c>
      <c r="F61" t="s">
        <v>183</v>
      </c>
      <c r="G61" s="58" t="str">
        <f t="shared" si="22"/>
        <v/>
      </c>
      <c r="H61" s="54"/>
      <c r="I61" t="str">
        <f t="shared" si="23"/>
        <v/>
      </c>
      <c r="J61" t="s">
        <v>183</v>
      </c>
      <c r="K61" s="58" t="str">
        <f t="shared" si="24"/>
        <v/>
      </c>
      <c r="L61" s="54"/>
      <c r="M61" t="str">
        <f t="shared" si="25"/>
        <v/>
      </c>
      <c r="N61" t="s">
        <v>183</v>
      </c>
      <c r="O61" s="58" t="str">
        <f t="shared" si="26"/>
        <v/>
      </c>
      <c r="P61" s="54" t="s">
        <v>183</v>
      </c>
      <c r="Q61" t="str">
        <f t="shared" si="27"/>
        <v/>
      </c>
      <c r="R61" t="s">
        <v>183</v>
      </c>
      <c r="S61" s="58" t="str">
        <f t="shared" si="28"/>
        <v/>
      </c>
      <c r="T61" s="54" t="s">
        <v>183</v>
      </c>
      <c r="U61" t="str">
        <f t="shared" si="29"/>
        <v/>
      </c>
      <c r="V61" t="s">
        <v>183</v>
      </c>
      <c r="W61" s="58" t="str">
        <f t="shared" si="30"/>
        <v/>
      </c>
      <c r="X61" s="54" t="s">
        <v>183</v>
      </c>
      <c r="Y61" t="str">
        <f t="shared" si="31"/>
        <v/>
      </c>
      <c r="Z61">
        <v>6</v>
      </c>
      <c r="AA61" s="58">
        <f t="shared" si="32"/>
        <v>1585</v>
      </c>
      <c r="AB61" s="54" t="s">
        <v>183</v>
      </c>
      <c r="AC61" t="str">
        <f t="shared" si="33"/>
        <v/>
      </c>
      <c r="AD61">
        <v>2</v>
      </c>
      <c r="AE61" s="66">
        <f t="shared" si="34"/>
        <v>1450</v>
      </c>
      <c r="AL61" s="279"/>
      <c r="AN61" s="279"/>
    </row>
    <row r="62" spans="1:40" x14ac:dyDescent="0.35">
      <c r="A62" s="65">
        <v>40</v>
      </c>
      <c r="B62" t="s">
        <v>57</v>
      </c>
      <c r="C62" s="276">
        <v>40918</v>
      </c>
      <c r="D62" s="54"/>
      <c r="E62" t="str">
        <f t="shared" si="21"/>
        <v/>
      </c>
      <c r="F62" t="s">
        <v>183</v>
      </c>
      <c r="G62" s="58" t="str">
        <f t="shared" si="22"/>
        <v/>
      </c>
      <c r="H62" s="54">
        <v>6</v>
      </c>
      <c r="I62">
        <f t="shared" si="23"/>
        <v>1765</v>
      </c>
      <c r="J62">
        <v>6</v>
      </c>
      <c r="K62" s="58">
        <f t="shared" si="24"/>
        <v>1170</v>
      </c>
      <c r="L62" s="54"/>
      <c r="M62" t="str">
        <f t="shared" si="25"/>
        <v/>
      </c>
      <c r="N62" t="s">
        <v>183</v>
      </c>
      <c r="O62" s="58" t="str">
        <f t="shared" si="26"/>
        <v/>
      </c>
      <c r="P62" s="54" t="s">
        <v>183</v>
      </c>
      <c r="Q62" t="str">
        <f t="shared" si="27"/>
        <v/>
      </c>
      <c r="R62" t="s">
        <v>183</v>
      </c>
      <c r="S62" s="58" t="str">
        <f t="shared" si="28"/>
        <v/>
      </c>
      <c r="T62" s="54" t="s">
        <v>183</v>
      </c>
      <c r="U62" t="str">
        <f t="shared" si="29"/>
        <v/>
      </c>
      <c r="V62" t="s">
        <v>183</v>
      </c>
      <c r="W62" s="58" t="str">
        <f t="shared" si="30"/>
        <v/>
      </c>
      <c r="X62" s="54" t="s">
        <v>183</v>
      </c>
      <c r="Y62" t="str">
        <f t="shared" si="31"/>
        <v/>
      </c>
      <c r="Z62" t="s">
        <v>183</v>
      </c>
      <c r="AA62" s="58" t="str">
        <f t="shared" si="32"/>
        <v/>
      </c>
      <c r="AB62" s="54" t="s">
        <v>183</v>
      </c>
      <c r="AC62" t="str">
        <f t="shared" si="33"/>
        <v/>
      </c>
      <c r="AD62">
        <v>3</v>
      </c>
      <c r="AE62" s="66">
        <f t="shared" si="34"/>
        <v>1530</v>
      </c>
      <c r="AL62" s="279"/>
      <c r="AN62" s="279"/>
    </row>
    <row r="63" spans="1:40" x14ac:dyDescent="0.35">
      <c r="A63" s="65">
        <v>41</v>
      </c>
      <c r="B63" t="s">
        <v>58</v>
      </c>
      <c r="C63" s="276">
        <v>40919</v>
      </c>
      <c r="D63" s="54"/>
      <c r="E63" t="str">
        <f t="shared" si="21"/>
        <v/>
      </c>
      <c r="F63" t="s">
        <v>183</v>
      </c>
      <c r="G63" s="58" t="str">
        <f t="shared" si="22"/>
        <v/>
      </c>
      <c r="H63" s="54"/>
      <c r="I63" t="str">
        <f t="shared" si="23"/>
        <v/>
      </c>
      <c r="J63" t="s">
        <v>183</v>
      </c>
      <c r="K63" s="58" t="str">
        <f t="shared" si="24"/>
        <v/>
      </c>
      <c r="L63" s="54"/>
      <c r="M63" t="str">
        <f t="shared" si="25"/>
        <v/>
      </c>
      <c r="N63" t="s">
        <v>183</v>
      </c>
      <c r="O63" s="58" t="str">
        <f t="shared" si="26"/>
        <v/>
      </c>
      <c r="P63" s="54">
        <v>6</v>
      </c>
      <c r="Q63">
        <f t="shared" si="27"/>
        <v>1710</v>
      </c>
      <c r="R63" t="s">
        <v>183</v>
      </c>
      <c r="S63" s="58" t="str">
        <f t="shared" si="28"/>
        <v/>
      </c>
      <c r="T63" s="54" t="s">
        <v>183</v>
      </c>
      <c r="U63" t="str">
        <f t="shared" si="29"/>
        <v/>
      </c>
      <c r="V63" t="s">
        <v>183</v>
      </c>
      <c r="W63" s="58" t="str">
        <f t="shared" si="30"/>
        <v/>
      </c>
      <c r="X63" s="54">
        <v>8</v>
      </c>
      <c r="Y63">
        <f t="shared" si="31"/>
        <v>2025</v>
      </c>
      <c r="Z63" t="s">
        <v>183</v>
      </c>
      <c r="AA63" s="58" t="str">
        <f t="shared" si="32"/>
        <v/>
      </c>
      <c r="AB63" s="54" t="s">
        <v>183</v>
      </c>
      <c r="AC63" t="str">
        <f t="shared" si="33"/>
        <v/>
      </c>
      <c r="AD63">
        <v>4</v>
      </c>
      <c r="AE63" s="66">
        <f t="shared" si="34"/>
        <v>1510</v>
      </c>
      <c r="AL63" s="279"/>
      <c r="AN63" s="279"/>
    </row>
    <row r="64" spans="1:40" x14ac:dyDescent="0.35">
      <c r="A64" s="65">
        <v>42</v>
      </c>
      <c r="B64" t="s">
        <v>52</v>
      </c>
      <c r="C64" s="276">
        <v>40920</v>
      </c>
      <c r="D64" s="54"/>
      <c r="E64" t="str">
        <f t="shared" si="21"/>
        <v/>
      </c>
      <c r="F64" t="s">
        <v>183</v>
      </c>
      <c r="G64" s="58" t="str">
        <f t="shared" si="22"/>
        <v/>
      </c>
      <c r="H64" s="54"/>
      <c r="I64" t="str">
        <f t="shared" si="23"/>
        <v/>
      </c>
      <c r="J64" t="s">
        <v>183</v>
      </c>
      <c r="K64" s="58" t="str">
        <f t="shared" si="24"/>
        <v/>
      </c>
      <c r="L64" s="54"/>
      <c r="M64" t="str">
        <f t="shared" si="25"/>
        <v/>
      </c>
      <c r="N64" t="s">
        <v>183</v>
      </c>
      <c r="O64" s="58" t="str">
        <f t="shared" si="26"/>
        <v/>
      </c>
      <c r="P64" s="54" t="s">
        <v>183</v>
      </c>
      <c r="Q64" t="str">
        <f t="shared" si="27"/>
        <v/>
      </c>
      <c r="R64">
        <v>6</v>
      </c>
      <c r="S64" s="58">
        <f t="shared" si="28"/>
        <v>1215</v>
      </c>
      <c r="T64" s="54">
        <v>6</v>
      </c>
      <c r="U64">
        <f t="shared" si="29"/>
        <v>2130</v>
      </c>
      <c r="V64" t="s">
        <v>183</v>
      </c>
      <c r="W64" s="58" t="str">
        <f t="shared" si="30"/>
        <v/>
      </c>
      <c r="X64" s="54" t="s">
        <v>183</v>
      </c>
      <c r="Y64" t="str">
        <f t="shared" si="31"/>
        <v/>
      </c>
      <c r="Z64" t="s">
        <v>183</v>
      </c>
      <c r="AA64" s="58" t="str">
        <f t="shared" si="32"/>
        <v/>
      </c>
      <c r="AB64" s="54" t="s">
        <v>183</v>
      </c>
      <c r="AC64" t="str">
        <f t="shared" si="33"/>
        <v/>
      </c>
      <c r="AD64" t="s">
        <v>183</v>
      </c>
      <c r="AE64" s="66" t="str">
        <f t="shared" si="34"/>
        <v/>
      </c>
      <c r="AL64" s="279"/>
      <c r="AN64" s="279"/>
    </row>
    <row r="65" spans="1:40" x14ac:dyDescent="0.35">
      <c r="A65" s="65">
        <v>43</v>
      </c>
      <c r="B65" t="s">
        <v>53</v>
      </c>
      <c r="C65" s="276">
        <v>40921</v>
      </c>
      <c r="D65" s="54"/>
      <c r="E65" t="str">
        <f t="shared" si="21"/>
        <v/>
      </c>
      <c r="F65" t="s">
        <v>183</v>
      </c>
      <c r="G65" s="58" t="str">
        <f t="shared" si="22"/>
        <v/>
      </c>
      <c r="H65" s="54">
        <v>7</v>
      </c>
      <c r="I65">
        <f t="shared" si="23"/>
        <v>1680</v>
      </c>
      <c r="J65">
        <v>7</v>
      </c>
      <c r="K65" s="58">
        <f t="shared" si="24"/>
        <v>1125</v>
      </c>
      <c r="L65" s="54"/>
      <c r="M65" t="str">
        <f t="shared" si="25"/>
        <v/>
      </c>
      <c r="N65" t="s">
        <v>183</v>
      </c>
      <c r="O65" s="58" t="str">
        <f t="shared" si="26"/>
        <v/>
      </c>
      <c r="P65" s="54" t="s">
        <v>183</v>
      </c>
      <c r="Q65" t="str">
        <f t="shared" si="27"/>
        <v/>
      </c>
      <c r="R65" t="s">
        <v>183</v>
      </c>
      <c r="S65" s="58" t="str">
        <f t="shared" si="28"/>
        <v/>
      </c>
      <c r="T65" s="54" t="s">
        <v>183</v>
      </c>
      <c r="U65" t="str">
        <f t="shared" si="29"/>
        <v/>
      </c>
      <c r="V65" t="s">
        <v>183</v>
      </c>
      <c r="W65" s="58" t="str">
        <f t="shared" si="30"/>
        <v/>
      </c>
      <c r="X65" s="54" t="s">
        <v>183</v>
      </c>
      <c r="Y65" t="str">
        <f t="shared" si="31"/>
        <v/>
      </c>
      <c r="Z65">
        <v>7</v>
      </c>
      <c r="AA65" s="58">
        <f t="shared" si="32"/>
        <v>1350</v>
      </c>
      <c r="AB65" s="54" t="s">
        <v>183</v>
      </c>
      <c r="AC65" t="str">
        <f t="shared" si="33"/>
        <v/>
      </c>
      <c r="AD65">
        <v>5</v>
      </c>
      <c r="AE65" s="66">
        <f t="shared" si="34"/>
        <v>1760</v>
      </c>
      <c r="AL65" s="279"/>
      <c r="AN65" s="279"/>
    </row>
    <row r="66" spans="1:40" x14ac:dyDescent="0.35">
      <c r="A66" s="65">
        <v>44</v>
      </c>
      <c r="B66" t="s">
        <v>54</v>
      </c>
      <c r="C66" s="276">
        <v>40922</v>
      </c>
      <c r="D66" s="54"/>
      <c r="E66" t="str">
        <f t="shared" si="21"/>
        <v/>
      </c>
      <c r="F66" t="s">
        <v>183</v>
      </c>
      <c r="G66" s="58" t="str">
        <f t="shared" si="22"/>
        <v/>
      </c>
      <c r="H66" s="54"/>
      <c r="I66" t="str">
        <f t="shared" si="23"/>
        <v/>
      </c>
      <c r="J66" t="s">
        <v>183</v>
      </c>
      <c r="K66" s="58" t="str">
        <f t="shared" si="24"/>
        <v/>
      </c>
      <c r="L66" s="54">
        <v>6</v>
      </c>
      <c r="M66">
        <f t="shared" si="25"/>
        <v>1815</v>
      </c>
      <c r="N66">
        <v>6</v>
      </c>
      <c r="O66" s="58">
        <f t="shared" si="26"/>
        <v>1335</v>
      </c>
      <c r="P66" s="54" t="s">
        <v>183</v>
      </c>
      <c r="Q66" t="str">
        <f t="shared" si="27"/>
        <v/>
      </c>
      <c r="R66" t="s">
        <v>183</v>
      </c>
      <c r="S66" s="58" t="str">
        <f t="shared" si="28"/>
        <v/>
      </c>
      <c r="T66" s="54">
        <v>7</v>
      </c>
      <c r="U66">
        <f t="shared" si="29"/>
        <v>1890</v>
      </c>
      <c r="V66">
        <v>6</v>
      </c>
      <c r="W66" s="58">
        <f t="shared" si="30"/>
        <v>1485</v>
      </c>
      <c r="X66" s="54" t="s">
        <v>183</v>
      </c>
      <c r="Y66" t="str">
        <f t="shared" si="31"/>
        <v/>
      </c>
      <c r="Z66" t="s">
        <v>183</v>
      </c>
      <c r="AA66" s="58" t="str">
        <f t="shared" si="32"/>
        <v/>
      </c>
      <c r="AB66" s="54" t="s">
        <v>183</v>
      </c>
      <c r="AC66" t="str">
        <f t="shared" si="33"/>
        <v/>
      </c>
      <c r="AD66" t="s">
        <v>183</v>
      </c>
      <c r="AE66" s="66" t="str">
        <f t="shared" si="34"/>
        <v/>
      </c>
      <c r="AL66" s="279"/>
      <c r="AN66" s="279"/>
    </row>
    <row r="67" spans="1:40" x14ac:dyDescent="0.35">
      <c r="A67" s="65">
        <v>45</v>
      </c>
      <c r="B67" t="s">
        <v>55</v>
      </c>
      <c r="C67" s="276">
        <v>40923</v>
      </c>
      <c r="D67" s="54"/>
      <c r="E67" t="str">
        <f t="shared" si="21"/>
        <v/>
      </c>
      <c r="F67" t="s">
        <v>183</v>
      </c>
      <c r="G67" s="58" t="str">
        <f t="shared" si="22"/>
        <v/>
      </c>
      <c r="H67" s="54"/>
      <c r="I67" t="str">
        <f t="shared" si="23"/>
        <v/>
      </c>
      <c r="J67" t="s">
        <v>183</v>
      </c>
      <c r="K67" s="58" t="str">
        <f t="shared" si="24"/>
        <v/>
      </c>
      <c r="L67" s="54"/>
      <c r="M67" t="str">
        <f t="shared" si="25"/>
        <v/>
      </c>
      <c r="N67" t="s">
        <v>183</v>
      </c>
      <c r="O67" s="58" t="str">
        <f t="shared" si="26"/>
        <v/>
      </c>
      <c r="P67" s="54" t="s">
        <v>183</v>
      </c>
      <c r="Q67" t="str">
        <f t="shared" si="27"/>
        <v/>
      </c>
      <c r="R67" t="s">
        <v>183</v>
      </c>
      <c r="S67" s="58" t="str">
        <f t="shared" si="28"/>
        <v/>
      </c>
      <c r="T67" s="54" t="s">
        <v>183</v>
      </c>
      <c r="U67" t="str">
        <f t="shared" si="29"/>
        <v/>
      </c>
      <c r="V67" t="s">
        <v>183</v>
      </c>
      <c r="W67" s="58" t="str">
        <f t="shared" si="30"/>
        <v/>
      </c>
      <c r="X67" s="54" t="s">
        <v>183</v>
      </c>
      <c r="Y67" t="str">
        <f t="shared" si="31"/>
        <v/>
      </c>
      <c r="Z67" t="s">
        <v>183</v>
      </c>
      <c r="AA67" s="58" t="str">
        <f t="shared" si="32"/>
        <v/>
      </c>
      <c r="AB67" s="54" t="s">
        <v>183</v>
      </c>
      <c r="AC67" t="str">
        <f t="shared" si="33"/>
        <v/>
      </c>
      <c r="AD67">
        <v>6</v>
      </c>
      <c r="AE67" s="66">
        <f t="shared" si="34"/>
        <v>1785</v>
      </c>
      <c r="AL67" s="279"/>
      <c r="AN67" s="279"/>
    </row>
    <row r="68" spans="1:40" x14ac:dyDescent="0.35">
      <c r="A68" s="65">
        <v>46</v>
      </c>
      <c r="B68" t="s">
        <v>56</v>
      </c>
      <c r="C68" s="276">
        <v>40924</v>
      </c>
      <c r="D68" s="54"/>
      <c r="E68" t="str">
        <f t="shared" si="21"/>
        <v/>
      </c>
      <c r="F68" t="s">
        <v>183</v>
      </c>
      <c r="G68" s="58" t="str">
        <f t="shared" si="22"/>
        <v/>
      </c>
      <c r="H68" s="54"/>
      <c r="I68" t="str">
        <f t="shared" si="23"/>
        <v/>
      </c>
      <c r="J68" t="s">
        <v>183</v>
      </c>
      <c r="K68" s="58" t="str">
        <f t="shared" si="24"/>
        <v/>
      </c>
      <c r="L68" s="54">
        <v>7</v>
      </c>
      <c r="M68">
        <f t="shared" si="25"/>
        <v>1635</v>
      </c>
      <c r="N68">
        <v>7</v>
      </c>
      <c r="O68" s="58">
        <f t="shared" si="26"/>
        <v>1220</v>
      </c>
      <c r="P68" s="54" t="s">
        <v>183</v>
      </c>
      <c r="Q68" t="str">
        <f t="shared" si="27"/>
        <v/>
      </c>
      <c r="R68" t="s">
        <v>183</v>
      </c>
      <c r="S68" s="58" t="str">
        <f t="shared" si="28"/>
        <v/>
      </c>
      <c r="T68" s="54" t="s">
        <v>183</v>
      </c>
      <c r="U68" t="str">
        <f t="shared" si="29"/>
        <v/>
      </c>
      <c r="V68">
        <v>7</v>
      </c>
      <c r="W68" s="58">
        <f t="shared" si="30"/>
        <v>1440</v>
      </c>
      <c r="X68" s="54" t="s">
        <v>183</v>
      </c>
      <c r="Y68" t="str">
        <f t="shared" si="31"/>
        <v/>
      </c>
      <c r="Z68" t="s">
        <v>183</v>
      </c>
      <c r="AA68" s="58" t="str">
        <f t="shared" si="32"/>
        <v/>
      </c>
      <c r="AB68" s="54" t="s">
        <v>183</v>
      </c>
      <c r="AC68" t="str">
        <f t="shared" si="33"/>
        <v/>
      </c>
      <c r="AD68" t="s">
        <v>183</v>
      </c>
      <c r="AE68" s="66" t="str">
        <f t="shared" si="34"/>
        <v/>
      </c>
      <c r="AL68" s="279"/>
      <c r="AN68" s="279"/>
    </row>
    <row r="69" spans="1:40" x14ac:dyDescent="0.35">
      <c r="A69" s="65">
        <v>47</v>
      </c>
      <c r="B69" t="s">
        <v>57</v>
      </c>
      <c r="C69" s="276">
        <v>40925</v>
      </c>
      <c r="D69" s="54"/>
      <c r="E69" t="str">
        <f t="shared" si="21"/>
        <v/>
      </c>
      <c r="F69" t="s">
        <v>183</v>
      </c>
      <c r="G69" s="58" t="str">
        <f t="shared" si="22"/>
        <v/>
      </c>
      <c r="H69" s="54"/>
      <c r="I69" t="str">
        <f t="shared" si="23"/>
        <v/>
      </c>
      <c r="J69" t="s">
        <v>183</v>
      </c>
      <c r="K69" s="58" t="str">
        <f t="shared" si="24"/>
        <v/>
      </c>
      <c r="L69" s="54"/>
      <c r="M69" t="str">
        <f t="shared" si="25"/>
        <v/>
      </c>
      <c r="N69" t="s">
        <v>183</v>
      </c>
      <c r="O69" s="58" t="str">
        <f t="shared" si="26"/>
        <v/>
      </c>
      <c r="P69" s="54" t="s">
        <v>183</v>
      </c>
      <c r="Q69" t="str">
        <f t="shared" si="27"/>
        <v/>
      </c>
      <c r="R69" t="s">
        <v>183</v>
      </c>
      <c r="S69" s="58" t="str">
        <f t="shared" si="28"/>
        <v/>
      </c>
      <c r="T69" s="54" t="s">
        <v>183</v>
      </c>
      <c r="U69" t="str">
        <f t="shared" si="29"/>
        <v/>
      </c>
      <c r="V69" t="s">
        <v>183</v>
      </c>
      <c r="W69" s="58" t="str">
        <f t="shared" si="30"/>
        <v/>
      </c>
      <c r="X69" s="54" t="s">
        <v>183</v>
      </c>
      <c r="Y69" t="str">
        <f t="shared" si="31"/>
        <v/>
      </c>
      <c r="Z69">
        <v>8</v>
      </c>
      <c r="AA69" s="58">
        <f t="shared" si="32"/>
        <v>1665</v>
      </c>
      <c r="AB69" s="54" t="s">
        <v>183</v>
      </c>
      <c r="AC69" t="str">
        <f t="shared" si="33"/>
        <v/>
      </c>
      <c r="AD69">
        <v>7</v>
      </c>
      <c r="AE69" s="66">
        <f t="shared" si="34"/>
        <v>1745</v>
      </c>
      <c r="AL69" s="279"/>
      <c r="AN69" s="279"/>
    </row>
    <row r="70" spans="1:40" x14ac:dyDescent="0.35">
      <c r="A70" s="65">
        <v>48</v>
      </c>
      <c r="B70" t="s">
        <v>58</v>
      </c>
      <c r="C70" s="276">
        <v>40926</v>
      </c>
      <c r="D70" s="54">
        <v>7</v>
      </c>
      <c r="E70">
        <f t="shared" si="21"/>
        <v>2040</v>
      </c>
      <c r="F70">
        <v>7</v>
      </c>
      <c r="G70" s="58">
        <f t="shared" si="22"/>
        <v>1110</v>
      </c>
      <c r="H70" s="54"/>
      <c r="I70" t="str">
        <f t="shared" si="23"/>
        <v/>
      </c>
      <c r="J70" t="s">
        <v>183</v>
      </c>
      <c r="K70" s="58" t="str">
        <f t="shared" si="24"/>
        <v/>
      </c>
      <c r="L70" s="54"/>
      <c r="M70" t="str">
        <f t="shared" si="25"/>
        <v/>
      </c>
      <c r="N70" t="s">
        <v>183</v>
      </c>
      <c r="O70" s="58" t="str">
        <f t="shared" si="26"/>
        <v/>
      </c>
      <c r="P70" s="54" t="s">
        <v>183</v>
      </c>
      <c r="Q70" t="str">
        <f t="shared" si="27"/>
        <v/>
      </c>
      <c r="R70" t="s">
        <v>183</v>
      </c>
      <c r="S70" s="58" t="str">
        <f t="shared" si="28"/>
        <v/>
      </c>
      <c r="T70" s="54" t="s">
        <v>183</v>
      </c>
      <c r="U70" t="str">
        <f t="shared" si="29"/>
        <v/>
      </c>
      <c r="V70" t="s">
        <v>183</v>
      </c>
      <c r="W70" s="58" t="str">
        <f t="shared" si="30"/>
        <v/>
      </c>
      <c r="X70" s="54">
        <v>9</v>
      </c>
      <c r="Y70">
        <f t="shared" si="31"/>
        <v>2100</v>
      </c>
      <c r="Z70" t="s">
        <v>183</v>
      </c>
      <c r="AA70" s="58" t="str">
        <f t="shared" si="32"/>
        <v/>
      </c>
      <c r="AB70" s="54" t="s">
        <v>183</v>
      </c>
      <c r="AC70" t="str">
        <f t="shared" si="33"/>
        <v/>
      </c>
      <c r="AD70" t="s">
        <v>183</v>
      </c>
      <c r="AE70" s="66" t="str">
        <f t="shared" si="34"/>
        <v/>
      </c>
      <c r="AL70" s="279"/>
      <c r="AN70" s="279"/>
    </row>
    <row r="71" spans="1:40" x14ac:dyDescent="0.35">
      <c r="A71" s="65">
        <v>49</v>
      </c>
      <c r="B71" t="s">
        <v>52</v>
      </c>
      <c r="C71" s="276">
        <v>40927</v>
      </c>
      <c r="D71" s="54"/>
      <c r="E71" t="str">
        <f t="shared" si="21"/>
        <v/>
      </c>
      <c r="F71" t="s">
        <v>183</v>
      </c>
      <c r="G71" s="58" t="str">
        <f t="shared" si="22"/>
        <v/>
      </c>
      <c r="H71" s="54"/>
      <c r="I71" t="str">
        <f t="shared" si="23"/>
        <v/>
      </c>
      <c r="J71" t="s">
        <v>183</v>
      </c>
      <c r="K71" s="58" t="str">
        <f t="shared" si="24"/>
        <v/>
      </c>
      <c r="L71" s="54"/>
      <c r="M71" t="str">
        <f t="shared" si="25"/>
        <v/>
      </c>
      <c r="N71" t="s">
        <v>183</v>
      </c>
      <c r="O71" s="58" t="str">
        <f t="shared" si="26"/>
        <v/>
      </c>
      <c r="P71" s="54" t="s">
        <v>183</v>
      </c>
      <c r="Q71" t="str">
        <f t="shared" si="27"/>
        <v/>
      </c>
      <c r="R71" t="s">
        <v>183</v>
      </c>
      <c r="S71" s="58" t="str">
        <f t="shared" si="28"/>
        <v/>
      </c>
      <c r="T71" s="54" t="s">
        <v>183</v>
      </c>
      <c r="U71" t="str">
        <f t="shared" si="29"/>
        <v/>
      </c>
      <c r="V71" t="s">
        <v>183</v>
      </c>
      <c r="W71" s="58" t="str">
        <f t="shared" si="30"/>
        <v/>
      </c>
      <c r="X71" s="54" t="s">
        <v>183</v>
      </c>
      <c r="Y71" t="str">
        <f t="shared" si="31"/>
        <v/>
      </c>
      <c r="Z71" t="s">
        <v>183</v>
      </c>
      <c r="AA71" s="58" t="str">
        <f t="shared" si="32"/>
        <v/>
      </c>
      <c r="AB71" s="54" t="s">
        <v>183</v>
      </c>
      <c r="AC71" t="str">
        <f t="shared" si="33"/>
        <v/>
      </c>
      <c r="AD71">
        <v>8</v>
      </c>
      <c r="AE71" s="66">
        <f t="shared" si="34"/>
        <v>1505</v>
      </c>
      <c r="AL71" s="279"/>
      <c r="AN71" s="279"/>
    </row>
    <row r="72" spans="1:40" x14ac:dyDescent="0.35">
      <c r="A72" s="65">
        <v>50</v>
      </c>
      <c r="B72" t="s">
        <v>53</v>
      </c>
      <c r="C72" s="276">
        <v>40928</v>
      </c>
      <c r="D72" s="54"/>
      <c r="E72" t="str">
        <f t="shared" si="21"/>
        <v/>
      </c>
      <c r="F72" t="s">
        <v>183</v>
      </c>
      <c r="G72" s="58" t="str">
        <f t="shared" si="22"/>
        <v/>
      </c>
      <c r="H72" s="54">
        <v>8</v>
      </c>
      <c r="I72">
        <f t="shared" si="23"/>
        <v>1905</v>
      </c>
      <c r="J72">
        <v>8</v>
      </c>
      <c r="K72" s="58">
        <f t="shared" si="24"/>
        <v>1250</v>
      </c>
      <c r="L72" s="54"/>
      <c r="M72" t="str">
        <f t="shared" si="25"/>
        <v/>
      </c>
      <c r="N72" t="s">
        <v>183</v>
      </c>
      <c r="O72" s="58" t="str">
        <f t="shared" si="26"/>
        <v/>
      </c>
      <c r="P72" s="54">
        <v>7</v>
      </c>
      <c r="Q72">
        <f t="shared" si="27"/>
        <v>1905</v>
      </c>
      <c r="R72" t="s">
        <v>183</v>
      </c>
      <c r="S72" s="58" t="str">
        <f t="shared" si="28"/>
        <v/>
      </c>
      <c r="T72" s="54" t="s">
        <v>183</v>
      </c>
      <c r="U72" t="str">
        <f t="shared" si="29"/>
        <v/>
      </c>
      <c r="V72" t="s">
        <v>183</v>
      </c>
      <c r="W72" s="58" t="str">
        <f t="shared" si="30"/>
        <v/>
      </c>
      <c r="X72" s="54" t="s">
        <v>183</v>
      </c>
      <c r="Y72" t="str">
        <f t="shared" si="31"/>
        <v/>
      </c>
      <c r="Z72" t="s">
        <v>183</v>
      </c>
      <c r="AA72" s="58" t="str">
        <f t="shared" si="32"/>
        <v/>
      </c>
      <c r="AB72" s="54" t="s">
        <v>183</v>
      </c>
      <c r="AC72" t="str">
        <f t="shared" si="33"/>
        <v/>
      </c>
      <c r="AD72" t="s">
        <v>183</v>
      </c>
      <c r="AE72" s="66" t="str">
        <f t="shared" si="34"/>
        <v/>
      </c>
      <c r="AL72" s="279"/>
      <c r="AN72" s="279"/>
    </row>
    <row r="73" spans="1:40" x14ac:dyDescent="0.35">
      <c r="A73" s="65">
        <v>51</v>
      </c>
      <c r="B73" t="s">
        <v>54</v>
      </c>
      <c r="C73" s="276">
        <v>40929</v>
      </c>
      <c r="D73" s="54"/>
      <c r="E73" t="str">
        <f t="shared" si="21"/>
        <v/>
      </c>
      <c r="F73" t="s">
        <v>183</v>
      </c>
      <c r="G73" s="58" t="str">
        <f t="shared" si="22"/>
        <v/>
      </c>
      <c r="H73" s="54"/>
      <c r="I73" t="str">
        <f t="shared" si="23"/>
        <v/>
      </c>
      <c r="J73" t="s">
        <v>183</v>
      </c>
      <c r="K73" s="58" t="str">
        <f t="shared" si="24"/>
        <v/>
      </c>
      <c r="L73" s="54"/>
      <c r="M73" t="str">
        <f t="shared" si="25"/>
        <v/>
      </c>
      <c r="N73" t="s">
        <v>183</v>
      </c>
      <c r="O73" s="58" t="str">
        <f t="shared" si="26"/>
        <v/>
      </c>
      <c r="P73" s="54" t="s">
        <v>183</v>
      </c>
      <c r="Q73" t="str">
        <f t="shared" si="27"/>
        <v/>
      </c>
      <c r="R73">
        <v>7</v>
      </c>
      <c r="S73" s="58">
        <f t="shared" si="28"/>
        <v>1325</v>
      </c>
      <c r="T73" s="54" t="s">
        <v>183</v>
      </c>
      <c r="U73" t="str">
        <f t="shared" si="29"/>
        <v/>
      </c>
      <c r="V73" t="s">
        <v>183</v>
      </c>
      <c r="W73" s="58" t="str">
        <f t="shared" si="30"/>
        <v/>
      </c>
      <c r="X73" s="54" t="s">
        <v>183</v>
      </c>
      <c r="Y73" t="str">
        <f t="shared" si="31"/>
        <v/>
      </c>
      <c r="Z73" t="s">
        <v>183</v>
      </c>
      <c r="AA73" s="58" t="str">
        <f t="shared" si="32"/>
        <v/>
      </c>
      <c r="AB73" s="54" t="s">
        <v>183</v>
      </c>
      <c r="AC73" t="str">
        <f t="shared" si="33"/>
        <v/>
      </c>
      <c r="AD73" t="s">
        <v>183</v>
      </c>
      <c r="AE73" s="66" t="str">
        <f t="shared" si="34"/>
        <v/>
      </c>
      <c r="AL73" s="279"/>
      <c r="AN73" s="279"/>
    </row>
    <row r="74" spans="1:40" x14ac:dyDescent="0.35">
      <c r="A74" s="65">
        <v>52</v>
      </c>
      <c r="B74" t="s">
        <v>55</v>
      </c>
      <c r="C74" s="276">
        <v>40930</v>
      </c>
      <c r="D74" s="54"/>
      <c r="E74" t="str">
        <f t="shared" si="21"/>
        <v/>
      </c>
      <c r="F74" t="s">
        <v>183</v>
      </c>
      <c r="G74" s="58" t="str">
        <f t="shared" si="22"/>
        <v/>
      </c>
      <c r="H74" s="54"/>
      <c r="I74" t="str">
        <f t="shared" si="23"/>
        <v/>
      </c>
      <c r="J74" t="s">
        <v>183</v>
      </c>
      <c r="K74" s="58" t="str">
        <f t="shared" si="24"/>
        <v/>
      </c>
      <c r="L74" s="54"/>
      <c r="M74" t="str">
        <f t="shared" si="25"/>
        <v/>
      </c>
      <c r="N74" t="s">
        <v>183</v>
      </c>
      <c r="O74" s="58" t="str">
        <f t="shared" si="26"/>
        <v/>
      </c>
      <c r="P74" s="54" t="s">
        <v>183</v>
      </c>
      <c r="Q74" t="str">
        <f t="shared" si="27"/>
        <v/>
      </c>
      <c r="R74" t="s">
        <v>183</v>
      </c>
      <c r="S74" s="58" t="str">
        <f t="shared" si="28"/>
        <v/>
      </c>
      <c r="T74" s="54" t="s">
        <v>183</v>
      </c>
      <c r="U74" t="str">
        <f t="shared" si="29"/>
        <v/>
      </c>
      <c r="V74" t="s">
        <v>183</v>
      </c>
      <c r="W74" s="58" t="str">
        <f t="shared" si="30"/>
        <v/>
      </c>
      <c r="X74" s="54" t="s">
        <v>183</v>
      </c>
      <c r="Y74" t="str">
        <f t="shared" si="31"/>
        <v/>
      </c>
      <c r="Z74" t="s">
        <v>183</v>
      </c>
      <c r="AA74" s="58" t="str">
        <f t="shared" si="32"/>
        <v/>
      </c>
      <c r="AB74" s="54" t="s">
        <v>183</v>
      </c>
      <c r="AC74" t="str">
        <f t="shared" si="33"/>
        <v/>
      </c>
      <c r="AD74">
        <v>9</v>
      </c>
      <c r="AE74" s="66">
        <f t="shared" si="34"/>
        <v>1260</v>
      </c>
      <c r="AL74" s="279"/>
      <c r="AN74" s="279"/>
    </row>
    <row r="75" spans="1:40" x14ac:dyDescent="0.35">
      <c r="A75" s="65">
        <v>53</v>
      </c>
      <c r="B75" t="s">
        <v>56</v>
      </c>
      <c r="C75" s="276">
        <v>40931</v>
      </c>
      <c r="D75" s="54"/>
      <c r="E75" t="str">
        <f t="shared" si="21"/>
        <v/>
      </c>
      <c r="F75" t="s">
        <v>183</v>
      </c>
      <c r="G75" s="58" t="str">
        <f t="shared" si="22"/>
        <v/>
      </c>
      <c r="H75" s="54"/>
      <c r="I75" t="str">
        <f t="shared" si="23"/>
        <v/>
      </c>
      <c r="J75" t="s">
        <v>183</v>
      </c>
      <c r="K75" s="58" t="str">
        <f t="shared" si="24"/>
        <v/>
      </c>
      <c r="L75" s="54"/>
      <c r="M75" t="str">
        <f t="shared" si="25"/>
        <v/>
      </c>
      <c r="N75" t="s">
        <v>183</v>
      </c>
      <c r="O75" s="58" t="str">
        <f t="shared" si="26"/>
        <v/>
      </c>
      <c r="P75" s="54" t="s">
        <v>183</v>
      </c>
      <c r="Q75" t="str">
        <f t="shared" si="27"/>
        <v/>
      </c>
      <c r="R75" t="s">
        <v>183</v>
      </c>
      <c r="S75" s="58" t="str">
        <f t="shared" si="28"/>
        <v/>
      </c>
      <c r="T75" s="54" t="s">
        <v>183</v>
      </c>
      <c r="U75" t="str">
        <f t="shared" si="29"/>
        <v/>
      </c>
      <c r="V75" t="s">
        <v>183</v>
      </c>
      <c r="W75" s="58" t="str">
        <f t="shared" si="30"/>
        <v/>
      </c>
      <c r="X75" s="54" t="s">
        <v>183</v>
      </c>
      <c r="Y75" t="str">
        <f t="shared" si="31"/>
        <v/>
      </c>
      <c r="Z75" t="s">
        <v>183</v>
      </c>
      <c r="AA75" s="58" t="str">
        <f t="shared" si="32"/>
        <v/>
      </c>
      <c r="AB75" s="54" t="s">
        <v>183</v>
      </c>
      <c r="AC75" t="str">
        <f t="shared" si="33"/>
        <v/>
      </c>
      <c r="AD75">
        <v>10</v>
      </c>
      <c r="AE75" s="66">
        <f t="shared" si="34"/>
        <v>1395</v>
      </c>
      <c r="AL75" s="279"/>
      <c r="AN75" s="279"/>
    </row>
    <row r="76" spans="1:40" x14ac:dyDescent="0.35">
      <c r="A76" s="65">
        <v>54</v>
      </c>
      <c r="B76" t="s">
        <v>57</v>
      </c>
      <c r="C76" s="276">
        <v>40932</v>
      </c>
      <c r="D76" s="54"/>
      <c r="E76" t="str">
        <f t="shared" si="21"/>
        <v/>
      </c>
      <c r="F76" t="s">
        <v>183</v>
      </c>
      <c r="G76" s="58" t="str">
        <f t="shared" si="22"/>
        <v/>
      </c>
      <c r="H76" s="54"/>
      <c r="I76" t="str">
        <f t="shared" si="23"/>
        <v/>
      </c>
      <c r="J76" t="s">
        <v>183</v>
      </c>
      <c r="K76" s="58" t="str">
        <f t="shared" si="24"/>
        <v/>
      </c>
      <c r="L76" s="54"/>
      <c r="M76" t="str">
        <f t="shared" si="25"/>
        <v/>
      </c>
      <c r="N76" t="s">
        <v>183</v>
      </c>
      <c r="O76" s="58" t="str">
        <f t="shared" si="26"/>
        <v/>
      </c>
      <c r="P76" s="54" t="s">
        <v>183</v>
      </c>
      <c r="Q76" t="str">
        <f t="shared" si="27"/>
        <v/>
      </c>
      <c r="R76" t="s">
        <v>183</v>
      </c>
      <c r="S76" s="58" t="str">
        <f t="shared" si="28"/>
        <v/>
      </c>
      <c r="T76" s="54" t="s">
        <v>183</v>
      </c>
      <c r="U76" t="str">
        <f t="shared" si="29"/>
        <v/>
      </c>
      <c r="V76" t="s">
        <v>183</v>
      </c>
      <c r="W76" s="58" t="str">
        <f t="shared" si="30"/>
        <v/>
      </c>
      <c r="X76" s="54">
        <v>10</v>
      </c>
      <c r="Y76">
        <f t="shared" si="31"/>
        <v>1890</v>
      </c>
      <c r="Z76">
        <v>9</v>
      </c>
      <c r="AA76" s="58">
        <f t="shared" si="32"/>
        <v>1415</v>
      </c>
      <c r="AB76" s="54" t="s">
        <v>183</v>
      </c>
      <c r="AC76" t="str">
        <f t="shared" si="33"/>
        <v/>
      </c>
      <c r="AD76" t="s">
        <v>183</v>
      </c>
      <c r="AE76" s="66" t="str">
        <f t="shared" si="34"/>
        <v/>
      </c>
      <c r="AL76" s="279"/>
      <c r="AN76" s="279"/>
    </row>
    <row r="77" spans="1:40" x14ac:dyDescent="0.35">
      <c r="A77" s="65">
        <v>55</v>
      </c>
      <c r="B77" t="s">
        <v>58</v>
      </c>
      <c r="C77" s="276">
        <v>40933</v>
      </c>
      <c r="D77" s="54">
        <v>8</v>
      </c>
      <c r="E77">
        <f t="shared" si="21"/>
        <v>1725</v>
      </c>
      <c r="F77">
        <v>8</v>
      </c>
      <c r="G77" s="58">
        <f t="shared" si="22"/>
        <v>865</v>
      </c>
      <c r="H77" s="54"/>
      <c r="I77" t="str">
        <f t="shared" si="23"/>
        <v/>
      </c>
      <c r="J77" t="s">
        <v>183</v>
      </c>
      <c r="K77" s="58" t="str">
        <f t="shared" si="24"/>
        <v/>
      </c>
      <c r="L77" s="54"/>
      <c r="M77" t="str">
        <f t="shared" si="25"/>
        <v/>
      </c>
      <c r="N77" t="s">
        <v>183</v>
      </c>
      <c r="O77" s="58" t="str">
        <f t="shared" si="26"/>
        <v/>
      </c>
      <c r="P77" s="54" t="s">
        <v>183</v>
      </c>
      <c r="Q77" t="str">
        <f t="shared" si="27"/>
        <v/>
      </c>
      <c r="R77" t="s">
        <v>183</v>
      </c>
      <c r="S77" s="58" t="str">
        <f t="shared" si="28"/>
        <v/>
      </c>
      <c r="T77" s="54" t="s">
        <v>183</v>
      </c>
      <c r="U77" t="str">
        <f t="shared" si="29"/>
        <v/>
      </c>
      <c r="V77" t="s">
        <v>183</v>
      </c>
      <c r="W77" s="58" t="str">
        <f t="shared" si="30"/>
        <v/>
      </c>
      <c r="X77" s="54" t="s">
        <v>183</v>
      </c>
      <c r="Y77" t="str">
        <f t="shared" si="31"/>
        <v/>
      </c>
      <c r="Z77" t="s">
        <v>183</v>
      </c>
      <c r="AA77" s="58" t="str">
        <f t="shared" si="32"/>
        <v/>
      </c>
      <c r="AB77" s="54" t="s">
        <v>183</v>
      </c>
      <c r="AC77" t="str">
        <f t="shared" si="33"/>
        <v/>
      </c>
      <c r="AD77" t="s">
        <v>183</v>
      </c>
      <c r="AE77" s="66" t="str">
        <f t="shared" si="34"/>
        <v/>
      </c>
      <c r="AL77" s="279"/>
      <c r="AN77" s="279"/>
    </row>
    <row r="78" spans="1:40" x14ac:dyDescent="0.35">
      <c r="A78" s="65">
        <v>56</v>
      </c>
      <c r="B78" t="s">
        <v>52</v>
      </c>
      <c r="C78" s="276">
        <v>40934</v>
      </c>
      <c r="D78" s="54"/>
      <c r="E78" t="str">
        <f t="shared" si="21"/>
        <v/>
      </c>
      <c r="F78" t="s">
        <v>183</v>
      </c>
      <c r="G78" s="58" t="str">
        <f t="shared" si="22"/>
        <v/>
      </c>
      <c r="H78" s="54"/>
      <c r="I78" t="str">
        <f t="shared" si="23"/>
        <v/>
      </c>
      <c r="J78" t="s">
        <v>183</v>
      </c>
      <c r="K78" s="58" t="str">
        <f t="shared" si="24"/>
        <v/>
      </c>
      <c r="L78" s="54"/>
      <c r="M78" t="str">
        <f t="shared" si="25"/>
        <v/>
      </c>
      <c r="N78" t="s">
        <v>183</v>
      </c>
      <c r="O78" s="58" t="str">
        <f t="shared" si="26"/>
        <v/>
      </c>
      <c r="P78" s="54" t="s">
        <v>183</v>
      </c>
      <c r="Q78" t="str">
        <f t="shared" si="27"/>
        <v/>
      </c>
      <c r="R78" t="s">
        <v>183</v>
      </c>
      <c r="S78" s="58" t="str">
        <f t="shared" si="28"/>
        <v/>
      </c>
      <c r="T78" s="54" t="s">
        <v>183</v>
      </c>
      <c r="U78" t="str">
        <f t="shared" si="29"/>
        <v/>
      </c>
      <c r="V78" t="s">
        <v>183</v>
      </c>
      <c r="W78" s="58" t="str">
        <f t="shared" si="30"/>
        <v/>
      </c>
      <c r="X78" s="54" t="s">
        <v>183</v>
      </c>
      <c r="Y78" t="str">
        <f t="shared" si="31"/>
        <v/>
      </c>
      <c r="Z78" t="s">
        <v>183</v>
      </c>
      <c r="AA78" s="58" t="str">
        <f t="shared" si="32"/>
        <v/>
      </c>
      <c r="AB78" s="54" t="s">
        <v>183</v>
      </c>
      <c r="AC78" t="str">
        <f t="shared" si="33"/>
        <v/>
      </c>
      <c r="AD78" t="s">
        <v>183</v>
      </c>
      <c r="AE78" s="66" t="str">
        <f t="shared" si="34"/>
        <v/>
      </c>
      <c r="AL78" s="279"/>
      <c r="AN78" s="279"/>
    </row>
    <row r="79" spans="1:40" x14ac:dyDescent="0.35">
      <c r="A79" s="65">
        <v>57</v>
      </c>
      <c r="B79" t="s">
        <v>53</v>
      </c>
      <c r="C79" s="276">
        <v>40935</v>
      </c>
      <c r="D79" s="54"/>
      <c r="E79" t="str">
        <f t="shared" si="21"/>
        <v/>
      </c>
      <c r="F79" t="s">
        <v>183</v>
      </c>
      <c r="G79" s="58" t="str">
        <f t="shared" si="22"/>
        <v/>
      </c>
      <c r="H79" s="54">
        <v>9</v>
      </c>
      <c r="I79">
        <f t="shared" si="23"/>
        <v>1805</v>
      </c>
      <c r="J79">
        <v>9</v>
      </c>
      <c r="K79" s="58">
        <f t="shared" si="24"/>
        <v>1155</v>
      </c>
      <c r="L79" s="54"/>
      <c r="M79" t="str">
        <f t="shared" si="25"/>
        <v/>
      </c>
      <c r="N79" t="s">
        <v>183</v>
      </c>
      <c r="O79" s="58" t="str">
        <f t="shared" si="26"/>
        <v/>
      </c>
      <c r="P79" s="54" t="s">
        <v>183</v>
      </c>
      <c r="Q79" t="str">
        <f t="shared" si="27"/>
        <v/>
      </c>
      <c r="R79" t="s">
        <v>183</v>
      </c>
      <c r="S79" s="58" t="str">
        <f t="shared" si="28"/>
        <v/>
      </c>
      <c r="T79" s="54" t="s">
        <v>183</v>
      </c>
      <c r="U79" t="str">
        <f t="shared" si="29"/>
        <v/>
      </c>
      <c r="V79" t="s">
        <v>183</v>
      </c>
      <c r="W79" s="58" t="str">
        <f t="shared" si="30"/>
        <v/>
      </c>
      <c r="X79" s="54" t="s">
        <v>183</v>
      </c>
      <c r="Y79" t="str">
        <f t="shared" si="31"/>
        <v/>
      </c>
      <c r="Z79" t="s">
        <v>183</v>
      </c>
      <c r="AA79" s="58" t="str">
        <f t="shared" si="32"/>
        <v/>
      </c>
      <c r="AB79" s="54" t="s">
        <v>183</v>
      </c>
      <c r="AC79" t="str">
        <f t="shared" si="33"/>
        <v/>
      </c>
      <c r="AD79" t="s">
        <v>183</v>
      </c>
      <c r="AE79" s="66" t="str">
        <f t="shared" si="34"/>
        <v/>
      </c>
      <c r="AL79" s="279"/>
      <c r="AN79" s="279"/>
    </row>
    <row r="80" spans="1:40" x14ac:dyDescent="0.35">
      <c r="A80" s="65">
        <v>58</v>
      </c>
      <c r="B80" t="s">
        <v>54</v>
      </c>
      <c r="C80" s="276">
        <v>40936</v>
      </c>
      <c r="D80" s="54"/>
      <c r="E80" t="str">
        <f t="shared" si="21"/>
        <v/>
      </c>
      <c r="F80" t="s">
        <v>183</v>
      </c>
      <c r="G80" s="58" t="str">
        <f t="shared" si="22"/>
        <v/>
      </c>
      <c r="H80" s="54"/>
      <c r="I80" t="str">
        <f t="shared" si="23"/>
        <v/>
      </c>
      <c r="J80" t="s">
        <v>183</v>
      </c>
      <c r="K80" s="58" t="str">
        <f t="shared" si="24"/>
        <v/>
      </c>
      <c r="L80" s="54"/>
      <c r="M80" t="str">
        <f t="shared" si="25"/>
        <v/>
      </c>
      <c r="N80" t="s">
        <v>183</v>
      </c>
      <c r="O80" s="58" t="str">
        <f t="shared" si="26"/>
        <v/>
      </c>
      <c r="P80" s="54" t="s">
        <v>183</v>
      </c>
      <c r="Q80" t="str">
        <f t="shared" si="27"/>
        <v/>
      </c>
      <c r="R80" t="s">
        <v>183</v>
      </c>
      <c r="S80" s="58" t="str">
        <f t="shared" si="28"/>
        <v/>
      </c>
      <c r="T80" s="54" t="s">
        <v>183</v>
      </c>
      <c r="U80" t="str">
        <f t="shared" si="29"/>
        <v/>
      </c>
      <c r="V80" t="s">
        <v>183</v>
      </c>
      <c r="W80" s="58" t="str">
        <f t="shared" si="30"/>
        <v/>
      </c>
      <c r="X80" s="54" t="s">
        <v>183</v>
      </c>
      <c r="Y80" t="str">
        <f t="shared" si="31"/>
        <v/>
      </c>
      <c r="Z80" t="s">
        <v>183</v>
      </c>
      <c r="AA80" s="58" t="str">
        <f t="shared" si="32"/>
        <v/>
      </c>
      <c r="AB80" s="54" t="s">
        <v>183</v>
      </c>
      <c r="AC80" t="str">
        <f t="shared" si="33"/>
        <v/>
      </c>
      <c r="AD80" t="s">
        <v>183</v>
      </c>
      <c r="AE80" s="66" t="str">
        <f t="shared" si="34"/>
        <v/>
      </c>
      <c r="AL80" s="279"/>
      <c r="AN80" s="279"/>
    </row>
    <row r="81" spans="1:40" x14ac:dyDescent="0.35">
      <c r="A81" s="65">
        <v>59</v>
      </c>
      <c r="B81" t="s">
        <v>55</v>
      </c>
      <c r="C81" s="276">
        <v>40937</v>
      </c>
      <c r="D81" s="54"/>
      <c r="E81" t="str">
        <f t="shared" si="21"/>
        <v/>
      </c>
      <c r="F81" t="s">
        <v>183</v>
      </c>
      <c r="G81" s="58" t="str">
        <f t="shared" si="22"/>
        <v/>
      </c>
      <c r="H81" s="54"/>
      <c r="I81" t="str">
        <f t="shared" si="23"/>
        <v/>
      </c>
      <c r="J81" t="s">
        <v>183</v>
      </c>
      <c r="K81" s="58" t="str">
        <f t="shared" si="24"/>
        <v/>
      </c>
      <c r="L81" s="54"/>
      <c r="M81" t="str">
        <f t="shared" si="25"/>
        <v/>
      </c>
      <c r="N81" t="s">
        <v>183</v>
      </c>
      <c r="O81" s="58" t="str">
        <f t="shared" si="26"/>
        <v/>
      </c>
      <c r="P81" s="54" t="s">
        <v>183</v>
      </c>
      <c r="Q81" t="str">
        <f t="shared" si="27"/>
        <v/>
      </c>
      <c r="R81" t="s">
        <v>183</v>
      </c>
      <c r="S81" s="58" t="str">
        <f t="shared" si="28"/>
        <v/>
      </c>
      <c r="T81" s="54" t="s">
        <v>183</v>
      </c>
      <c r="U81" t="str">
        <f t="shared" si="29"/>
        <v/>
      </c>
      <c r="V81" t="s">
        <v>183</v>
      </c>
      <c r="W81" s="58" t="str">
        <f t="shared" si="30"/>
        <v/>
      </c>
      <c r="X81" s="54" t="s">
        <v>183</v>
      </c>
      <c r="Y81" t="str">
        <f t="shared" si="31"/>
        <v/>
      </c>
      <c r="Z81" t="s">
        <v>183</v>
      </c>
      <c r="AA81" s="58" t="str">
        <f t="shared" si="32"/>
        <v/>
      </c>
      <c r="AB81" s="54" t="s">
        <v>183</v>
      </c>
      <c r="AC81" t="str">
        <f t="shared" si="33"/>
        <v/>
      </c>
      <c r="AD81" t="s">
        <v>183</v>
      </c>
      <c r="AE81" s="66" t="str">
        <f t="shared" si="34"/>
        <v/>
      </c>
      <c r="AL81" s="279"/>
      <c r="AN81" s="279"/>
    </row>
    <row r="82" spans="1:40" x14ac:dyDescent="0.35">
      <c r="A82" s="65">
        <v>60</v>
      </c>
      <c r="B82" t="s">
        <v>56</v>
      </c>
      <c r="C82" s="276">
        <v>40938</v>
      </c>
      <c r="D82" s="54">
        <v>9</v>
      </c>
      <c r="E82">
        <f t="shared" si="21"/>
        <v>1935</v>
      </c>
      <c r="F82">
        <v>9</v>
      </c>
      <c r="G82" s="58">
        <f t="shared" si="22"/>
        <v>1320</v>
      </c>
      <c r="H82" s="54"/>
      <c r="I82" t="str">
        <f t="shared" si="23"/>
        <v/>
      </c>
      <c r="J82" t="s">
        <v>183</v>
      </c>
      <c r="K82" s="58" t="str">
        <f t="shared" si="24"/>
        <v/>
      </c>
      <c r="L82" s="54"/>
      <c r="M82" t="str">
        <f t="shared" si="25"/>
        <v/>
      </c>
      <c r="N82" t="s">
        <v>183</v>
      </c>
      <c r="O82" s="58" t="str">
        <f t="shared" si="26"/>
        <v/>
      </c>
      <c r="P82" s="54" t="s">
        <v>183</v>
      </c>
      <c r="Q82" t="str">
        <f t="shared" si="27"/>
        <v/>
      </c>
      <c r="R82" t="s">
        <v>183</v>
      </c>
      <c r="S82" s="58" t="str">
        <f t="shared" si="28"/>
        <v/>
      </c>
      <c r="T82" s="54" t="s">
        <v>183</v>
      </c>
      <c r="U82" t="str">
        <f t="shared" si="29"/>
        <v/>
      </c>
      <c r="V82" t="s">
        <v>183</v>
      </c>
      <c r="W82" s="58" t="str">
        <f t="shared" si="30"/>
        <v/>
      </c>
      <c r="X82" s="54" t="s">
        <v>183</v>
      </c>
      <c r="Y82" t="str">
        <f t="shared" si="31"/>
        <v/>
      </c>
      <c r="Z82">
        <v>10</v>
      </c>
      <c r="AA82" s="58">
        <f t="shared" si="32"/>
        <v>1275</v>
      </c>
      <c r="AB82" s="54" t="s">
        <v>183</v>
      </c>
      <c r="AC82" t="str">
        <f t="shared" si="33"/>
        <v/>
      </c>
      <c r="AD82" t="s">
        <v>183</v>
      </c>
      <c r="AE82" s="66" t="str">
        <f t="shared" si="34"/>
        <v/>
      </c>
      <c r="AL82" s="279"/>
      <c r="AN82" s="279"/>
    </row>
    <row r="83" spans="1:40" x14ac:dyDescent="0.35">
      <c r="A83" s="65">
        <v>61</v>
      </c>
      <c r="B83" t="s">
        <v>57</v>
      </c>
      <c r="C83" s="276">
        <v>40939</v>
      </c>
      <c r="D83" s="54"/>
      <c r="E83" t="str">
        <f t="shared" si="21"/>
        <v/>
      </c>
      <c r="F83" t="s">
        <v>183</v>
      </c>
      <c r="G83" s="58" t="str">
        <f t="shared" si="22"/>
        <v/>
      </c>
      <c r="H83" s="54"/>
      <c r="I83" t="str">
        <f t="shared" si="23"/>
        <v/>
      </c>
      <c r="J83" t="s">
        <v>183</v>
      </c>
      <c r="K83" s="58" t="str">
        <f t="shared" si="24"/>
        <v/>
      </c>
      <c r="L83" s="54"/>
      <c r="M83" t="str">
        <f t="shared" si="25"/>
        <v/>
      </c>
      <c r="N83" t="s">
        <v>183</v>
      </c>
      <c r="O83" s="58" t="str">
        <f t="shared" si="26"/>
        <v/>
      </c>
      <c r="P83" s="54" t="s">
        <v>183</v>
      </c>
      <c r="Q83" t="str">
        <f t="shared" si="27"/>
        <v/>
      </c>
      <c r="R83" t="s">
        <v>183</v>
      </c>
      <c r="S83" s="58" t="str">
        <f t="shared" si="28"/>
        <v/>
      </c>
      <c r="T83" s="54" t="s">
        <v>183</v>
      </c>
      <c r="U83" t="str">
        <f t="shared" si="29"/>
        <v/>
      </c>
      <c r="V83" t="s">
        <v>183</v>
      </c>
      <c r="W83" s="58" t="str">
        <f t="shared" si="30"/>
        <v/>
      </c>
      <c r="X83" s="54" t="s">
        <v>183</v>
      </c>
      <c r="Y83" t="str">
        <f t="shared" si="31"/>
        <v/>
      </c>
      <c r="Z83" t="s">
        <v>183</v>
      </c>
      <c r="AA83" s="58" t="str">
        <f t="shared" si="32"/>
        <v/>
      </c>
      <c r="AB83" s="54" t="s">
        <v>183</v>
      </c>
      <c r="AC83" t="str">
        <f t="shared" si="33"/>
        <v/>
      </c>
      <c r="AD83" t="s">
        <v>183</v>
      </c>
      <c r="AE83" s="66" t="str">
        <f t="shared" si="34"/>
        <v/>
      </c>
      <c r="AL83" s="279"/>
      <c r="AN83" s="279"/>
    </row>
    <row r="84" spans="1:40" x14ac:dyDescent="0.35">
      <c r="A84" s="65">
        <v>62</v>
      </c>
      <c r="B84" t="s">
        <v>58</v>
      </c>
      <c r="C84" s="276">
        <v>40940</v>
      </c>
      <c r="D84" s="54"/>
      <c r="E84" t="str">
        <f t="shared" si="21"/>
        <v/>
      </c>
      <c r="F84" t="s">
        <v>183</v>
      </c>
      <c r="G84" s="58" t="str">
        <f t="shared" si="22"/>
        <v/>
      </c>
      <c r="H84" s="54"/>
      <c r="I84" t="str">
        <f t="shared" si="23"/>
        <v/>
      </c>
      <c r="J84" t="s">
        <v>183</v>
      </c>
      <c r="K84" s="58" t="str">
        <f t="shared" si="24"/>
        <v/>
      </c>
      <c r="L84" s="54"/>
      <c r="M84" t="str">
        <f t="shared" si="25"/>
        <v/>
      </c>
      <c r="N84" t="s">
        <v>183</v>
      </c>
      <c r="O84" s="58" t="str">
        <f t="shared" si="26"/>
        <v/>
      </c>
      <c r="P84" s="54" t="s">
        <v>183</v>
      </c>
      <c r="Q84" t="str">
        <f t="shared" si="27"/>
        <v/>
      </c>
      <c r="R84" t="s">
        <v>183</v>
      </c>
      <c r="S84" s="58" t="str">
        <f t="shared" si="28"/>
        <v/>
      </c>
      <c r="T84" s="54" t="s">
        <v>183</v>
      </c>
      <c r="U84" t="str">
        <f t="shared" si="29"/>
        <v/>
      </c>
      <c r="V84" t="s">
        <v>183</v>
      </c>
      <c r="W84" s="58" t="str">
        <f t="shared" si="30"/>
        <v/>
      </c>
      <c r="X84" s="54" t="s">
        <v>183</v>
      </c>
      <c r="Y84" t="str">
        <f t="shared" si="31"/>
        <v/>
      </c>
      <c r="Z84" t="s">
        <v>183</v>
      </c>
      <c r="AA84" s="58" t="str">
        <f t="shared" si="32"/>
        <v/>
      </c>
      <c r="AB84" s="54" t="s">
        <v>183</v>
      </c>
      <c r="AC84" t="str">
        <f t="shared" si="33"/>
        <v/>
      </c>
      <c r="AD84" t="s">
        <v>183</v>
      </c>
      <c r="AE84" s="66" t="str">
        <f t="shared" si="34"/>
        <v/>
      </c>
      <c r="AL84" s="279"/>
      <c r="AN84" s="279"/>
    </row>
    <row r="85" spans="1:40" x14ac:dyDescent="0.35">
      <c r="A85" s="65">
        <v>63</v>
      </c>
      <c r="B85" t="s">
        <v>52</v>
      </c>
      <c r="C85" s="276">
        <v>40941</v>
      </c>
      <c r="D85" s="54"/>
      <c r="E85" t="str">
        <f t="shared" si="21"/>
        <v/>
      </c>
      <c r="F85" t="s">
        <v>183</v>
      </c>
      <c r="G85" s="58" t="str">
        <f t="shared" si="22"/>
        <v/>
      </c>
      <c r="H85" s="54"/>
      <c r="I85" t="str">
        <f t="shared" si="23"/>
        <v/>
      </c>
      <c r="J85" t="s">
        <v>183</v>
      </c>
      <c r="K85" s="58" t="str">
        <f t="shared" si="24"/>
        <v/>
      </c>
      <c r="L85" s="54"/>
      <c r="M85" t="str">
        <f t="shared" si="25"/>
        <v/>
      </c>
      <c r="N85" t="s">
        <v>183</v>
      </c>
      <c r="O85" s="58" t="str">
        <f t="shared" si="26"/>
        <v/>
      </c>
      <c r="P85" s="54" t="s">
        <v>183</v>
      </c>
      <c r="Q85" t="str">
        <f t="shared" si="27"/>
        <v/>
      </c>
      <c r="R85" t="s">
        <v>183</v>
      </c>
      <c r="S85" s="58" t="str">
        <f t="shared" si="28"/>
        <v/>
      </c>
      <c r="T85" s="54" t="s">
        <v>183</v>
      </c>
      <c r="U85" t="str">
        <f t="shared" si="29"/>
        <v/>
      </c>
      <c r="V85" t="s">
        <v>183</v>
      </c>
      <c r="W85" s="58" t="str">
        <f t="shared" si="30"/>
        <v/>
      </c>
      <c r="X85" s="54" t="s">
        <v>183</v>
      </c>
      <c r="Y85" t="str">
        <f t="shared" si="31"/>
        <v/>
      </c>
      <c r="Z85" t="s">
        <v>183</v>
      </c>
      <c r="AA85" s="58" t="str">
        <f t="shared" si="32"/>
        <v/>
      </c>
      <c r="AB85" s="54" t="s">
        <v>183</v>
      </c>
      <c r="AC85" t="str">
        <f t="shared" si="33"/>
        <v/>
      </c>
      <c r="AD85" t="s">
        <v>183</v>
      </c>
      <c r="AE85" s="66" t="str">
        <f t="shared" si="34"/>
        <v/>
      </c>
      <c r="AL85" s="279"/>
      <c r="AN85" s="279"/>
    </row>
    <row r="86" spans="1:40" x14ac:dyDescent="0.35">
      <c r="A86" s="65">
        <v>64</v>
      </c>
      <c r="B86" t="s">
        <v>53</v>
      </c>
      <c r="C86" s="276">
        <v>40942</v>
      </c>
      <c r="D86" s="54"/>
      <c r="E86" t="str">
        <f t="shared" ref="E86:E96" si="35">IF(OR(ISBLANK(D86),ISTEXT(D86)),"",LOOKUP(D86,$C$2:$C$11,E$2:E$11))</f>
        <v/>
      </c>
      <c r="F86" t="s">
        <v>183</v>
      </c>
      <c r="G86" s="58" t="str">
        <f t="shared" ref="G86:G96" si="36">IF(OR(ISBLANK(F86),ISTEXT(F86)),"",LOOKUP(F86,$C$2:$C$11,G$2:G$11))</f>
        <v/>
      </c>
      <c r="H86" s="54"/>
      <c r="I86" t="str">
        <f t="shared" ref="I86:I96" si="37">IF(OR(ISBLANK(H86),ISTEXT(H86)),"",LOOKUP(H86,$C$2:$C$11,I$2:I$11))</f>
        <v/>
      </c>
      <c r="J86" t="s">
        <v>183</v>
      </c>
      <c r="K86" s="58" t="str">
        <f t="shared" ref="K86:K96" si="38">IF(OR(ISBLANK(J86),ISTEXT(J86)),"",LOOKUP(J86,$C$2:$C$11,K$2:K$11))</f>
        <v/>
      </c>
      <c r="L86" s="54"/>
      <c r="M86" t="str">
        <f t="shared" ref="M86:M96" si="39">IF(OR(ISBLANK(L86),ISTEXT(L86)),"",LOOKUP(L86,$C$2:$C$11,M$2:M$11))</f>
        <v/>
      </c>
      <c r="N86" t="s">
        <v>183</v>
      </c>
      <c r="O86" s="58" t="str">
        <f t="shared" ref="O86:O96" si="40">IF(OR(ISBLANK(N86),ISTEXT(N86)),"",LOOKUP(N86,$C$2:$C$11,O$2:O$11))</f>
        <v/>
      </c>
      <c r="P86" s="54" t="s">
        <v>183</v>
      </c>
      <c r="Q86" t="str">
        <f t="shared" ref="Q86:Q96" si="41">IF(OR(ISBLANK(P86),ISTEXT(P86)),"",LOOKUP(P86,$C$2:$C$11,Q$2:Q$11))</f>
        <v/>
      </c>
      <c r="R86" t="s">
        <v>183</v>
      </c>
      <c r="S86" s="58" t="str">
        <f t="shared" ref="S86:S96" si="42">IF(OR(ISBLANK(R86),ISTEXT(R86)),"",LOOKUP(R86,$C$2:$C$11,S$2:S$11))</f>
        <v/>
      </c>
      <c r="T86" s="54">
        <v>8</v>
      </c>
      <c r="U86">
        <f t="shared" ref="U86:U96" si="43">IF(OR(ISBLANK(T86),ISTEXT(T86)),"",LOOKUP(T86,$C$2:$C$11,U$2:U$11))</f>
        <v>2085</v>
      </c>
      <c r="V86" t="s">
        <v>183</v>
      </c>
      <c r="W86" s="58" t="str">
        <f t="shared" ref="W86:W96" si="44">IF(OR(ISBLANK(V86),ISTEXT(V86)),"",LOOKUP(V86,$C$2:$C$11,W$2:W$11))</f>
        <v/>
      </c>
      <c r="X86" s="54" t="s">
        <v>183</v>
      </c>
      <c r="Y86" t="str">
        <f t="shared" ref="Y86:Y96" si="45">IF(OR(ISBLANK(X86),ISTEXT(X86)),"",LOOKUP(X86,$C$2:$C$11,Y$2:Y$11))</f>
        <v/>
      </c>
      <c r="Z86" t="s">
        <v>183</v>
      </c>
      <c r="AA86" s="58" t="str">
        <f t="shared" ref="AA86:AA96" si="46">IF(OR(ISBLANK(Z86),ISTEXT(Z86)),"",LOOKUP(Z86,$C$2:$C$11,AA$2:AA$11))</f>
        <v/>
      </c>
      <c r="AB86" s="54" t="s">
        <v>183</v>
      </c>
      <c r="AC86" t="str">
        <f t="shared" ref="AC86:AC96" si="47">IF(OR(ISBLANK(AB86),ISTEXT(AB86)),"",LOOKUP(AB86,$C$2:$C$11,AC$2:AC$11))</f>
        <v/>
      </c>
      <c r="AD86" t="s">
        <v>183</v>
      </c>
      <c r="AE86" s="66" t="str">
        <f t="shared" ref="AE86:AE96" si="48">IF(OR(ISBLANK(AD86),ISTEXT(AD86)),"",LOOKUP(AD86,$C$2:$C$11,AE$2:AE$11))</f>
        <v/>
      </c>
      <c r="AL86" s="279"/>
      <c r="AN86" s="279"/>
    </row>
    <row r="87" spans="1:40" x14ac:dyDescent="0.35">
      <c r="A87" s="65">
        <v>65</v>
      </c>
      <c r="B87" t="s">
        <v>54</v>
      </c>
      <c r="C87" s="276">
        <v>40943</v>
      </c>
      <c r="D87" s="54"/>
      <c r="E87" t="str">
        <f t="shared" si="35"/>
        <v/>
      </c>
      <c r="F87" t="s">
        <v>183</v>
      </c>
      <c r="G87" s="58" t="str">
        <f t="shared" si="36"/>
        <v/>
      </c>
      <c r="H87" s="54"/>
      <c r="I87" t="str">
        <f t="shared" si="37"/>
        <v/>
      </c>
      <c r="J87" t="s">
        <v>183</v>
      </c>
      <c r="K87" s="58" t="str">
        <f t="shared" si="38"/>
        <v/>
      </c>
      <c r="L87" s="54"/>
      <c r="M87" t="str">
        <f t="shared" si="39"/>
        <v/>
      </c>
      <c r="N87" t="s">
        <v>183</v>
      </c>
      <c r="O87" s="58" t="str">
        <f t="shared" si="40"/>
        <v/>
      </c>
      <c r="P87" s="54" t="s">
        <v>183</v>
      </c>
      <c r="Q87" t="str">
        <f t="shared" si="41"/>
        <v/>
      </c>
      <c r="R87" t="s">
        <v>183</v>
      </c>
      <c r="S87" s="58" t="str">
        <f t="shared" si="42"/>
        <v/>
      </c>
      <c r="T87" s="54" t="s">
        <v>183</v>
      </c>
      <c r="U87" t="str">
        <f t="shared" si="43"/>
        <v/>
      </c>
      <c r="V87" t="s">
        <v>183</v>
      </c>
      <c r="W87" s="58" t="str">
        <f t="shared" si="44"/>
        <v/>
      </c>
      <c r="X87" s="54" t="s">
        <v>183</v>
      </c>
      <c r="Y87" t="str">
        <f t="shared" si="45"/>
        <v/>
      </c>
      <c r="Z87" t="s">
        <v>183</v>
      </c>
      <c r="AA87" s="58" t="str">
        <f t="shared" si="46"/>
        <v/>
      </c>
      <c r="AB87" s="54" t="s">
        <v>183</v>
      </c>
      <c r="AC87" t="str">
        <f t="shared" si="47"/>
        <v/>
      </c>
      <c r="AD87" t="s">
        <v>183</v>
      </c>
      <c r="AE87" s="66" t="str">
        <f t="shared" si="48"/>
        <v/>
      </c>
      <c r="AL87" s="279"/>
      <c r="AN87" s="279"/>
    </row>
    <row r="88" spans="1:40" x14ac:dyDescent="0.35">
      <c r="A88" s="65">
        <v>66</v>
      </c>
      <c r="B88" t="s">
        <v>55</v>
      </c>
      <c r="C88" s="276">
        <v>40944</v>
      </c>
      <c r="D88" s="54"/>
      <c r="E88" t="str">
        <f t="shared" si="35"/>
        <v/>
      </c>
      <c r="F88" t="s">
        <v>183</v>
      </c>
      <c r="G88" s="58" t="str">
        <f t="shared" si="36"/>
        <v/>
      </c>
      <c r="H88" s="54"/>
      <c r="I88" t="str">
        <f t="shared" si="37"/>
        <v/>
      </c>
      <c r="J88" t="s">
        <v>183</v>
      </c>
      <c r="K88" s="58" t="str">
        <f t="shared" si="38"/>
        <v/>
      </c>
      <c r="L88" s="54"/>
      <c r="M88" t="str">
        <f t="shared" si="39"/>
        <v/>
      </c>
      <c r="N88" t="s">
        <v>183</v>
      </c>
      <c r="O88" s="58" t="str">
        <f t="shared" si="40"/>
        <v/>
      </c>
      <c r="P88" s="54" t="s">
        <v>183</v>
      </c>
      <c r="Q88" t="str">
        <f t="shared" si="41"/>
        <v/>
      </c>
      <c r="R88" t="s">
        <v>183</v>
      </c>
      <c r="S88" s="58" t="str">
        <f t="shared" si="42"/>
        <v/>
      </c>
      <c r="T88" s="54">
        <v>9</v>
      </c>
      <c r="U88">
        <f t="shared" si="43"/>
        <v>1740</v>
      </c>
      <c r="V88">
        <v>8</v>
      </c>
      <c r="W88" s="58">
        <f t="shared" si="44"/>
        <v>1460</v>
      </c>
      <c r="X88" s="54" t="s">
        <v>183</v>
      </c>
      <c r="Y88" t="str">
        <f t="shared" si="45"/>
        <v/>
      </c>
      <c r="Z88" t="s">
        <v>183</v>
      </c>
      <c r="AA88" s="58" t="str">
        <f t="shared" si="46"/>
        <v/>
      </c>
      <c r="AB88" s="54" t="s">
        <v>183</v>
      </c>
      <c r="AC88" t="str">
        <f t="shared" si="47"/>
        <v/>
      </c>
      <c r="AD88" t="s">
        <v>183</v>
      </c>
      <c r="AE88" s="66" t="str">
        <f t="shared" si="48"/>
        <v/>
      </c>
      <c r="AL88" s="279"/>
      <c r="AN88" s="279"/>
    </row>
    <row r="89" spans="1:40" x14ac:dyDescent="0.35">
      <c r="A89" s="65">
        <v>67</v>
      </c>
      <c r="B89" t="s">
        <v>56</v>
      </c>
      <c r="C89" s="276">
        <v>40945</v>
      </c>
      <c r="D89" s="54"/>
      <c r="E89" t="str">
        <f t="shared" si="35"/>
        <v/>
      </c>
      <c r="F89" t="s">
        <v>183</v>
      </c>
      <c r="G89" s="58" t="str">
        <f t="shared" si="36"/>
        <v/>
      </c>
      <c r="H89" s="54"/>
      <c r="I89" t="str">
        <f t="shared" si="37"/>
        <v/>
      </c>
      <c r="J89" t="s">
        <v>183</v>
      </c>
      <c r="K89" s="58" t="str">
        <f t="shared" si="38"/>
        <v/>
      </c>
      <c r="L89" s="54"/>
      <c r="M89" t="str">
        <f t="shared" si="39"/>
        <v/>
      </c>
      <c r="N89" t="s">
        <v>183</v>
      </c>
      <c r="O89" s="58" t="str">
        <f t="shared" si="40"/>
        <v/>
      </c>
      <c r="P89" s="54" t="s">
        <v>183</v>
      </c>
      <c r="Q89" t="str">
        <f t="shared" si="41"/>
        <v/>
      </c>
      <c r="R89" t="s">
        <v>183</v>
      </c>
      <c r="S89" s="58" t="str">
        <f t="shared" si="42"/>
        <v/>
      </c>
      <c r="T89" s="54" t="s">
        <v>183</v>
      </c>
      <c r="U89" t="str">
        <f t="shared" si="43"/>
        <v/>
      </c>
      <c r="V89" t="s">
        <v>183</v>
      </c>
      <c r="W89" s="58" t="str">
        <f t="shared" si="44"/>
        <v/>
      </c>
      <c r="X89" s="54" t="s">
        <v>183</v>
      </c>
      <c r="Y89" t="str">
        <f t="shared" si="45"/>
        <v/>
      </c>
      <c r="Z89" t="s">
        <v>183</v>
      </c>
      <c r="AA89" s="58" t="str">
        <f t="shared" si="46"/>
        <v/>
      </c>
      <c r="AB89" s="54" t="s">
        <v>183</v>
      </c>
      <c r="AC89" t="str">
        <f t="shared" si="47"/>
        <v/>
      </c>
      <c r="AD89" t="s">
        <v>183</v>
      </c>
      <c r="AE89" s="66" t="str">
        <f t="shared" si="48"/>
        <v/>
      </c>
      <c r="AL89" s="279"/>
      <c r="AN89" s="279"/>
    </row>
    <row r="90" spans="1:40" x14ac:dyDescent="0.35">
      <c r="A90" s="65">
        <v>68</v>
      </c>
      <c r="B90" t="s">
        <v>57</v>
      </c>
      <c r="C90" s="276">
        <v>40946</v>
      </c>
      <c r="D90" s="54"/>
      <c r="E90" t="str">
        <f t="shared" si="35"/>
        <v/>
      </c>
      <c r="F90" t="s">
        <v>183</v>
      </c>
      <c r="G90" s="58" t="str">
        <f t="shared" si="36"/>
        <v/>
      </c>
      <c r="H90" s="54"/>
      <c r="I90" t="str">
        <f t="shared" si="37"/>
        <v/>
      </c>
      <c r="J90" t="s">
        <v>183</v>
      </c>
      <c r="K90" s="58" t="str">
        <f t="shared" si="38"/>
        <v/>
      </c>
      <c r="L90" s="54"/>
      <c r="M90" t="str">
        <f t="shared" si="39"/>
        <v/>
      </c>
      <c r="N90" t="s">
        <v>183</v>
      </c>
      <c r="O90" s="58" t="str">
        <f t="shared" si="40"/>
        <v/>
      </c>
      <c r="P90" s="54">
        <v>8</v>
      </c>
      <c r="Q90">
        <f t="shared" si="41"/>
        <v>2095</v>
      </c>
      <c r="R90" t="s">
        <v>183</v>
      </c>
      <c r="S90" s="58" t="str">
        <f t="shared" si="42"/>
        <v/>
      </c>
      <c r="T90" s="54" t="s">
        <v>183</v>
      </c>
      <c r="U90" t="str">
        <f t="shared" si="43"/>
        <v/>
      </c>
      <c r="V90">
        <v>9</v>
      </c>
      <c r="W90" s="58">
        <f t="shared" si="44"/>
        <v>1335</v>
      </c>
      <c r="X90" s="54" t="s">
        <v>183</v>
      </c>
      <c r="Y90" t="str">
        <f t="shared" si="45"/>
        <v/>
      </c>
      <c r="Z90" t="s">
        <v>183</v>
      </c>
      <c r="AA90" s="58" t="str">
        <f t="shared" si="46"/>
        <v/>
      </c>
      <c r="AB90" s="54" t="s">
        <v>183</v>
      </c>
      <c r="AC90" t="str">
        <f t="shared" si="47"/>
        <v/>
      </c>
      <c r="AD90" t="s">
        <v>183</v>
      </c>
      <c r="AE90" s="66" t="str">
        <f t="shared" si="48"/>
        <v/>
      </c>
      <c r="AL90" s="279"/>
      <c r="AN90" s="279"/>
    </row>
    <row r="91" spans="1:40" x14ac:dyDescent="0.35">
      <c r="A91" s="65">
        <v>69</v>
      </c>
      <c r="B91" t="s">
        <v>58</v>
      </c>
      <c r="C91" s="276">
        <v>40947</v>
      </c>
      <c r="D91" s="54"/>
      <c r="E91" t="str">
        <f t="shared" si="35"/>
        <v/>
      </c>
      <c r="F91" t="s">
        <v>183</v>
      </c>
      <c r="G91" s="58" t="str">
        <f t="shared" si="36"/>
        <v/>
      </c>
      <c r="H91" s="54"/>
      <c r="I91" t="str">
        <f t="shared" si="37"/>
        <v/>
      </c>
      <c r="J91" t="s">
        <v>183</v>
      </c>
      <c r="K91" s="58" t="str">
        <f t="shared" si="38"/>
        <v/>
      </c>
      <c r="L91" s="54"/>
      <c r="M91" t="str">
        <f t="shared" si="39"/>
        <v/>
      </c>
      <c r="N91" t="s">
        <v>183</v>
      </c>
      <c r="O91" s="58" t="str">
        <f t="shared" si="40"/>
        <v/>
      </c>
      <c r="P91" s="54">
        <v>9</v>
      </c>
      <c r="Q91">
        <f t="shared" si="41"/>
        <v>1860</v>
      </c>
      <c r="R91">
        <v>8</v>
      </c>
      <c r="S91" s="58">
        <f t="shared" si="42"/>
        <v>1235</v>
      </c>
      <c r="T91" s="54" t="s">
        <v>183</v>
      </c>
      <c r="U91" t="str">
        <f t="shared" si="43"/>
        <v/>
      </c>
      <c r="V91" t="s">
        <v>183</v>
      </c>
      <c r="W91" s="58" t="str">
        <f t="shared" si="44"/>
        <v/>
      </c>
      <c r="X91" s="54" t="s">
        <v>183</v>
      </c>
      <c r="Y91" t="str">
        <f t="shared" si="45"/>
        <v/>
      </c>
      <c r="Z91" t="s">
        <v>183</v>
      </c>
      <c r="AA91" s="58" t="str">
        <f t="shared" si="46"/>
        <v/>
      </c>
      <c r="AB91" s="54" t="s">
        <v>183</v>
      </c>
      <c r="AC91" t="str">
        <f t="shared" si="47"/>
        <v/>
      </c>
      <c r="AD91" t="s">
        <v>183</v>
      </c>
      <c r="AE91" s="66" t="str">
        <f t="shared" si="48"/>
        <v/>
      </c>
      <c r="AL91" s="279"/>
      <c r="AN91" s="279"/>
    </row>
    <row r="92" spans="1:40" x14ac:dyDescent="0.35">
      <c r="A92" s="65">
        <v>70</v>
      </c>
      <c r="B92" t="s">
        <v>52</v>
      </c>
      <c r="C92" s="276">
        <v>40948</v>
      </c>
      <c r="D92" s="54"/>
      <c r="E92" t="str">
        <f t="shared" si="35"/>
        <v/>
      </c>
      <c r="F92" t="s">
        <v>183</v>
      </c>
      <c r="G92" s="58" t="str">
        <f t="shared" si="36"/>
        <v/>
      </c>
      <c r="H92" s="54"/>
      <c r="I92" t="str">
        <f t="shared" si="37"/>
        <v/>
      </c>
      <c r="J92" t="s">
        <v>183</v>
      </c>
      <c r="K92" s="58" t="str">
        <f t="shared" si="38"/>
        <v/>
      </c>
      <c r="L92" s="54">
        <v>8</v>
      </c>
      <c r="M92">
        <f t="shared" si="39"/>
        <v>1845</v>
      </c>
      <c r="N92">
        <v>8</v>
      </c>
      <c r="O92" s="58">
        <f t="shared" si="40"/>
        <v>1380</v>
      </c>
      <c r="P92" s="54" t="s">
        <v>183</v>
      </c>
      <c r="Q92" t="str">
        <f t="shared" si="41"/>
        <v/>
      </c>
      <c r="R92">
        <v>9</v>
      </c>
      <c r="S92" s="58">
        <f t="shared" si="42"/>
        <v>1290</v>
      </c>
      <c r="T92" s="54" t="s">
        <v>183</v>
      </c>
      <c r="U92" t="str">
        <f t="shared" si="43"/>
        <v/>
      </c>
      <c r="V92" t="s">
        <v>183</v>
      </c>
      <c r="W92" s="58" t="str">
        <f t="shared" si="44"/>
        <v/>
      </c>
      <c r="X92" s="54" t="s">
        <v>183</v>
      </c>
      <c r="Y92" t="str">
        <f t="shared" si="45"/>
        <v/>
      </c>
      <c r="Z92" t="s">
        <v>183</v>
      </c>
      <c r="AA92" s="58" t="str">
        <f t="shared" si="46"/>
        <v/>
      </c>
      <c r="AB92" s="54" t="s">
        <v>183</v>
      </c>
      <c r="AC92" t="str">
        <f t="shared" si="47"/>
        <v/>
      </c>
      <c r="AD92" t="s">
        <v>183</v>
      </c>
      <c r="AE92" s="66" t="str">
        <f t="shared" si="48"/>
        <v/>
      </c>
      <c r="AL92" s="279"/>
      <c r="AN92" s="279"/>
    </row>
    <row r="93" spans="1:40" x14ac:dyDescent="0.35">
      <c r="A93" s="65">
        <v>71</v>
      </c>
      <c r="B93" t="s">
        <v>53</v>
      </c>
      <c r="C93" s="276">
        <v>40949</v>
      </c>
      <c r="D93" s="54"/>
      <c r="E93" t="str">
        <f t="shared" si="35"/>
        <v/>
      </c>
      <c r="F93" t="s">
        <v>183</v>
      </c>
      <c r="G93" s="58" t="str">
        <f t="shared" si="36"/>
        <v/>
      </c>
      <c r="H93" s="54">
        <v>10</v>
      </c>
      <c r="I93">
        <f t="shared" si="37"/>
        <v>2065</v>
      </c>
      <c r="J93">
        <v>10</v>
      </c>
      <c r="K93" s="58">
        <f t="shared" si="38"/>
        <v>1325</v>
      </c>
      <c r="L93" s="54"/>
      <c r="M93" t="str">
        <f t="shared" si="39"/>
        <v/>
      </c>
      <c r="N93" t="s">
        <v>183</v>
      </c>
      <c r="O93" s="58" t="str">
        <f t="shared" si="40"/>
        <v/>
      </c>
      <c r="P93" s="54">
        <v>10</v>
      </c>
      <c r="Q93">
        <f t="shared" si="41"/>
        <v>1980</v>
      </c>
      <c r="R93" t="s">
        <v>183</v>
      </c>
      <c r="S93" s="58" t="str">
        <f t="shared" si="42"/>
        <v/>
      </c>
      <c r="T93" s="54">
        <v>10</v>
      </c>
      <c r="U93">
        <f t="shared" si="43"/>
        <v>1695</v>
      </c>
      <c r="V93" t="s">
        <v>183</v>
      </c>
      <c r="W93" s="58" t="str">
        <f t="shared" si="44"/>
        <v/>
      </c>
      <c r="X93" s="54" t="s">
        <v>183</v>
      </c>
      <c r="Y93" t="str">
        <f t="shared" si="45"/>
        <v/>
      </c>
      <c r="Z93" t="s">
        <v>183</v>
      </c>
      <c r="AA93" s="58" t="str">
        <f t="shared" si="46"/>
        <v/>
      </c>
      <c r="AB93" s="54" t="s">
        <v>183</v>
      </c>
      <c r="AC93" t="str">
        <f t="shared" si="47"/>
        <v/>
      </c>
      <c r="AD93" t="s">
        <v>183</v>
      </c>
      <c r="AE93" s="66" t="str">
        <f t="shared" si="48"/>
        <v/>
      </c>
      <c r="AL93" s="279"/>
      <c r="AN93" s="279"/>
    </row>
    <row r="94" spans="1:40" x14ac:dyDescent="0.35">
      <c r="A94" s="65">
        <v>72</v>
      </c>
      <c r="B94" t="s">
        <v>54</v>
      </c>
      <c r="C94" s="276">
        <v>40950</v>
      </c>
      <c r="D94" s="54"/>
      <c r="E94" t="str">
        <f t="shared" si="35"/>
        <v/>
      </c>
      <c r="F94" t="s">
        <v>183</v>
      </c>
      <c r="G94" s="58" t="str">
        <f t="shared" si="36"/>
        <v/>
      </c>
      <c r="H94" s="54"/>
      <c r="I94" t="str">
        <f t="shared" si="37"/>
        <v/>
      </c>
      <c r="J94" t="s">
        <v>183</v>
      </c>
      <c r="K94" s="58" t="str">
        <f t="shared" si="38"/>
        <v/>
      </c>
      <c r="L94" s="54"/>
      <c r="M94" t="str">
        <f t="shared" si="39"/>
        <v/>
      </c>
      <c r="N94" t="s">
        <v>183</v>
      </c>
      <c r="O94" s="58" t="str">
        <f t="shared" si="40"/>
        <v/>
      </c>
      <c r="P94" s="54" t="s">
        <v>183</v>
      </c>
      <c r="Q94" t="str">
        <f t="shared" si="41"/>
        <v/>
      </c>
      <c r="R94">
        <v>10</v>
      </c>
      <c r="S94" s="58">
        <f t="shared" si="42"/>
        <v>1275</v>
      </c>
      <c r="T94" s="54" t="s">
        <v>183</v>
      </c>
      <c r="U94" t="str">
        <f t="shared" si="43"/>
        <v/>
      </c>
      <c r="V94" t="s">
        <v>183</v>
      </c>
      <c r="W94" s="58" t="str">
        <f t="shared" si="44"/>
        <v/>
      </c>
      <c r="X94" s="54" t="s">
        <v>183</v>
      </c>
      <c r="Y94" t="str">
        <f t="shared" si="45"/>
        <v/>
      </c>
      <c r="Z94" t="s">
        <v>183</v>
      </c>
      <c r="AA94" s="58" t="str">
        <f t="shared" si="46"/>
        <v/>
      </c>
      <c r="AB94" s="54" t="s">
        <v>183</v>
      </c>
      <c r="AC94" t="str">
        <f t="shared" si="47"/>
        <v/>
      </c>
      <c r="AD94" t="s">
        <v>183</v>
      </c>
      <c r="AE94" s="66" t="str">
        <f t="shared" si="48"/>
        <v/>
      </c>
      <c r="AL94" s="279"/>
      <c r="AN94" s="279"/>
    </row>
    <row r="95" spans="1:40" x14ac:dyDescent="0.35">
      <c r="A95" s="65">
        <v>73</v>
      </c>
      <c r="B95" t="s">
        <v>55</v>
      </c>
      <c r="C95" s="276">
        <v>40951</v>
      </c>
      <c r="D95" s="54">
        <v>10</v>
      </c>
      <c r="E95">
        <f t="shared" si="35"/>
        <v>1830</v>
      </c>
      <c r="F95">
        <v>10</v>
      </c>
      <c r="G95" s="58">
        <f t="shared" si="36"/>
        <v>1235</v>
      </c>
      <c r="H95" s="54"/>
      <c r="I95" t="str">
        <f t="shared" si="37"/>
        <v/>
      </c>
      <c r="J95" t="s">
        <v>183</v>
      </c>
      <c r="K95" s="58" t="str">
        <f t="shared" si="38"/>
        <v/>
      </c>
      <c r="L95" s="54"/>
      <c r="M95" t="str">
        <f t="shared" si="39"/>
        <v/>
      </c>
      <c r="N95" t="s">
        <v>183</v>
      </c>
      <c r="O95" s="58" t="str">
        <f t="shared" si="40"/>
        <v/>
      </c>
      <c r="P95" s="54" t="s">
        <v>183</v>
      </c>
      <c r="Q95" t="str">
        <f t="shared" si="41"/>
        <v/>
      </c>
      <c r="R95" t="s">
        <v>183</v>
      </c>
      <c r="S95" s="58" t="str">
        <f t="shared" si="42"/>
        <v/>
      </c>
      <c r="T95" s="54" t="s">
        <v>183</v>
      </c>
      <c r="U95" t="str">
        <f t="shared" si="43"/>
        <v/>
      </c>
      <c r="V95">
        <v>10</v>
      </c>
      <c r="W95" s="58">
        <f t="shared" si="44"/>
        <v>1375</v>
      </c>
      <c r="X95" s="54" t="s">
        <v>183</v>
      </c>
      <c r="Y95" t="str">
        <f t="shared" si="45"/>
        <v/>
      </c>
      <c r="Z95" t="s">
        <v>183</v>
      </c>
      <c r="AA95" s="58" t="str">
        <f t="shared" si="46"/>
        <v/>
      </c>
      <c r="AB95" s="54" t="s">
        <v>183</v>
      </c>
      <c r="AC95" t="str">
        <f t="shared" si="47"/>
        <v/>
      </c>
      <c r="AD95" t="s">
        <v>183</v>
      </c>
      <c r="AE95" s="66" t="str">
        <f t="shared" si="48"/>
        <v/>
      </c>
      <c r="AL95" s="279"/>
      <c r="AN95" s="279"/>
    </row>
    <row r="96" spans="1:40" ht="15" thickBot="1" x14ac:dyDescent="0.4">
      <c r="A96" s="67">
        <v>74</v>
      </c>
      <c r="B96" s="74" t="s">
        <v>56</v>
      </c>
      <c r="C96" s="291">
        <v>40952</v>
      </c>
      <c r="D96" s="292"/>
      <c r="E96" s="74" t="str">
        <f t="shared" si="35"/>
        <v/>
      </c>
      <c r="F96" s="74" t="s">
        <v>183</v>
      </c>
      <c r="G96" s="293" t="str">
        <f t="shared" si="36"/>
        <v/>
      </c>
      <c r="H96" s="292"/>
      <c r="I96" s="74" t="str">
        <f t="shared" si="37"/>
        <v/>
      </c>
      <c r="J96" s="74" t="s">
        <v>183</v>
      </c>
      <c r="K96" s="293" t="str">
        <f t="shared" si="38"/>
        <v/>
      </c>
      <c r="L96" s="292">
        <v>9</v>
      </c>
      <c r="M96" s="74">
        <f t="shared" si="39"/>
        <v>1950</v>
      </c>
      <c r="N96" s="74">
        <v>9</v>
      </c>
      <c r="O96" s="293">
        <f t="shared" si="40"/>
        <v>1585</v>
      </c>
      <c r="P96" s="292" t="s">
        <v>183</v>
      </c>
      <c r="Q96" s="74" t="str">
        <f t="shared" si="41"/>
        <v/>
      </c>
      <c r="R96" s="74" t="s">
        <v>183</v>
      </c>
      <c r="S96" s="293" t="str">
        <f t="shared" si="42"/>
        <v/>
      </c>
      <c r="T96" s="292" t="s">
        <v>183</v>
      </c>
      <c r="U96" s="74" t="str">
        <f t="shared" si="43"/>
        <v/>
      </c>
      <c r="V96" s="74" t="s">
        <v>183</v>
      </c>
      <c r="W96" s="293" t="str">
        <f t="shared" si="44"/>
        <v/>
      </c>
      <c r="X96" s="292" t="s">
        <v>183</v>
      </c>
      <c r="Y96" s="74" t="str">
        <f t="shared" si="45"/>
        <v/>
      </c>
      <c r="Z96" s="74" t="s">
        <v>183</v>
      </c>
      <c r="AA96" s="293" t="str">
        <f t="shared" si="46"/>
        <v/>
      </c>
      <c r="AB96" s="292" t="s">
        <v>183</v>
      </c>
      <c r="AC96" s="74" t="str">
        <f t="shared" si="47"/>
        <v/>
      </c>
      <c r="AD96" s="74" t="s">
        <v>183</v>
      </c>
      <c r="AE96" s="68" t="str">
        <f t="shared" si="48"/>
        <v/>
      </c>
      <c r="AL96" s="279"/>
      <c r="AN96" s="279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</sheetData>
  <mergeCells count="24">
    <mergeCell ref="AB19:AE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D19:G19"/>
    <mergeCell ref="H19:K19"/>
    <mergeCell ref="L19:O19"/>
    <mergeCell ref="P19:S19"/>
    <mergeCell ref="T19:W19"/>
    <mergeCell ref="X19:AA19"/>
    <mergeCell ref="AJ20:AK20"/>
    <mergeCell ref="A20:C20"/>
    <mergeCell ref="V20:W20"/>
    <mergeCell ref="X20:Y20"/>
    <mergeCell ref="Z20:AA20"/>
    <mergeCell ref="AB20:AC20"/>
    <mergeCell ref="AD20:AE20"/>
    <mergeCell ref="AH20:AI20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L21"/>
  <sheetViews>
    <sheetView workbookViewId="0">
      <selection activeCell="G7" sqref="G7"/>
    </sheetView>
  </sheetViews>
  <sheetFormatPr defaultRowHeight="14.5" x14ac:dyDescent="0.35"/>
  <cols>
    <col min="2" max="3" width="12.90625" customWidth="1"/>
    <col min="11" max="11" width="8.90625" customWidth="1"/>
  </cols>
  <sheetData>
    <row r="2" spans="1:9" x14ac:dyDescent="0.35">
      <c r="A2" t="s">
        <v>144</v>
      </c>
    </row>
    <row r="3" spans="1:9" x14ac:dyDescent="0.35">
      <c r="A3" t="s">
        <v>142</v>
      </c>
      <c r="B3" t="s">
        <v>62</v>
      </c>
      <c r="C3" t="s">
        <v>24</v>
      </c>
      <c r="D3" t="s">
        <v>25</v>
      </c>
      <c r="E3" t="s">
        <v>254</v>
      </c>
    </row>
    <row r="4" spans="1:9" x14ac:dyDescent="0.35">
      <c r="A4">
        <v>1200</v>
      </c>
      <c r="B4">
        <v>0.58200000000000007</v>
      </c>
      <c r="C4">
        <v>0.54430379746835433</v>
      </c>
      <c r="D4">
        <v>0.44206008583690987</v>
      </c>
      <c r="E4">
        <v>0.47167729999999997</v>
      </c>
    </row>
    <row r="5" spans="1:9" x14ac:dyDescent="0.35">
      <c r="A5">
        <v>3600</v>
      </c>
      <c r="B5">
        <v>0.442</v>
      </c>
      <c r="C5">
        <v>0.43190661478599224</v>
      </c>
      <c r="D5">
        <v>0.32489451476793252</v>
      </c>
      <c r="E5">
        <v>0.37290899999999999</v>
      </c>
    </row>
    <row r="6" spans="1:9" x14ac:dyDescent="0.35">
      <c r="A6">
        <v>32400</v>
      </c>
      <c r="B6">
        <v>0.35799999999999998</v>
      </c>
      <c r="C6">
        <v>0.2851239669421487</v>
      </c>
      <c r="D6">
        <v>0.26976744186046514</v>
      </c>
      <c r="E6">
        <v>0.27644489999999999</v>
      </c>
    </row>
    <row r="7" spans="1:9" x14ac:dyDescent="0.35">
      <c r="A7">
        <v>86400</v>
      </c>
      <c r="B7">
        <v>0.33700000000000002</v>
      </c>
      <c r="C7">
        <v>0.31598513011152418</v>
      </c>
      <c r="D7">
        <v>0.27004219409282693</v>
      </c>
      <c r="E7">
        <v>0.31678010000000001</v>
      </c>
    </row>
    <row r="8" spans="1:9" x14ac:dyDescent="0.35">
      <c r="A8">
        <v>172800</v>
      </c>
      <c r="B8">
        <v>0.27800000000000002</v>
      </c>
      <c r="C8">
        <v>0.36501901140684417</v>
      </c>
      <c r="D8">
        <v>0.28571428571428575</v>
      </c>
      <c r="E8">
        <v>0.23000399999999999</v>
      </c>
    </row>
    <row r="9" spans="1:9" x14ac:dyDescent="0.35">
      <c r="A9">
        <v>518400</v>
      </c>
      <c r="B9">
        <v>0.254</v>
      </c>
      <c r="C9">
        <v>0.30894308943089432</v>
      </c>
      <c r="D9">
        <v>0.20524017467248906</v>
      </c>
      <c r="E9">
        <v>0.16820180000000001</v>
      </c>
    </row>
    <row r="10" spans="1:9" x14ac:dyDescent="0.35">
      <c r="A10">
        <v>2678400</v>
      </c>
      <c r="B10">
        <v>0.21100000000000002</v>
      </c>
      <c r="C10">
        <v>0.2584269662921348</v>
      </c>
      <c r="D10">
        <v>0.20080321285140562</v>
      </c>
      <c r="E10">
        <v>4.0969850000000002E-2</v>
      </c>
    </row>
    <row r="12" spans="1:9" x14ac:dyDescent="0.35">
      <c r="A12" t="s">
        <v>144</v>
      </c>
      <c r="B12" t="s">
        <v>142</v>
      </c>
      <c r="C12">
        <v>1200</v>
      </c>
      <c r="D12">
        <v>3600</v>
      </c>
      <c r="E12">
        <v>32400</v>
      </c>
      <c r="F12">
        <v>86400</v>
      </c>
      <c r="G12">
        <v>172800</v>
      </c>
      <c r="H12">
        <v>518400</v>
      </c>
      <c r="I12">
        <v>2678400</v>
      </c>
    </row>
    <row r="13" spans="1:9" x14ac:dyDescent="0.35">
      <c r="B13" t="s">
        <v>62</v>
      </c>
      <c r="C13">
        <v>0.58200000000000007</v>
      </c>
      <c r="D13">
        <v>0.442</v>
      </c>
      <c r="E13">
        <v>0.35799999999999998</v>
      </c>
      <c r="F13">
        <v>0.33700000000000002</v>
      </c>
      <c r="G13">
        <v>0.27800000000000002</v>
      </c>
      <c r="H13">
        <v>0.254</v>
      </c>
      <c r="I13">
        <v>0.21100000000000002</v>
      </c>
    </row>
    <row r="14" spans="1:9" x14ac:dyDescent="0.35">
      <c r="B14" t="s">
        <v>24</v>
      </c>
      <c r="C14">
        <v>0.54430379746835433</v>
      </c>
      <c r="D14">
        <v>0.43190661478599224</v>
      </c>
      <c r="E14">
        <v>0.2851239669421487</v>
      </c>
      <c r="F14">
        <v>0.31598513011152418</v>
      </c>
      <c r="G14">
        <v>0.36501901140684417</v>
      </c>
      <c r="H14">
        <v>0.30894308943089432</v>
      </c>
      <c r="I14">
        <v>0.2584269662921348</v>
      </c>
    </row>
    <row r="15" spans="1:9" x14ac:dyDescent="0.35">
      <c r="B15" t="s">
        <v>25</v>
      </c>
      <c r="C15">
        <v>0.44206008583690987</v>
      </c>
      <c r="D15">
        <v>0.32489451476793252</v>
      </c>
      <c r="E15">
        <v>0.26976744186046514</v>
      </c>
      <c r="F15">
        <v>0.27004219409282693</v>
      </c>
      <c r="G15">
        <v>0.28571428571428575</v>
      </c>
      <c r="H15">
        <v>0.20524017467248906</v>
      </c>
      <c r="I15">
        <v>0.20080321285140562</v>
      </c>
    </row>
    <row r="16" spans="1:9" x14ac:dyDescent="0.35">
      <c r="B16" t="s">
        <v>254</v>
      </c>
      <c r="C16">
        <v>0.47167729999999997</v>
      </c>
      <c r="D16">
        <v>0.37290899999999999</v>
      </c>
      <c r="E16">
        <v>0.27644489999999999</v>
      </c>
      <c r="F16">
        <v>0.31678010000000001</v>
      </c>
      <c r="G16">
        <v>0.23000399999999999</v>
      </c>
      <c r="H16">
        <v>0.16820180000000001</v>
      </c>
      <c r="I16">
        <v>4.0969850000000002E-2</v>
      </c>
    </row>
    <row r="18" spans="2:12" x14ac:dyDescent="0.35">
      <c r="B18" t="str">
        <f>B13</f>
        <v>Ebbinghaus</v>
      </c>
      <c r="C18" t="str">
        <f>CONCATENATE("{",C$12,",",C13,"}")</f>
        <v>{1200,0.582}</v>
      </c>
      <c r="D18" t="str">
        <f t="shared" ref="D18:I18" si="0">CONCATENATE("{",D$12,",",D13,"}")</f>
        <v>{3600,0.442}</v>
      </c>
      <c r="E18" t="str">
        <f t="shared" si="0"/>
        <v>{32400,0.358}</v>
      </c>
      <c r="F18" t="str">
        <f t="shared" si="0"/>
        <v>{86400,0.337}</v>
      </c>
      <c r="G18" t="str">
        <f t="shared" si="0"/>
        <v>{172800,0.278}</v>
      </c>
      <c r="H18" t="str">
        <f t="shared" si="0"/>
        <v>{518400,0.254}</v>
      </c>
      <c r="I18" t="str">
        <f t="shared" si="0"/>
        <v>{2678400,0.211}</v>
      </c>
      <c r="L18" t="str">
        <f>CONCATENATE("{",C18,",",D18,",",E18,",",F18,",",G18,",",H18,",",I18,"}")</f>
        <v>{{1200,0.582},{3600,0.442},{32400,0.358},{86400,0.337},{172800,0.278},{518400,0.254},{2678400,0.211}}</v>
      </c>
    </row>
    <row r="19" spans="2:12" x14ac:dyDescent="0.35">
      <c r="B19" t="str">
        <f t="shared" ref="B19:B21" si="1">B14</f>
        <v>Mack</v>
      </c>
      <c r="C19" t="str">
        <f t="shared" ref="C19:I19" si="2">CONCATENATE("{",C$12,",",C14,"}")</f>
        <v>{1200,0.544303797468354}</v>
      </c>
      <c r="D19" t="str">
        <f t="shared" si="2"/>
        <v>{3600,0.431906614785992}</v>
      </c>
      <c r="E19" t="str">
        <f t="shared" si="2"/>
        <v>{32400,0.285123966942149}</v>
      </c>
      <c r="F19" t="str">
        <f t="shared" si="2"/>
        <v>{86400,0.315985130111524}</v>
      </c>
      <c r="G19" t="str">
        <f t="shared" si="2"/>
        <v>{172800,0.365019011406844}</v>
      </c>
      <c r="H19" t="str">
        <f t="shared" si="2"/>
        <v>{518400,0.308943089430894}</v>
      </c>
      <c r="I19" t="str">
        <f t="shared" si="2"/>
        <v>{2678400,0.258426966292135}</v>
      </c>
      <c r="L19" t="str">
        <f t="shared" ref="L19:L21" si="3">CONCATENATE("{",C19,",",D19,",",E19,",",F19,",",G19,",",H19,",",I19,"}")</f>
        <v>{{1200,0.544303797468354},{3600,0.431906614785992},{32400,0.285123966942149},{86400,0.315985130111524},{172800,0.365019011406844},{518400,0.308943089430894},{2678400,0.258426966292135}}</v>
      </c>
    </row>
    <row r="20" spans="2:12" x14ac:dyDescent="0.35">
      <c r="B20" t="str">
        <f t="shared" si="1"/>
        <v>Seitz</v>
      </c>
      <c r="C20" t="str">
        <f t="shared" ref="C20:I20" si="4">CONCATENATE("{",C$12,",",C15,"}")</f>
        <v>{1200,0.44206008583691}</v>
      </c>
      <c r="D20" t="str">
        <f t="shared" si="4"/>
        <v>{3600,0.324894514767933}</v>
      </c>
      <c r="E20" t="str">
        <f t="shared" si="4"/>
        <v>{32400,0.269767441860465}</v>
      </c>
      <c r="F20" t="str">
        <f t="shared" si="4"/>
        <v>{86400,0.270042194092827}</v>
      </c>
      <c r="G20" t="str">
        <f t="shared" si="4"/>
        <v>{172800,0.285714285714286}</v>
      </c>
      <c r="H20" t="str">
        <f t="shared" si="4"/>
        <v>{518400,0.205240174672489}</v>
      </c>
      <c r="I20" t="str">
        <f t="shared" si="4"/>
        <v>{2678400,0.200803212851406}</v>
      </c>
      <c r="L20" t="str">
        <f t="shared" si="3"/>
        <v>{{1200,0.44206008583691},{3600,0.324894514767933},{32400,0.269767441860465},{86400,0.270042194092827},{172800,0.285714285714286},{518400,0.205240174672489},{2678400,0.200803212851406}}</v>
      </c>
    </row>
    <row r="21" spans="2:12" x14ac:dyDescent="0.35">
      <c r="B21" t="str">
        <f t="shared" si="1"/>
        <v>Dros</v>
      </c>
      <c r="C21" t="str">
        <f t="shared" ref="C21:I21" si="5">CONCATENATE("{",C$12,",",C16,"}")</f>
        <v>{1200,0.4716773}</v>
      </c>
      <c r="D21" t="str">
        <f t="shared" si="5"/>
        <v>{3600,0.372909}</v>
      </c>
      <c r="E21" t="str">
        <f t="shared" si="5"/>
        <v>{32400,0.2764449}</v>
      </c>
      <c r="F21" t="str">
        <f t="shared" si="5"/>
        <v>{86400,0.3167801}</v>
      </c>
      <c r="G21" t="str">
        <f t="shared" si="5"/>
        <v>{172800,0.230004}</v>
      </c>
      <c r="H21" t="str">
        <f t="shared" si="5"/>
        <v>{518400,0.1682018}</v>
      </c>
      <c r="I21" t="str">
        <f t="shared" si="5"/>
        <v>{2678400,0.04096985}</v>
      </c>
      <c r="L21" t="str">
        <f t="shared" si="3"/>
        <v>{{1200,0.4716773},{3600,0.372909},{32400,0.2764449},{86400,0.3167801},{172800,0.230004},{518400,0.1682018},{2678400,0.04096985}}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P221"/>
  <sheetViews>
    <sheetView zoomScale="80" zoomScaleNormal="80" workbookViewId="0">
      <selection activeCell="AO57" sqref="AO57:AP75"/>
    </sheetView>
  </sheetViews>
  <sheetFormatPr defaultColWidth="8.90625" defaultRowHeight="14.5" x14ac:dyDescent="0.35"/>
  <cols>
    <col min="1" max="1" width="6.08984375" customWidth="1"/>
    <col min="2" max="2" width="9.6328125" customWidth="1"/>
    <col min="3" max="3" width="6.81640625" style="1" customWidth="1"/>
    <col min="4" max="4" width="3.90625" customWidth="1"/>
    <col min="5" max="5" width="5.1796875" customWidth="1"/>
    <col min="6" max="6" width="3.90625" customWidth="1"/>
    <col min="7" max="7" width="5.1796875" customWidth="1"/>
    <col min="8" max="8" width="3.90625" customWidth="1"/>
    <col min="9" max="9" width="5.1796875" customWidth="1"/>
    <col min="10" max="10" width="3.90625" customWidth="1"/>
    <col min="11" max="11" width="5.1796875" customWidth="1"/>
    <col min="12" max="12" width="3.90625" customWidth="1"/>
    <col min="13" max="13" width="5.1796875" customWidth="1"/>
    <col min="14" max="14" width="3.90625" customWidth="1"/>
    <col min="15" max="15" width="5.1796875" customWidth="1"/>
    <col min="16" max="16" width="3.90625" customWidth="1"/>
    <col min="17" max="17" width="5.1796875" customWidth="1"/>
    <col min="18" max="18" width="3.90625" customWidth="1"/>
    <col min="19" max="19" width="5.1796875" customWidth="1"/>
    <col min="20" max="20" width="3.90625" customWidth="1"/>
    <col min="21" max="21" width="5.1796875" customWidth="1"/>
    <col min="22" max="22" width="3.90625" customWidth="1"/>
    <col min="23" max="23" width="5.1796875" customWidth="1"/>
    <col min="24" max="24" width="3.90625" customWidth="1"/>
    <col min="25" max="25" width="5.1796875" customWidth="1"/>
    <col min="26" max="26" width="3.90625" customWidth="1"/>
    <col min="27" max="27" width="5.1796875" customWidth="1"/>
    <col min="28" max="28" width="3.90625" customWidth="1"/>
    <col min="29" max="29" width="5.1796875" customWidth="1"/>
    <col min="30" max="30" width="3.90625" customWidth="1"/>
    <col min="31" max="31" width="5.1796875" customWidth="1"/>
    <col min="32" max="32" width="6.6328125" customWidth="1"/>
    <col min="33" max="33" width="6.453125" customWidth="1"/>
    <col min="34" max="34" width="7.1796875" customWidth="1"/>
    <col min="35" max="35" width="12.81640625" customWidth="1"/>
    <col min="36" max="37" width="6.36328125" customWidth="1"/>
    <col min="38" max="38" width="7.36328125" customWidth="1"/>
    <col min="41" max="41" width="13.36328125" bestFit="1" customWidth="1"/>
    <col min="42" max="43" width="20.1796875" bestFit="1" customWidth="1"/>
  </cols>
  <sheetData>
    <row r="1" spans="3:35" x14ac:dyDescent="0.35">
      <c r="C1" s="61" t="s">
        <v>186</v>
      </c>
      <c r="E1" s="61" t="s">
        <v>74</v>
      </c>
      <c r="F1" s="61"/>
      <c r="G1" s="61" t="s">
        <v>75</v>
      </c>
      <c r="H1" s="61" t="s">
        <v>162</v>
      </c>
      <c r="I1" s="61" t="s">
        <v>76</v>
      </c>
      <c r="K1" s="61" t="s">
        <v>77</v>
      </c>
      <c r="L1" s="61" t="s">
        <v>162</v>
      </c>
      <c r="M1" s="61" t="s">
        <v>78</v>
      </c>
      <c r="O1" s="61" t="s">
        <v>79</v>
      </c>
      <c r="P1" s="61" t="s">
        <v>162</v>
      </c>
      <c r="Q1" s="61" t="s">
        <v>80</v>
      </c>
      <c r="S1" s="61" t="s">
        <v>81</v>
      </c>
      <c r="T1" s="61" t="s">
        <v>162</v>
      </c>
      <c r="U1" s="61" t="s">
        <v>82</v>
      </c>
      <c r="W1" s="61" t="s">
        <v>83</v>
      </c>
      <c r="X1" s="61" t="s">
        <v>162</v>
      </c>
      <c r="Y1" s="61" t="s">
        <v>84</v>
      </c>
      <c r="AA1" s="61" t="s">
        <v>85</v>
      </c>
      <c r="AB1" s="61" t="s">
        <v>162</v>
      </c>
      <c r="AC1" s="61" t="s">
        <v>86</v>
      </c>
      <c r="AE1" s="61" t="s">
        <v>87</v>
      </c>
      <c r="AF1" s="61" t="s">
        <v>162</v>
      </c>
    </row>
    <row r="2" spans="3:35" x14ac:dyDescent="0.35">
      <c r="C2" s="61">
        <v>1</v>
      </c>
      <c r="E2">
        <v>1405</v>
      </c>
      <c r="G2">
        <v>670</v>
      </c>
      <c r="H2">
        <f>(E2-G2)/E2</f>
        <v>0.52313167259786475</v>
      </c>
      <c r="I2">
        <v>1690</v>
      </c>
      <c r="K2">
        <v>1280</v>
      </c>
      <c r="L2">
        <f>(I2-K2)/I2</f>
        <v>0.24260355029585798</v>
      </c>
      <c r="M2">
        <v>1815</v>
      </c>
      <c r="O2">
        <v>1240</v>
      </c>
      <c r="P2">
        <f>(M2-O2)/M2</f>
        <v>0.3168044077134986</v>
      </c>
      <c r="Q2">
        <v>1670</v>
      </c>
      <c r="S2">
        <v>1105</v>
      </c>
      <c r="T2">
        <f>(Q2-S2)/Q2</f>
        <v>0.33832335329341318</v>
      </c>
      <c r="U2">
        <v>1710</v>
      </c>
      <c r="W2">
        <v>1195</v>
      </c>
      <c r="X2">
        <f>(U2-W2)/U2</f>
        <v>0.30116959064327486</v>
      </c>
      <c r="Y2">
        <v>1780</v>
      </c>
      <c r="AA2">
        <v>1370</v>
      </c>
      <c r="AB2">
        <f>(Y2-AA2)/Y2</f>
        <v>0.2303370786516854</v>
      </c>
      <c r="AC2">
        <v>1480</v>
      </c>
      <c r="AE2">
        <v>1380</v>
      </c>
      <c r="AF2">
        <f>(AC2-AE2)/AC2</f>
        <v>6.7567567567567571E-2</v>
      </c>
    </row>
    <row r="3" spans="3:35" x14ac:dyDescent="0.35">
      <c r="C3" s="61">
        <v>2</v>
      </c>
      <c r="E3">
        <v>1840</v>
      </c>
      <c r="G3">
        <v>1210</v>
      </c>
      <c r="H3">
        <f t="shared" ref="H3:H12" si="0">(E3-G3)/E3</f>
        <v>0.34239130434782611</v>
      </c>
      <c r="I3">
        <v>1790</v>
      </c>
      <c r="K3">
        <v>1330</v>
      </c>
      <c r="L3">
        <f t="shared" ref="L3:L12" si="1">(I3-K3)/I3</f>
        <v>0.25698324022346369</v>
      </c>
      <c r="M3">
        <v>1780</v>
      </c>
      <c r="O3">
        <v>1350</v>
      </c>
      <c r="P3">
        <f t="shared" ref="P3:P12" si="2">(M3-O3)/M3</f>
        <v>0.24157303370786518</v>
      </c>
      <c r="Q3">
        <v>1840</v>
      </c>
      <c r="S3">
        <v>1325</v>
      </c>
      <c r="T3">
        <f t="shared" ref="T3:T12" si="3">(Q3-S3)/Q3</f>
        <v>0.27989130434782611</v>
      </c>
      <c r="U3">
        <v>1635</v>
      </c>
      <c r="W3">
        <v>1340</v>
      </c>
      <c r="X3">
        <f t="shared" ref="X3:X12" si="4">(U3-W3)/U3</f>
        <v>0.18042813455657492</v>
      </c>
      <c r="Y3">
        <v>1605</v>
      </c>
      <c r="AA3">
        <v>1560</v>
      </c>
      <c r="AB3">
        <f t="shared" ref="AB3:AB11" si="5">(Y3-AA3)/Y3</f>
        <v>2.8037383177570093E-2</v>
      </c>
      <c r="AC3">
        <v>1680</v>
      </c>
      <c r="AE3">
        <v>1450</v>
      </c>
      <c r="AF3">
        <f t="shared" ref="AF3:AF12" si="6">(AC3-AE3)/AC3</f>
        <v>0.13690476190476192</v>
      </c>
    </row>
    <row r="4" spans="3:35" x14ac:dyDescent="0.35">
      <c r="C4" s="61">
        <v>3</v>
      </c>
      <c r="E4">
        <v>1830</v>
      </c>
      <c r="G4">
        <v>1100</v>
      </c>
      <c r="H4">
        <f t="shared" si="0"/>
        <v>0.39890710382513661</v>
      </c>
      <c r="I4">
        <v>2070</v>
      </c>
      <c r="K4">
        <v>1235</v>
      </c>
      <c r="L4">
        <f t="shared" si="1"/>
        <v>0.40338164251207731</v>
      </c>
      <c r="M4">
        <v>1935</v>
      </c>
      <c r="O4">
        <v>1350</v>
      </c>
      <c r="P4">
        <f t="shared" si="2"/>
        <v>0.30232558139534882</v>
      </c>
      <c r="Q4">
        <v>1930</v>
      </c>
      <c r="S4">
        <v>1205</v>
      </c>
      <c r="T4">
        <f t="shared" si="3"/>
        <v>0.37564766839378239</v>
      </c>
      <c r="U4">
        <v>1950</v>
      </c>
      <c r="W4">
        <v>1580</v>
      </c>
      <c r="X4">
        <f t="shared" si="4"/>
        <v>0.18974358974358974</v>
      </c>
      <c r="Y4">
        <v>1870</v>
      </c>
      <c r="AA4">
        <v>1545</v>
      </c>
      <c r="AB4">
        <f t="shared" si="5"/>
        <v>0.17379679144385027</v>
      </c>
      <c r="AC4">
        <v>1770</v>
      </c>
      <c r="AE4">
        <v>1530</v>
      </c>
      <c r="AF4">
        <f t="shared" si="6"/>
        <v>0.13559322033898305</v>
      </c>
    </row>
    <row r="5" spans="3:35" x14ac:dyDescent="0.35">
      <c r="C5" s="61">
        <v>4</v>
      </c>
      <c r="E5">
        <v>2180</v>
      </c>
      <c r="G5">
        <v>960</v>
      </c>
      <c r="H5">
        <f t="shared" si="0"/>
        <v>0.55963302752293576</v>
      </c>
      <c r="I5">
        <v>1875</v>
      </c>
      <c r="K5">
        <v>1130</v>
      </c>
      <c r="L5">
        <f t="shared" si="1"/>
        <v>0.39733333333333332</v>
      </c>
      <c r="M5">
        <v>1525</v>
      </c>
      <c r="O5">
        <v>975</v>
      </c>
      <c r="P5">
        <f t="shared" si="2"/>
        <v>0.36065573770491804</v>
      </c>
      <c r="Q5">
        <v>1740</v>
      </c>
      <c r="S5">
        <v>1365</v>
      </c>
      <c r="T5">
        <f t="shared" si="3"/>
        <v>0.21551724137931033</v>
      </c>
      <c r="U5">
        <v>1935</v>
      </c>
      <c r="W5">
        <v>1440</v>
      </c>
      <c r="X5">
        <f t="shared" si="4"/>
        <v>0.2558139534883721</v>
      </c>
      <c r="Y5">
        <v>2020</v>
      </c>
      <c r="AA5">
        <v>1805</v>
      </c>
      <c r="AB5">
        <f t="shared" si="5"/>
        <v>0.10643564356435643</v>
      </c>
      <c r="AC5">
        <v>1440</v>
      </c>
      <c r="AE5">
        <v>1510</v>
      </c>
      <c r="AF5">
        <f t="shared" si="6"/>
        <v>-4.8611111111111112E-2</v>
      </c>
    </row>
    <row r="6" spans="3:35" x14ac:dyDescent="0.35">
      <c r="C6" s="61">
        <v>5</v>
      </c>
      <c r="E6">
        <v>1800</v>
      </c>
      <c r="G6">
        <v>840</v>
      </c>
      <c r="H6">
        <f t="shared" si="0"/>
        <v>0.53333333333333333</v>
      </c>
      <c r="I6">
        <v>1775</v>
      </c>
      <c r="K6">
        <v>1245</v>
      </c>
      <c r="L6">
        <f t="shared" si="1"/>
        <v>0.29859154929577464</v>
      </c>
      <c r="M6">
        <v>1770</v>
      </c>
      <c r="O6">
        <v>1275</v>
      </c>
      <c r="P6">
        <f t="shared" si="2"/>
        <v>0.27966101694915252</v>
      </c>
      <c r="Q6">
        <v>1875</v>
      </c>
      <c r="S6">
        <v>1410</v>
      </c>
      <c r="T6">
        <f t="shared" si="3"/>
        <v>0.248</v>
      </c>
      <c r="U6">
        <v>1830</v>
      </c>
      <c r="W6">
        <v>1500</v>
      </c>
      <c r="X6">
        <f t="shared" si="4"/>
        <v>0.18032786885245902</v>
      </c>
      <c r="Y6">
        <v>2090</v>
      </c>
      <c r="AA6">
        <v>1785</v>
      </c>
      <c r="AB6">
        <f t="shared" si="5"/>
        <v>0.145933014354067</v>
      </c>
      <c r="AC6">
        <v>1650</v>
      </c>
      <c r="AE6">
        <v>1760</v>
      </c>
      <c r="AF6">
        <f t="shared" si="6"/>
        <v>-6.6666666666666666E-2</v>
      </c>
    </row>
    <row r="7" spans="3:35" x14ac:dyDescent="0.35">
      <c r="C7" s="61">
        <v>6</v>
      </c>
      <c r="E7">
        <v>1815</v>
      </c>
      <c r="G7">
        <v>1345</v>
      </c>
      <c r="H7">
        <f t="shared" si="0"/>
        <v>0.25895316804407714</v>
      </c>
      <c r="I7">
        <v>1765</v>
      </c>
      <c r="K7">
        <v>1170</v>
      </c>
      <c r="L7">
        <f t="shared" si="1"/>
        <v>0.33711048158640228</v>
      </c>
      <c r="M7">
        <v>1815</v>
      </c>
      <c r="O7">
        <v>1335</v>
      </c>
      <c r="P7">
        <f t="shared" si="2"/>
        <v>0.26446280991735538</v>
      </c>
      <c r="Q7">
        <v>1710</v>
      </c>
      <c r="S7">
        <v>1215</v>
      </c>
      <c r="T7">
        <f t="shared" si="3"/>
        <v>0.28947368421052633</v>
      </c>
      <c r="U7">
        <v>2130</v>
      </c>
      <c r="W7">
        <v>1485</v>
      </c>
      <c r="X7">
        <f t="shared" si="4"/>
        <v>0.30281690140845069</v>
      </c>
      <c r="Y7">
        <v>1740</v>
      </c>
      <c r="AA7">
        <v>1585</v>
      </c>
      <c r="AB7">
        <f t="shared" si="5"/>
        <v>8.9080459770114945E-2</v>
      </c>
      <c r="AC7">
        <v>1890</v>
      </c>
      <c r="AE7">
        <v>1785</v>
      </c>
      <c r="AF7">
        <f t="shared" si="6"/>
        <v>5.5555555555555552E-2</v>
      </c>
    </row>
    <row r="8" spans="3:35" x14ac:dyDescent="0.35">
      <c r="C8" s="61">
        <v>7</v>
      </c>
      <c r="E8">
        <v>2040</v>
      </c>
      <c r="G8">
        <v>1110</v>
      </c>
      <c r="H8">
        <f t="shared" si="0"/>
        <v>0.45588235294117646</v>
      </c>
      <c r="I8">
        <v>1680</v>
      </c>
      <c r="K8">
        <v>1125</v>
      </c>
      <c r="L8">
        <f t="shared" si="1"/>
        <v>0.33035714285714285</v>
      </c>
      <c r="M8">
        <v>1635</v>
      </c>
      <c r="O8">
        <v>1220</v>
      </c>
      <c r="P8">
        <f t="shared" si="2"/>
        <v>0.25382262996941896</v>
      </c>
      <c r="Q8">
        <v>1905</v>
      </c>
      <c r="S8">
        <v>1325</v>
      </c>
      <c r="T8">
        <f t="shared" si="3"/>
        <v>0.30446194225721784</v>
      </c>
      <c r="U8">
        <v>1890</v>
      </c>
      <c r="W8">
        <v>1440</v>
      </c>
      <c r="X8">
        <f t="shared" si="4"/>
        <v>0.23809523809523808</v>
      </c>
      <c r="Y8">
        <v>1710</v>
      </c>
      <c r="AA8">
        <v>1350</v>
      </c>
      <c r="AB8">
        <f t="shared" si="5"/>
        <v>0.21052631578947367</v>
      </c>
      <c r="AC8">
        <v>1815</v>
      </c>
      <c r="AE8">
        <v>1745</v>
      </c>
      <c r="AF8">
        <f t="shared" si="6"/>
        <v>3.8567493112947659E-2</v>
      </c>
    </row>
    <row r="9" spans="3:35" x14ac:dyDescent="0.35">
      <c r="C9" s="61">
        <v>8</v>
      </c>
      <c r="E9">
        <v>1725</v>
      </c>
      <c r="G9">
        <v>865</v>
      </c>
      <c r="H9">
        <f t="shared" si="0"/>
        <v>0.49855072463768119</v>
      </c>
      <c r="I9">
        <v>1905</v>
      </c>
      <c r="K9">
        <v>1250</v>
      </c>
      <c r="L9">
        <f t="shared" si="1"/>
        <v>0.34383202099737531</v>
      </c>
      <c r="M9">
        <v>1845</v>
      </c>
      <c r="O9">
        <v>1380</v>
      </c>
      <c r="P9">
        <f t="shared" si="2"/>
        <v>0.25203252032520324</v>
      </c>
      <c r="Q9">
        <v>2095</v>
      </c>
      <c r="S9">
        <v>1235</v>
      </c>
      <c r="T9">
        <f t="shared" si="3"/>
        <v>0.41050119331742241</v>
      </c>
      <c r="U9">
        <v>2085</v>
      </c>
      <c r="W9">
        <v>1460</v>
      </c>
      <c r="X9">
        <f t="shared" si="4"/>
        <v>0.29976019184652281</v>
      </c>
      <c r="Y9">
        <v>2025</v>
      </c>
      <c r="AA9">
        <v>1665</v>
      </c>
      <c r="AB9">
        <f t="shared" si="5"/>
        <v>0.17777777777777778</v>
      </c>
      <c r="AC9">
        <v>1910</v>
      </c>
      <c r="AE9">
        <v>1505</v>
      </c>
      <c r="AF9">
        <f t="shared" si="6"/>
        <v>0.21204188481675393</v>
      </c>
    </row>
    <row r="10" spans="3:35" x14ac:dyDescent="0.35">
      <c r="C10" s="61">
        <v>9</v>
      </c>
      <c r="E10">
        <v>1935</v>
      </c>
      <c r="G10">
        <v>1320</v>
      </c>
      <c r="H10">
        <f t="shared" si="0"/>
        <v>0.31782945736434109</v>
      </c>
      <c r="I10">
        <v>1805</v>
      </c>
      <c r="K10">
        <v>1155</v>
      </c>
      <c r="L10">
        <f t="shared" si="1"/>
        <v>0.36011080332409973</v>
      </c>
      <c r="M10">
        <v>1950</v>
      </c>
      <c r="O10">
        <v>1585</v>
      </c>
      <c r="P10">
        <f t="shared" si="2"/>
        <v>0.18717948717948718</v>
      </c>
      <c r="Q10">
        <v>1860</v>
      </c>
      <c r="S10">
        <v>1290</v>
      </c>
      <c r="T10">
        <f t="shared" si="3"/>
        <v>0.30645161290322581</v>
      </c>
      <c r="U10">
        <v>1740</v>
      </c>
      <c r="W10">
        <v>1335</v>
      </c>
      <c r="X10">
        <f t="shared" si="4"/>
        <v>0.23275862068965517</v>
      </c>
      <c r="Y10">
        <v>2100</v>
      </c>
      <c r="AA10">
        <v>1415</v>
      </c>
      <c r="AB10">
        <f t="shared" si="5"/>
        <v>0.3261904761904762</v>
      </c>
      <c r="AC10">
        <v>1490</v>
      </c>
      <c r="AE10">
        <v>1260</v>
      </c>
      <c r="AF10">
        <f t="shared" si="6"/>
        <v>0.15436241610738255</v>
      </c>
    </row>
    <row r="11" spans="3:35" x14ac:dyDescent="0.35">
      <c r="C11" s="61">
        <v>10</v>
      </c>
      <c r="E11">
        <v>1830</v>
      </c>
      <c r="G11">
        <v>1235</v>
      </c>
      <c r="H11">
        <f t="shared" si="0"/>
        <v>0.3251366120218579</v>
      </c>
      <c r="I11">
        <v>2065</v>
      </c>
      <c r="K11">
        <v>1325</v>
      </c>
      <c r="L11">
        <f t="shared" si="1"/>
        <v>0.3583535108958838</v>
      </c>
      <c r="Q11">
        <v>1980</v>
      </c>
      <c r="S11">
        <v>1275</v>
      </c>
      <c r="T11">
        <f t="shared" si="3"/>
        <v>0.35606060606060608</v>
      </c>
      <c r="U11">
        <v>1695</v>
      </c>
      <c r="W11">
        <v>1375</v>
      </c>
      <c r="X11">
        <f t="shared" si="4"/>
        <v>0.1887905604719764</v>
      </c>
      <c r="Y11">
        <v>1890</v>
      </c>
      <c r="AA11">
        <v>1275</v>
      </c>
      <c r="AB11">
        <f t="shared" si="5"/>
        <v>0.32539682539682541</v>
      </c>
      <c r="AC11">
        <v>1710</v>
      </c>
      <c r="AE11">
        <v>1395</v>
      </c>
      <c r="AF11">
        <f t="shared" si="6"/>
        <v>0.18421052631578946</v>
      </c>
    </row>
    <row r="12" spans="3:35" x14ac:dyDescent="0.35">
      <c r="C12" t="s">
        <v>60</v>
      </c>
      <c r="E12">
        <f>AVERAGE(E2:E11)</f>
        <v>1840</v>
      </c>
      <c r="G12">
        <f>AVERAGE(G2:G11)</f>
        <v>1065.5</v>
      </c>
      <c r="H12">
        <f t="shared" si="0"/>
        <v>0.42092391304347826</v>
      </c>
      <c r="I12">
        <f>AVERAGE(I2:I11)</f>
        <v>1842</v>
      </c>
      <c r="K12">
        <f>AVERAGE(K2:K11)</f>
        <v>1224.5</v>
      </c>
      <c r="L12">
        <f t="shared" si="1"/>
        <v>0.33523344191096632</v>
      </c>
      <c r="M12">
        <f>AVERAGE(M2:M11)</f>
        <v>1785.5555555555557</v>
      </c>
      <c r="O12">
        <f>AVERAGE(O2:O11)</f>
        <v>1301.1111111111111</v>
      </c>
      <c r="P12">
        <f t="shared" si="2"/>
        <v>0.27131300560049787</v>
      </c>
      <c r="Q12">
        <f>AVERAGE(Q2:Q11)</f>
        <v>1860.5</v>
      </c>
      <c r="S12">
        <f>AVERAGE(S2:S11)</f>
        <v>1275</v>
      </c>
      <c r="T12">
        <f t="shared" si="3"/>
        <v>0.31470034936844932</v>
      </c>
      <c r="U12">
        <f>AVERAGE(U2:U11)</f>
        <v>1860</v>
      </c>
      <c r="W12">
        <f>AVERAGE(W2:W11)</f>
        <v>1415</v>
      </c>
      <c r="X12">
        <f t="shared" si="4"/>
        <v>0.239247311827957</v>
      </c>
      <c r="Y12">
        <f>AVERAGE(Y2:Y11)</f>
        <v>1883</v>
      </c>
      <c r="AA12">
        <f>AVERAGE(AA2:AA11)</f>
        <v>1535.5</v>
      </c>
      <c r="AB12">
        <f>(Y12-AA12)/Y12</f>
        <v>0.18454593733404143</v>
      </c>
      <c r="AC12">
        <f>AVERAGE(AC2:AC11)</f>
        <v>1683.5</v>
      </c>
      <c r="AE12">
        <f>AVERAGE(AE2:AE11)</f>
        <v>1532</v>
      </c>
      <c r="AF12">
        <f t="shared" si="6"/>
        <v>8.9991089991089984E-2</v>
      </c>
    </row>
    <row r="13" spans="3:35" x14ac:dyDescent="0.35">
      <c r="C13" t="s">
        <v>22</v>
      </c>
      <c r="E13">
        <f>((E12-G12)/E12)*100</f>
        <v>42.092391304347828</v>
      </c>
      <c r="I13">
        <f>((I12-K12)/I12)*100</f>
        <v>33.523344191096633</v>
      </c>
      <c r="M13">
        <f>((M12-O12)/M12)*100</f>
        <v>27.131300560049787</v>
      </c>
      <c r="Q13">
        <f>((Q12-S12)/Q12)*100</f>
        <v>31.470034936844932</v>
      </c>
      <c r="U13">
        <f>((U12-W12)/U12)*100</f>
        <v>23.9247311827957</v>
      </c>
      <c r="Y13">
        <f>((Y12-AA12)/Y12)*100</f>
        <v>18.454593733404142</v>
      </c>
      <c r="AC13">
        <f>((AC12-AE12)/AC12)*100</f>
        <v>8.9991089991089979</v>
      </c>
    </row>
    <row r="14" spans="3:35" x14ac:dyDescent="0.35">
      <c r="C14"/>
    </row>
    <row r="15" spans="3:35" x14ac:dyDescent="0.35">
      <c r="AI15">
        <f>IF(AND(""&lt;&gt;"",""&gt;0),1,0)</f>
        <v>0</v>
      </c>
    </row>
    <row r="16" spans="3:35" x14ac:dyDescent="0.35">
      <c r="C16" s="262"/>
    </row>
    <row r="17" spans="1:42" x14ac:dyDescent="0.35">
      <c r="C17" s="262"/>
    </row>
    <row r="18" spans="1:42" ht="15" thickBot="1" x14ac:dyDescent="0.4">
      <c r="A18" s="74"/>
      <c r="B18" s="74"/>
      <c r="C18" s="284"/>
      <c r="D18" s="284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</row>
    <row r="19" spans="1:42" x14ac:dyDescent="0.35">
      <c r="A19" s="286"/>
      <c r="B19" s="287"/>
      <c r="C19" s="288"/>
      <c r="D19" s="365" t="s">
        <v>133</v>
      </c>
      <c r="E19" s="366"/>
      <c r="F19" s="366"/>
      <c r="G19" s="368"/>
      <c r="H19" s="365" t="s">
        <v>43</v>
      </c>
      <c r="I19" s="366"/>
      <c r="J19" s="366"/>
      <c r="K19" s="368"/>
      <c r="L19" s="365" t="s">
        <v>44</v>
      </c>
      <c r="M19" s="366"/>
      <c r="N19" s="366"/>
      <c r="O19" s="368"/>
      <c r="P19" s="365" t="s">
        <v>45</v>
      </c>
      <c r="Q19" s="366"/>
      <c r="R19" s="366"/>
      <c r="S19" s="368"/>
      <c r="T19" s="365" t="s">
        <v>46</v>
      </c>
      <c r="U19" s="366"/>
      <c r="V19" s="366"/>
      <c r="W19" s="368"/>
      <c r="X19" s="365" t="s">
        <v>48</v>
      </c>
      <c r="Y19" s="366"/>
      <c r="Z19" s="366"/>
      <c r="AA19" s="368"/>
      <c r="AB19" s="365" t="s">
        <v>49</v>
      </c>
      <c r="AC19" s="366"/>
      <c r="AD19" s="366"/>
      <c r="AE19" s="367"/>
    </row>
    <row r="20" spans="1:42" x14ac:dyDescent="0.35">
      <c r="A20" s="359" t="s">
        <v>203</v>
      </c>
      <c r="B20" s="360"/>
      <c r="C20" s="361"/>
      <c r="D20" s="362" t="s">
        <v>184</v>
      </c>
      <c r="E20" s="363"/>
      <c r="F20" s="362" t="s">
        <v>185</v>
      </c>
      <c r="G20" s="363"/>
      <c r="H20" s="362" t="s">
        <v>184</v>
      </c>
      <c r="I20" s="363"/>
      <c r="J20" s="362" t="s">
        <v>185</v>
      </c>
      <c r="K20" s="363"/>
      <c r="L20" s="362" t="s">
        <v>184</v>
      </c>
      <c r="M20" s="363"/>
      <c r="N20" s="362" t="s">
        <v>185</v>
      </c>
      <c r="O20" s="363"/>
      <c r="P20" s="362" t="s">
        <v>184</v>
      </c>
      <c r="Q20" s="363"/>
      <c r="R20" s="362" t="s">
        <v>185</v>
      </c>
      <c r="S20" s="363"/>
      <c r="T20" s="362" t="s">
        <v>184</v>
      </c>
      <c r="U20" s="363"/>
      <c r="V20" s="362" t="s">
        <v>185</v>
      </c>
      <c r="W20" s="363"/>
      <c r="X20" s="362" t="s">
        <v>184</v>
      </c>
      <c r="Y20" s="363"/>
      <c r="Z20" s="362" t="s">
        <v>185</v>
      </c>
      <c r="AA20" s="363"/>
      <c r="AB20" s="362" t="s">
        <v>184</v>
      </c>
      <c r="AC20" s="363"/>
      <c r="AD20" s="362" t="s">
        <v>185</v>
      </c>
      <c r="AE20" s="364"/>
      <c r="AF20" s="369" t="s">
        <v>267</v>
      </c>
      <c r="AG20" s="370"/>
      <c r="AH20" s="370"/>
      <c r="AI20" s="370"/>
      <c r="AJ20" s="370"/>
      <c r="AK20" s="370"/>
      <c r="AL20" s="370"/>
    </row>
    <row r="21" spans="1:42" x14ac:dyDescent="0.35">
      <c r="A21" s="289" t="s">
        <v>169</v>
      </c>
      <c r="B21" s="273" t="s">
        <v>202</v>
      </c>
      <c r="C21" s="273" t="s">
        <v>50</v>
      </c>
      <c r="D21" s="277" t="s">
        <v>186</v>
      </c>
      <c r="E21" s="278" t="s">
        <v>29</v>
      </c>
      <c r="F21" s="277" t="s">
        <v>186</v>
      </c>
      <c r="G21" s="278" t="s">
        <v>29</v>
      </c>
      <c r="H21" s="277" t="s">
        <v>186</v>
      </c>
      <c r="I21" s="278" t="s">
        <v>29</v>
      </c>
      <c r="J21" s="277" t="s">
        <v>186</v>
      </c>
      <c r="K21" s="278" t="s">
        <v>29</v>
      </c>
      <c r="L21" s="277" t="s">
        <v>186</v>
      </c>
      <c r="M21" s="278" t="s">
        <v>29</v>
      </c>
      <c r="N21" s="277" t="s">
        <v>186</v>
      </c>
      <c r="O21" s="278" t="s">
        <v>29</v>
      </c>
      <c r="P21" s="277" t="s">
        <v>186</v>
      </c>
      <c r="Q21" s="278" t="s">
        <v>29</v>
      </c>
      <c r="R21" s="277" t="s">
        <v>186</v>
      </c>
      <c r="S21" s="278" t="s">
        <v>29</v>
      </c>
      <c r="T21" s="277" t="s">
        <v>186</v>
      </c>
      <c r="U21" s="278" t="s">
        <v>29</v>
      </c>
      <c r="V21" s="277" t="s">
        <v>186</v>
      </c>
      <c r="W21" s="278" t="s">
        <v>29</v>
      </c>
      <c r="X21" s="277" t="s">
        <v>186</v>
      </c>
      <c r="Y21" s="278" t="s">
        <v>29</v>
      </c>
      <c r="Z21" s="277" t="s">
        <v>186</v>
      </c>
      <c r="AA21" s="278" t="s">
        <v>29</v>
      </c>
      <c r="AB21" s="277" t="s">
        <v>186</v>
      </c>
      <c r="AC21" s="278" t="s">
        <v>29</v>
      </c>
      <c r="AD21" s="277" t="s">
        <v>186</v>
      </c>
      <c r="AE21" s="290" t="s">
        <v>29</v>
      </c>
      <c r="AF21" s="289" t="str">
        <f>D19</f>
        <v>20 min</v>
      </c>
      <c r="AG21" s="273" t="str">
        <f>H19</f>
        <v>1 hour</v>
      </c>
      <c r="AH21" s="273" t="str">
        <f>L19</f>
        <v>9 hours</v>
      </c>
      <c r="AI21" s="273" t="str">
        <f>P19</f>
        <v>1 day</v>
      </c>
      <c r="AJ21" s="273" t="str">
        <f>T19</f>
        <v>2 days</v>
      </c>
      <c r="AK21" s="273" t="str">
        <f>X19</f>
        <v>6 days</v>
      </c>
      <c r="AL21" s="278" t="str">
        <f>AB19</f>
        <v>31 days</v>
      </c>
      <c r="AM21" s="273" t="s">
        <v>268</v>
      </c>
      <c r="AN21" s="61"/>
      <c r="AO21" t="s">
        <v>269</v>
      </c>
    </row>
    <row r="22" spans="1:42" x14ac:dyDescent="0.35">
      <c r="A22" s="65">
        <v>0</v>
      </c>
      <c r="B22" t="s">
        <v>52</v>
      </c>
      <c r="C22" s="276">
        <v>40878</v>
      </c>
      <c r="D22" s="54"/>
      <c r="E22" t="str">
        <f t="shared" ref="E22:E85" si="7">IF(OR(ISBLANK(D22),ISTEXT(D22)),"",LOOKUP(D22,$C$2:$C$11,E$2:E$11))</f>
        <v/>
      </c>
      <c r="G22" s="58" t="str">
        <f t="shared" ref="G22:G85" si="8">IF(OR(ISBLANK(F22),ISTEXT(F22)),"",LOOKUP(F22,$C$2:$C$11,G$2:G$11))</f>
        <v/>
      </c>
      <c r="H22" s="54"/>
      <c r="I22" t="str">
        <f t="shared" ref="I22:I85" si="9">IF(OR(ISBLANK(H22),ISTEXT(H22)),"",LOOKUP(H22,$C$2:$C$11,I$2:I$11))</f>
        <v/>
      </c>
      <c r="K22" s="58" t="str">
        <f t="shared" ref="K22:K85" si="10">IF(OR(ISBLANK(J22),ISTEXT(J22)),"",LOOKUP(J22,$C$2:$C$11,K$2:K$11))</f>
        <v/>
      </c>
      <c r="L22" s="54"/>
      <c r="M22" t="str">
        <f t="shared" ref="M22:M85" si="11">IF(OR(ISBLANK(L22),ISTEXT(L22)),"",LOOKUP(L22,$C$2:$C$11,M$2:M$11))</f>
        <v/>
      </c>
      <c r="O22" s="58" t="str">
        <f t="shared" ref="O22:O85" si="12">IF(OR(ISBLANK(N22),ISTEXT(N22)),"",LOOKUP(N22,$C$2:$C$11,O$2:O$11))</f>
        <v/>
      </c>
      <c r="P22" s="54">
        <v>1</v>
      </c>
      <c r="Q22">
        <f t="shared" ref="Q22:Q85" si="13">IF(OR(ISBLANK(P22),ISTEXT(P22)),"",LOOKUP(P22,$C$2:$C$11,Q$2:Q$11))</f>
        <v>1670</v>
      </c>
      <c r="S22" s="58" t="str">
        <f t="shared" ref="S22:S85" si="14">IF(OR(ISBLANK(R22),ISTEXT(R22)),"",LOOKUP(R22,$C$2:$C$11,S$2:S$11))</f>
        <v/>
      </c>
      <c r="T22" s="54"/>
      <c r="U22" t="str">
        <f t="shared" ref="U22:U85" si="15">IF(OR(ISBLANK(T22),ISTEXT(T22)),"",LOOKUP(T22,$C$2:$C$11,U$2:U$11))</f>
        <v/>
      </c>
      <c r="W22" s="58" t="str">
        <f t="shared" ref="W22:W85" si="16">IF(OR(ISBLANK(V22),ISTEXT(V22)),"",LOOKUP(V22,$C$2:$C$11,W$2:W$11))</f>
        <v/>
      </c>
      <c r="X22" s="54">
        <v>1</v>
      </c>
      <c r="Y22">
        <f t="shared" ref="Y22:Y85" si="17">IF(OR(ISBLANK(X22),ISTEXT(X22)),"",LOOKUP(X22,$C$2:$C$11,Y$2:Y$11))</f>
        <v>1780</v>
      </c>
      <c r="AA22" s="58" t="str">
        <f t="shared" ref="AA22:AA85" si="18">IF(OR(ISBLANK(Z22),ISTEXT(Z22)),"",LOOKUP(Z22,$C$2:$C$11,AA$2:AA$11))</f>
        <v/>
      </c>
      <c r="AB22" s="54"/>
      <c r="AC22" t="str">
        <f t="shared" ref="AC22:AC85" si="19">IF(OR(ISBLANK(AB22),ISTEXT(AB22)),"",LOOKUP(AB22,$C$2:$C$11,AC$2:AC$11))</f>
        <v/>
      </c>
      <c r="AE22" s="66" t="str">
        <f t="shared" ref="AE22:AE85" si="20">IF(OR(ISBLANK(AD22),ISTEXT(AD22)),"",LOOKUP(AD22,$C$2:$C$11,AE$2:AE$11))</f>
        <v/>
      </c>
      <c r="AF22">
        <f>IF(AND(D22&lt;&gt;"",D22&gt;0),1,0)</f>
        <v>0</v>
      </c>
      <c r="AG22">
        <f>IF(AND(H22&lt;&gt;"",H22&gt;0),1,0)</f>
        <v>0</v>
      </c>
      <c r="AH22">
        <f>IF(AND(L22&lt;&gt;"",L22&gt;0),1,0)</f>
        <v>0</v>
      </c>
      <c r="AI22">
        <f>IF(AND(P22&lt;&gt;"",P22&gt;0),1,0)</f>
        <v>1</v>
      </c>
      <c r="AJ22">
        <f>IF(AND(T22&lt;&gt;"",T22&gt;0),1,0)</f>
        <v>0</v>
      </c>
      <c r="AK22">
        <f>IF(AND(X22&lt;&gt;"",X22&gt;0),1,0)</f>
        <v>1</v>
      </c>
      <c r="AL22" s="58">
        <f>IF(AND(AB22&lt;&gt;"",AB22&gt;0),1,0)</f>
        <v>0</v>
      </c>
      <c r="AM22">
        <f>SUM(AF22:AL22)</f>
        <v>2</v>
      </c>
      <c r="AN22" s="279"/>
      <c r="AP22" s="1"/>
    </row>
    <row r="23" spans="1:42" x14ac:dyDescent="0.35">
      <c r="A23" s="65">
        <v>1</v>
      </c>
      <c r="B23" t="s">
        <v>53</v>
      </c>
      <c r="C23" s="276">
        <v>40879</v>
      </c>
      <c r="D23" s="54">
        <v>1</v>
      </c>
      <c r="E23">
        <f t="shared" si="7"/>
        <v>1405</v>
      </c>
      <c r="F23">
        <v>1</v>
      </c>
      <c r="G23" s="58">
        <f t="shared" si="8"/>
        <v>670</v>
      </c>
      <c r="H23" s="54"/>
      <c r="I23" t="str">
        <f t="shared" si="9"/>
        <v/>
      </c>
      <c r="J23" t="s">
        <v>183</v>
      </c>
      <c r="K23" s="58" t="str">
        <f t="shared" si="10"/>
        <v/>
      </c>
      <c r="L23" s="54"/>
      <c r="M23" t="str">
        <f t="shared" si="11"/>
        <v/>
      </c>
      <c r="N23" t="s">
        <v>183</v>
      </c>
      <c r="O23" s="58" t="str">
        <f t="shared" si="12"/>
        <v/>
      </c>
      <c r="P23" s="54" t="s">
        <v>183</v>
      </c>
      <c r="Q23" t="str">
        <f t="shared" si="13"/>
        <v/>
      </c>
      <c r="R23">
        <v>1</v>
      </c>
      <c r="S23" s="58">
        <f t="shared" si="14"/>
        <v>1105</v>
      </c>
      <c r="T23" s="54">
        <v>1</v>
      </c>
      <c r="U23">
        <f t="shared" si="15"/>
        <v>1710</v>
      </c>
      <c r="V23" t="s">
        <v>183</v>
      </c>
      <c r="W23" s="58" t="str">
        <f t="shared" si="16"/>
        <v/>
      </c>
      <c r="X23" s="54" t="s">
        <v>183</v>
      </c>
      <c r="Y23" t="str">
        <f t="shared" si="17"/>
        <v/>
      </c>
      <c r="Z23" t="s">
        <v>183</v>
      </c>
      <c r="AA23" s="58" t="str">
        <f t="shared" si="18"/>
        <v/>
      </c>
      <c r="AB23" s="54" t="s">
        <v>183</v>
      </c>
      <c r="AC23" t="str">
        <f t="shared" si="19"/>
        <v/>
      </c>
      <c r="AD23" t="s">
        <v>183</v>
      </c>
      <c r="AE23" s="66" t="str">
        <f t="shared" si="20"/>
        <v/>
      </c>
      <c r="AF23">
        <f t="shared" ref="AF23:AF86" si="21">IF(AND(D23&lt;&gt;"",D23&gt;0),1,0)</f>
        <v>1</v>
      </c>
      <c r="AG23">
        <f t="shared" ref="AG23:AG86" si="22">IF(AND(H23&lt;&gt;"",H23&gt;0),1,0)</f>
        <v>0</v>
      </c>
      <c r="AH23">
        <f t="shared" ref="AH23:AH86" si="23">IF(AND(L23&lt;&gt;"",L23&gt;0),1,0)</f>
        <v>0</v>
      </c>
      <c r="AI23">
        <f t="shared" ref="AI23:AI86" si="24">IF(AND(P23&lt;&gt;"",P23&gt;0),1,0)</f>
        <v>0</v>
      </c>
      <c r="AJ23">
        <f t="shared" ref="AJ23:AJ86" si="25">IF(AND(T23&lt;&gt;"",T23&gt;0),1,0)</f>
        <v>1</v>
      </c>
      <c r="AK23">
        <f t="shared" ref="AK23:AK86" si="26">IF(AND(X23&lt;&gt;"",X23&gt;0),1,0)</f>
        <v>0</v>
      </c>
      <c r="AL23" s="58">
        <f t="shared" ref="AL23:AL86" si="27">IF(AND(AB23&lt;&gt;"",AB23&gt;0),1,0)</f>
        <v>0</v>
      </c>
      <c r="AM23">
        <f t="shared" ref="AM23:AM86" si="28">SUM(AF23:AL23)</f>
        <v>2</v>
      </c>
      <c r="AN23" s="279"/>
      <c r="AP23" s="1"/>
    </row>
    <row r="24" spans="1:42" x14ac:dyDescent="0.35">
      <c r="A24" s="65">
        <v>2</v>
      </c>
      <c r="B24" t="s">
        <v>54</v>
      </c>
      <c r="C24" s="276">
        <v>40880</v>
      </c>
      <c r="D24" s="54"/>
      <c r="E24" t="str">
        <f t="shared" si="7"/>
        <v/>
      </c>
      <c r="G24" s="58" t="str">
        <f t="shared" si="8"/>
        <v/>
      </c>
      <c r="H24" s="54"/>
      <c r="I24" t="str">
        <f t="shared" si="9"/>
        <v/>
      </c>
      <c r="J24" t="s">
        <v>183</v>
      </c>
      <c r="K24" s="58" t="str">
        <f t="shared" si="10"/>
        <v/>
      </c>
      <c r="L24" s="54"/>
      <c r="M24" t="str">
        <f t="shared" si="11"/>
        <v/>
      </c>
      <c r="N24" t="s">
        <v>183</v>
      </c>
      <c r="O24" s="58" t="str">
        <f t="shared" si="12"/>
        <v/>
      </c>
      <c r="P24" s="54" t="s">
        <v>183</v>
      </c>
      <c r="Q24" t="str">
        <f t="shared" si="13"/>
        <v/>
      </c>
      <c r="R24" t="s">
        <v>183</v>
      </c>
      <c r="S24" s="58" t="str">
        <f t="shared" si="14"/>
        <v/>
      </c>
      <c r="T24" s="54" t="s">
        <v>183</v>
      </c>
      <c r="U24" t="str">
        <f t="shared" si="15"/>
        <v/>
      </c>
      <c r="V24" t="s">
        <v>183</v>
      </c>
      <c r="W24" s="58" t="str">
        <f t="shared" si="16"/>
        <v/>
      </c>
      <c r="X24" s="54" t="s">
        <v>183</v>
      </c>
      <c r="Y24" t="str">
        <f t="shared" si="17"/>
        <v/>
      </c>
      <c r="Z24" t="s">
        <v>183</v>
      </c>
      <c r="AA24" s="58" t="str">
        <f t="shared" si="18"/>
        <v/>
      </c>
      <c r="AB24" s="54">
        <v>1</v>
      </c>
      <c r="AC24">
        <f t="shared" si="19"/>
        <v>1480</v>
      </c>
      <c r="AD24" t="s">
        <v>183</v>
      </c>
      <c r="AE24" s="66" t="str">
        <f t="shared" si="20"/>
        <v/>
      </c>
      <c r="AF24">
        <f t="shared" si="21"/>
        <v>0</v>
      </c>
      <c r="AG24">
        <f t="shared" si="22"/>
        <v>0</v>
      </c>
      <c r="AH24">
        <f t="shared" si="23"/>
        <v>0</v>
      </c>
      <c r="AI24">
        <f t="shared" si="24"/>
        <v>0</v>
      </c>
      <c r="AJ24">
        <f t="shared" si="25"/>
        <v>0</v>
      </c>
      <c r="AK24">
        <f t="shared" si="26"/>
        <v>0</v>
      </c>
      <c r="AL24" s="58">
        <f t="shared" si="27"/>
        <v>1</v>
      </c>
      <c r="AM24">
        <f t="shared" si="28"/>
        <v>1</v>
      </c>
      <c r="AN24" s="279"/>
      <c r="AP24" s="1"/>
    </row>
    <row r="25" spans="1:42" x14ac:dyDescent="0.35">
      <c r="A25" s="65">
        <v>3</v>
      </c>
      <c r="B25" t="s">
        <v>55</v>
      </c>
      <c r="C25" s="276">
        <v>40881</v>
      </c>
      <c r="D25" s="54"/>
      <c r="E25" t="str">
        <f t="shared" si="7"/>
        <v/>
      </c>
      <c r="F25" t="s">
        <v>183</v>
      </c>
      <c r="G25" s="58" t="str">
        <f t="shared" si="8"/>
        <v/>
      </c>
      <c r="H25" s="54"/>
      <c r="I25" t="str">
        <f t="shared" si="9"/>
        <v/>
      </c>
      <c r="J25" t="s">
        <v>183</v>
      </c>
      <c r="K25" s="58" t="str">
        <f t="shared" si="10"/>
        <v/>
      </c>
      <c r="L25" s="54"/>
      <c r="M25" t="str">
        <f t="shared" si="11"/>
        <v/>
      </c>
      <c r="N25" t="s">
        <v>183</v>
      </c>
      <c r="O25" s="58" t="str">
        <f t="shared" si="12"/>
        <v/>
      </c>
      <c r="P25" s="54" t="s">
        <v>183</v>
      </c>
      <c r="Q25" t="str">
        <f t="shared" si="13"/>
        <v/>
      </c>
      <c r="R25" t="s">
        <v>183</v>
      </c>
      <c r="S25" s="58" t="str">
        <f t="shared" si="14"/>
        <v/>
      </c>
      <c r="T25" s="54" t="s">
        <v>183</v>
      </c>
      <c r="U25" t="str">
        <f t="shared" si="15"/>
        <v/>
      </c>
      <c r="V25">
        <v>1</v>
      </c>
      <c r="W25" s="58">
        <f t="shared" si="16"/>
        <v>1195</v>
      </c>
      <c r="X25" s="54" t="s">
        <v>183</v>
      </c>
      <c r="Y25" t="str">
        <f t="shared" si="17"/>
        <v/>
      </c>
      <c r="Z25" t="s">
        <v>183</v>
      </c>
      <c r="AA25" s="58" t="str">
        <f t="shared" si="18"/>
        <v/>
      </c>
      <c r="AB25" s="54" t="s">
        <v>183</v>
      </c>
      <c r="AC25" t="str">
        <f t="shared" si="19"/>
        <v/>
      </c>
      <c r="AD25" t="s">
        <v>183</v>
      </c>
      <c r="AE25" s="66" t="str">
        <f t="shared" si="20"/>
        <v/>
      </c>
      <c r="AF25">
        <f t="shared" si="21"/>
        <v>0</v>
      </c>
      <c r="AG25">
        <f t="shared" si="22"/>
        <v>0</v>
      </c>
      <c r="AH25">
        <f t="shared" si="23"/>
        <v>0</v>
      </c>
      <c r="AI25">
        <f t="shared" si="24"/>
        <v>0</v>
      </c>
      <c r="AJ25">
        <f t="shared" si="25"/>
        <v>0</v>
      </c>
      <c r="AK25">
        <f t="shared" si="26"/>
        <v>0</v>
      </c>
      <c r="AL25" s="58">
        <f t="shared" si="27"/>
        <v>0</v>
      </c>
      <c r="AM25">
        <f t="shared" si="28"/>
        <v>0</v>
      </c>
      <c r="AN25" s="279"/>
      <c r="AP25" s="1"/>
    </row>
    <row r="26" spans="1:42" x14ac:dyDescent="0.35">
      <c r="A26" s="65">
        <v>4</v>
      </c>
      <c r="B26" t="s">
        <v>56</v>
      </c>
      <c r="C26" s="276">
        <v>40882</v>
      </c>
      <c r="D26" s="54"/>
      <c r="E26" t="str">
        <f t="shared" si="7"/>
        <v/>
      </c>
      <c r="F26" t="s">
        <v>183</v>
      </c>
      <c r="G26" s="58" t="str">
        <f t="shared" si="8"/>
        <v/>
      </c>
      <c r="H26" s="54"/>
      <c r="I26" t="str">
        <f t="shared" si="9"/>
        <v/>
      </c>
      <c r="J26" t="s">
        <v>183</v>
      </c>
      <c r="K26" s="58" t="str">
        <f t="shared" si="10"/>
        <v/>
      </c>
      <c r="L26" s="54"/>
      <c r="M26" t="str">
        <f t="shared" si="11"/>
        <v/>
      </c>
      <c r="N26" t="s">
        <v>183</v>
      </c>
      <c r="O26" s="58" t="str">
        <f t="shared" si="12"/>
        <v/>
      </c>
      <c r="P26" s="54" t="s">
        <v>183</v>
      </c>
      <c r="Q26" t="str">
        <f t="shared" si="13"/>
        <v/>
      </c>
      <c r="R26" t="s">
        <v>183</v>
      </c>
      <c r="S26" s="58" t="str">
        <f t="shared" si="14"/>
        <v/>
      </c>
      <c r="T26" s="54" t="s">
        <v>183</v>
      </c>
      <c r="U26" t="str">
        <f t="shared" si="15"/>
        <v/>
      </c>
      <c r="V26" t="s">
        <v>183</v>
      </c>
      <c r="W26" s="58" t="str">
        <f t="shared" si="16"/>
        <v/>
      </c>
      <c r="X26" s="54" t="s">
        <v>183</v>
      </c>
      <c r="Y26" t="str">
        <f t="shared" si="17"/>
        <v/>
      </c>
      <c r="Z26" t="s">
        <v>183</v>
      </c>
      <c r="AA26" s="58" t="str">
        <f t="shared" si="18"/>
        <v/>
      </c>
      <c r="AB26" s="54" t="s">
        <v>183</v>
      </c>
      <c r="AC26" t="str">
        <f t="shared" si="19"/>
        <v/>
      </c>
      <c r="AD26" t="s">
        <v>183</v>
      </c>
      <c r="AE26" s="66" t="str">
        <f t="shared" si="20"/>
        <v/>
      </c>
      <c r="AF26">
        <f t="shared" si="21"/>
        <v>0</v>
      </c>
      <c r="AG26">
        <f t="shared" si="22"/>
        <v>0</v>
      </c>
      <c r="AH26">
        <f t="shared" si="23"/>
        <v>0</v>
      </c>
      <c r="AI26">
        <f t="shared" si="24"/>
        <v>0</v>
      </c>
      <c r="AJ26">
        <f t="shared" si="25"/>
        <v>0</v>
      </c>
      <c r="AK26">
        <f t="shared" si="26"/>
        <v>0</v>
      </c>
      <c r="AL26" s="58">
        <f t="shared" si="27"/>
        <v>0</v>
      </c>
      <c r="AM26">
        <f t="shared" si="28"/>
        <v>0</v>
      </c>
      <c r="AN26" s="279"/>
      <c r="AP26" s="1"/>
    </row>
    <row r="27" spans="1:42" x14ac:dyDescent="0.35">
      <c r="A27" s="65">
        <v>5</v>
      </c>
      <c r="B27" t="s">
        <v>57</v>
      </c>
      <c r="C27" s="276">
        <v>40883</v>
      </c>
      <c r="D27" s="54"/>
      <c r="E27" t="str">
        <f t="shared" si="7"/>
        <v/>
      </c>
      <c r="F27" t="s">
        <v>183</v>
      </c>
      <c r="G27" s="58" t="str">
        <f t="shared" si="8"/>
        <v/>
      </c>
      <c r="H27" s="54"/>
      <c r="I27" t="str">
        <f t="shared" si="9"/>
        <v/>
      </c>
      <c r="J27" t="s">
        <v>183</v>
      </c>
      <c r="K27" s="58" t="str">
        <f t="shared" si="10"/>
        <v/>
      </c>
      <c r="L27" s="54"/>
      <c r="M27" t="str">
        <f t="shared" si="11"/>
        <v/>
      </c>
      <c r="N27" t="s">
        <v>183</v>
      </c>
      <c r="O27" s="58" t="str">
        <f t="shared" si="12"/>
        <v/>
      </c>
      <c r="P27" s="54" t="s">
        <v>183</v>
      </c>
      <c r="Q27" t="str">
        <f t="shared" si="13"/>
        <v/>
      </c>
      <c r="R27" t="s">
        <v>183</v>
      </c>
      <c r="S27" s="58" t="str">
        <f t="shared" si="14"/>
        <v/>
      </c>
      <c r="T27" s="54" t="s">
        <v>183</v>
      </c>
      <c r="U27" t="str">
        <f t="shared" si="15"/>
        <v/>
      </c>
      <c r="V27" t="s">
        <v>183</v>
      </c>
      <c r="W27" s="58" t="str">
        <f t="shared" si="16"/>
        <v/>
      </c>
      <c r="X27" s="54" t="s">
        <v>183</v>
      </c>
      <c r="Y27" t="str">
        <f t="shared" si="17"/>
        <v/>
      </c>
      <c r="Z27" t="s">
        <v>183</v>
      </c>
      <c r="AA27" s="58" t="str">
        <f t="shared" si="18"/>
        <v/>
      </c>
      <c r="AB27" s="54" t="s">
        <v>183</v>
      </c>
      <c r="AC27" t="str">
        <f t="shared" si="19"/>
        <v/>
      </c>
      <c r="AD27" t="s">
        <v>183</v>
      </c>
      <c r="AE27" s="66" t="str">
        <f t="shared" si="20"/>
        <v/>
      </c>
      <c r="AF27">
        <f t="shared" si="21"/>
        <v>0</v>
      </c>
      <c r="AG27">
        <f t="shared" si="22"/>
        <v>0</v>
      </c>
      <c r="AH27">
        <f t="shared" si="23"/>
        <v>0</v>
      </c>
      <c r="AI27">
        <f t="shared" si="24"/>
        <v>0</v>
      </c>
      <c r="AJ27">
        <f t="shared" si="25"/>
        <v>0</v>
      </c>
      <c r="AK27">
        <f t="shared" si="26"/>
        <v>0</v>
      </c>
      <c r="AL27" s="58">
        <f t="shared" si="27"/>
        <v>0</v>
      </c>
      <c r="AM27">
        <f t="shared" si="28"/>
        <v>0</v>
      </c>
      <c r="AN27" s="279"/>
      <c r="AP27" s="1"/>
    </row>
    <row r="28" spans="1:42" x14ac:dyDescent="0.35">
      <c r="A28" s="65">
        <v>6</v>
      </c>
      <c r="B28" t="s">
        <v>58</v>
      </c>
      <c r="C28" s="276">
        <v>40884</v>
      </c>
      <c r="D28" s="54">
        <v>2</v>
      </c>
      <c r="E28">
        <f t="shared" si="7"/>
        <v>1840</v>
      </c>
      <c r="F28">
        <v>2</v>
      </c>
      <c r="G28" s="58">
        <f t="shared" si="8"/>
        <v>1210</v>
      </c>
      <c r="H28" s="54">
        <v>1</v>
      </c>
      <c r="I28">
        <f t="shared" si="9"/>
        <v>1690</v>
      </c>
      <c r="J28">
        <v>1</v>
      </c>
      <c r="K28" s="58">
        <f t="shared" si="10"/>
        <v>1280</v>
      </c>
      <c r="L28" s="54"/>
      <c r="M28" t="str">
        <f t="shared" si="11"/>
        <v/>
      </c>
      <c r="N28" t="s">
        <v>183</v>
      </c>
      <c r="O28" s="58" t="str">
        <f t="shared" si="12"/>
        <v/>
      </c>
      <c r="P28" s="54" t="s">
        <v>183</v>
      </c>
      <c r="Q28" t="str">
        <f t="shared" si="13"/>
        <v/>
      </c>
      <c r="R28" t="s">
        <v>183</v>
      </c>
      <c r="S28" s="58" t="str">
        <f t="shared" si="14"/>
        <v/>
      </c>
      <c r="T28" s="54"/>
      <c r="U28" t="str">
        <f t="shared" si="15"/>
        <v/>
      </c>
      <c r="V28" t="s">
        <v>183</v>
      </c>
      <c r="W28" s="58" t="str">
        <f t="shared" si="16"/>
        <v/>
      </c>
      <c r="X28" s="54" t="s">
        <v>183</v>
      </c>
      <c r="Y28" t="str">
        <f t="shared" si="17"/>
        <v/>
      </c>
      <c r="Z28">
        <v>1</v>
      </c>
      <c r="AA28" s="58">
        <f t="shared" si="18"/>
        <v>1370</v>
      </c>
      <c r="AB28" s="54" t="s">
        <v>183</v>
      </c>
      <c r="AC28" t="str">
        <f t="shared" si="19"/>
        <v/>
      </c>
      <c r="AD28" t="s">
        <v>183</v>
      </c>
      <c r="AE28" s="66" t="str">
        <f t="shared" si="20"/>
        <v/>
      </c>
      <c r="AF28">
        <f t="shared" si="21"/>
        <v>1</v>
      </c>
      <c r="AG28">
        <f t="shared" si="22"/>
        <v>1</v>
      </c>
      <c r="AH28">
        <f t="shared" si="23"/>
        <v>0</v>
      </c>
      <c r="AI28">
        <f t="shared" si="24"/>
        <v>0</v>
      </c>
      <c r="AJ28">
        <f t="shared" si="25"/>
        <v>0</v>
      </c>
      <c r="AK28">
        <f t="shared" si="26"/>
        <v>0</v>
      </c>
      <c r="AL28" s="58">
        <f t="shared" si="27"/>
        <v>0</v>
      </c>
      <c r="AM28">
        <f t="shared" si="28"/>
        <v>2</v>
      </c>
      <c r="AN28" s="279"/>
      <c r="AP28" s="1"/>
    </row>
    <row r="29" spans="1:42" x14ac:dyDescent="0.35">
      <c r="A29" s="65">
        <v>7</v>
      </c>
      <c r="B29" t="s">
        <v>52</v>
      </c>
      <c r="C29" s="276">
        <v>40885</v>
      </c>
      <c r="D29" s="54"/>
      <c r="E29" t="str">
        <f t="shared" si="7"/>
        <v/>
      </c>
      <c r="F29" t="s">
        <v>183</v>
      </c>
      <c r="G29" s="58" t="str">
        <f t="shared" si="8"/>
        <v/>
      </c>
      <c r="H29" s="54"/>
      <c r="I29" t="str">
        <f t="shared" si="9"/>
        <v/>
      </c>
      <c r="J29" t="s">
        <v>183</v>
      </c>
      <c r="K29" s="58" t="str">
        <f t="shared" si="10"/>
        <v/>
      </c>
      <c r="L29" s="54"/>
      <c r="M29" t="str">
        <f t="shared" si="11"/>
        <v/>
      </c>
      <c r="N29" t="s">
        <v>183</v>
      </c>
      <c r="O29" s="58" t="str">
        <f t="shared" si="12"/>
        <v/>
      </c>
      <c r="P29" s="54" t="s">
        <v>183</v>
      </c>
      <c r="Q29" t="str">
        <f t="shared" si="13"/>
        <v/>
      </c>
      <c r="R29" t="s">
        <v>183</v>
      </c>
      <c r="S29" s="58" t="str">
        <f t="shared" si="14"/>
        <v/>
      </c>
      <c r="T29" s="54"/>
      <c r="U29" t="str">
        <f t="shared" si="15"/>
        <v/>
      </c>
      <c r="V29" t="s">
        <v>183</v>
      </c>
      <c r="W29" s="58" t="str">
        <f t="shared" si="16"/>
        <v/>
      </c>
      <c r="X29" s="54" t="s">
        <v>183</v>
      </c>
      <c r="Y29" t="str">
        <f t="shared" si="17"/>
        <v/>
      </c>
      <c r="Z29" t="s">
        <v>183</v>
      </c>
      <c r="AA29" s="58" t="str">
        <f t="shared" si="18"/>
        <v/>
      </c>
      <c r="AB29" s="54" t="s">
        <v>183</v>
      </c>
      <c r="AC29" t="str">
        <f t="shared" si="19"/>
        <v/>
      </c>
      <c r="AD29" t="s">
        <v>183</v>
      </c>
      <c r="AE29" s="66" t="str">
        <f t="shared" si="20"/>
        <v/>
      </c>
      <c r="AF29">
        <f t="shared" si="21"/>
        <v>0</v>
      </c>
      <c r="AG29">
        <f t="shared" si="22"/>
        <v>0</v>
      </c>
      <c r="AH29">
        <f t="shared" si="23"/>
        <v>0</v>
      </c>
      <c r="AI29">
        <f t="shared" si="24"/>
        <v>0</v>
      </c>
      <c r="AJ29">
        <f t="shared" si="25"/>
        <v>0</v>
      </c>
      <c r="AK29">
        <f t="shared" si="26"/>
        <v>0</v>
      </c>
      <c r="AL29" s="58">
        <f t="shared" si="27"/>
        <v>0</v>
      </c>
      <c r="AM29">
        <f t="shared" si="28"/>
        <v>0</v>
      </c>
      <c r="AN29" s="279"/>
      <c r="AP29" s="1"/>
    </row>
    <row r="30" spans="1:42" x14ac:dyDescent="0.35">
      <c r="A30" s="65">
        <v>8</v>
      </c>
      <c r="B30" t="s">
        <v>53</v>
      </c>
      <c r="C30" s="276">
        <v>40886</v>
      </c>
      <c r="D30" s="54"/>
      <c r="E30" t="str">
        <f t="shared" si="7"/>
        <v/>
      </c>
      <c r="F30" t="s">
        <v>183</v>
      </c>
      <c r="G30" s="58" t="str">
        <f t="shared" si="8"/>
        <v/>
      </c>
      <c r="H30" s="54">
        <v>2</v>
      </c>
      <c r="I30">
        <f t="shared" si="9"/>
        <v>1790</v>
      </c>
      <c r="J30">
        <v>2</v>
      </c>
      <c r="K30" s="58">
        <f t="shared" si="10"/>
        <v>1330</v>
      </c>
      <c r="L30" s="54"/>
      <c r="M30" t="str">
        <f t="shared" si="11"/>
        <v/>
      </c>
      <c r="N30" t="s">
        <v>183</v>
      </c>
      <c r="O30" s="58" t="str">
        <f t="shared" si="12"/>
        <v/>
      </c>
      <c r="P30" s="54" t="s">
        <v>183</v>
      </c>
      <c r="Q30" t="str">
        <f t="shared" si="13"/>
        <v/>
      </c>
      <c r="R30" t="s">
        <v>183</v>
      </c>
      <c r="S30" s="58" t="str">
        <f t="shared" si="14"/>
        <v/>
      </c>
      <c r="T30" s="54" t="s">
        <v>183</v>
      </c>
      <c r="U30" t="str">
        <f t="shared" si="15"/>
        <v/>
      </c>
      <c r="V30" t="s">
        <v>183</v>
      </c>
      <c r="W30" s="58" t="str">
        <f t="shared" si="16"/>
        <v/>
      </c>
      <c r="X30" s="54">
        <v>2</v>
      </c>
      <c r="Y30">
        <f t="shared" si="17"/>
        <v>1605</v>
      </c>
      <c r="Z30" t="s">
        <v>183</v>
      </c>
      <c r="AA30" s="58" t="str">
        <f t="shared" si="18"/>
        <v/>
      </c>
      <c r="AB30" s="54">
        <v>2</v>
      </c>
      <c r="AC30">
        <f t="shared" si="19"/>
        <v>1680</v>
      </c>
      <c r="AD30" t="s">
        <v>183</v>
      </c>
      <c r="AE30" s="66" t="str">
        <f t="shared" si="20"/>
        <v/>
      </c>
      <c r="AF30">
        <f t="shared" si="21"/>
        <v>0</v>
      </c>
      <c r="AG30">
        <f t="shared" si="22"/>
        <v>1</v>
      </c>
      <c r="AH30">
        <f t="shared" si="23"/>
        <v>0</v>
      </c>
      <c r="AI30">
        <f t="shared" si="24"/>
        <v>0</v>
      </c>
      <c r="AJ30">
        <f t="shared" si="25"/>
        <v>0</v>
      </c>
      <c r="AK30">
        <f t="shared" si="26"/>
        <v>1</v>
      </c>
      <c r="AL30" s="58">
        <f t="shared" si="27"/>
        <v>1</v>
      </c>
      <c r="AM30">
        <f t="shared" si="28"/>
        <v>3</v>
      </c>
      <c r="AN30" s="279"/>
      <c r="AP30" s="1"/>
    </row>
    <row r="31" spans="1:42" x14ac:dyDescent="0.35">
      <c r="A31" s="65">
        <v>9</v>
      </c>
      <c r="B31" t="s">
        <v>54</v>
      </c>
      <c r="C31" s="276">
        <v>40887</v>
      </c>
      <c r="D31" s="54"/>
      <c r="E31" t="str">
        <f t="shared" si="7"/>
        <v/>
      </c>
      <c r="F31" t="s">
        <v>183</v>
      </c>
      <c r="G31" s="58" t="str">
        <f t="shared" si="8"/>
        <v/>
      </c>
      <c r="H31" s="54"/>
      <c r="I31" t="str">
        <f t="shared" si="9"/>
        <v/>
      </c>
      <c r="J31" t="s">
        <v>183</v>
      </c>
      <c r="K31" s="58" t="str">
        <f t="shared" si="10"/>
        <v/>
      </c>
      <c r="L31" s="54">
        <v>1</v>
      </c>
      <c r="M31">
        <f t="shared" si="11"/>
        <v>1815</v>
      </c>
      <c r="N31">
        <v>1</v>
      </c>
      <c r="O31" s="58">
        <f t="shared" si="12"/>
        <v>1240</v>
      </c>
      <c r="P31" s="54" t="s">
        <v>183</v>
      </c>
      <c r="Q31" t="str">
        <f t="shared" si="13"/>
        <v/>
      </c>
      <c r="R31" t="s">
        <v>183</v>
      </c>
      <c r="S31" s="58" t="str">
        <f t="shared" si="14"/>
        <v/>
      </c>
      <c r="T31" s="54" t="s">
        <v>183</v>
      </c>
      <c r="U31" t="str">
        <f t="shared" si="15"/>
        <v/>
      </c>
      <c r="V31" t="s">
        <v>183</v>
      </c>
      <c r="W31" s="58" t="str">
        <f t="shared" si="16"/>
        <v/>
      </c>
      <c r="X31" s="54" t="s">
        <v>183</v>
      </c>
      <c r="Y31" t="str">
        <f t="shared" si="17"/>
        <v/>
      </c>
      <c r="Z31" t="s">
        <v>183</v>
      </c>
      <c r="AA31" s="58" t="str">
        <f t="shared" si="18"/>
        <v/>
      </c>
      <c r="AB31" s="54">
        <v>3</v>
      </c>
      <c r="AC31">
        <f t="shared" si="19"/>
        <v>1770</v>
      </c>
      <c r="AD31" t="s">
        <v>183</v>
      </c>
      <c r="AE31" s="66" t="str">
        <f t="shared" si="20"/>
        <v/>
      </c>
      <c r="AF31">
        <f t="shared" si="21"/>
        <v>0</v>
      </c>
      <c r="AG31">
        <f t="shared" si="22"/>
        <v>0</v>
      </c>
      <c r="AH31">
        <f t="shared" si="23"/>
        <v>1</v>
      </c>
      <c r="AI31">
        <f t="shared" si="24"/>
        <v>0</v>
      </c>
      <c r="AJ31">
        <f t="shared" si="25"/>
        <v>0</v>
      </c>
      <c r="AK31">
        <f t="shared" si="26"/>
        <v>0</v>
      </c>
      <c r="AL31" s="58">
        <f t="shared" si="27"/>
        <v>1</v>
      </c>
      <c r="AM31">
        <f t="shared" si="28"/>
        <v>2</v>
      </c>
      <c r="AN31" s="279"/>
    </row>
    <row r="32" spans="1:42" x14ac:dyDescent="0.35">
      <c r="A32" s="65">
        <v>10</v>
      </c>
      <c r="B32" t="s">
        <v>55</v>
      </c>
      <c r="C32" s="276">
        <v>40888</v>
      </c>
      <c r="D32" s="54"/>
      <c r="E32" t="str">
        <f t="shared" si="7"/>
        <v/>
      </c>
      <c r="F32" t="s">
        <v>183</v>
      </c>
      <c r="G32" s="58" t="str">
        <f t="shared" si="8"/>
        <v/>
      </c>
      <c r="H32" s="54"/>
      <c r="I32" t="str">
        <f t="shared" si="9"/>
        <v/>
      </c>
      <c r="J32" t="s">
        <v>183</v>
      </c>
      <c r="K32" s="58" t="str">
        <f t="shared" si="10"/>
        <v/>
      </c>
      <c r="L32" s="54"/>
      <c r="M32" t="str">
        <f t="shared" si="11"/>
        <v/>
      </c>
      <c r="N32" t="s">
        <v>183</v>
      </c>
      <c r="O32" s="58" t="str">
        <f t="shared" si="12"/>
        <v/>
      </c>
      <c r="P32" s="54">
        <v>2</v>
      </c>
      <c r="Q32">
        <f t="shared" si="13"/>
        <v>1840</v>
      </c>
      <c r="R32" t="s">
        <v>183</v>
      </c>
      <c r="S32" s="58" t="str">
        <f t="shared" si="14"/>
        <v/>
      </c>
      <c r="T32" s="54" t="s">
        <v>183</v>
      </c>
      <c r="U32" t="str">
        <f t="shared" si="15"/>
        <v/>
      </c>
      <c r="V32" t="s">
        <v>183</v>
      </c>
      <c r="W32" s="58" t="str">
        <f t="shared" si="16"/>
        <v/>
      </c>
      <c r="X32" s="54" t="s">
        <v>183</v>
      </c>
      <c r="Y32" t="str">
        <f t="shared" si="17"/>
        <v/>
      </c>
      <c r="Z32" t="s">
        <v>183</v>
      </c>
      <c r="AA32" s="58" t="str">
        <f t="shared" si="18"/>
        <v/>
      </c>
      <c r="AB32" s="54">
        <v>4</v>
      </c>
      <c r="AC32">
        <f t="shared" si="19"/>
        <v>1440</v>
      </c>
      <c r="AD32" t="s">
        <v>183</v>
      </c>
      <c r="AE32" s="66" t="str">
        <f t="shared" si="20"/>
        <v/>
      </c>
      <c r="AF32">
        <f t="shared" si="21"/>
        <v>0</v>
      </c>
      <c r="AG32">
        <f t="shared" si="22"/>
        <v>0</v>
      </c>
      <c r="AH32">
        <f t="shared" si="23"/>
        <v>0</v>
      </c>
      <c r="AI32">
        <f t="shared" si="24"/>
        <v>1</v>
      </c>
      <c r="AJ32">
        <f t="shared" si="25"/>
        <v>0</v>
      </c>
      <c r="AK32">
        <f t="shared" si="26"/>
        <v>0</v>
      </c>
      <c r="AL32" s="58">
        <f t="shared" si="27"/>
        <v>1</v>
      </c>
      <c r="AM32">
        <f t="shared" si="28"/>
        <v>2</v>
      </c>
      <c r="AN32" s="279"/>
    </row>
    <row r="33" spans="1:40" x14ac:dyDescent="0.35">
      <c r="A33" s="65">
        <v>11</v>
      </c>
      <c r="B33" t="s">
        <v>56</v>
      </c>
      <c r="C33" s="276">
        <v>40889</v>
      </c>
      <c r="D33" s="54"/>
      <c r="E33" t="str">
        <f t="shared" si="7"/>
        <v/>
      </c>
      <c r="F33" t="s">
        <v>183</v>
      </c>
      <c r="G33" s="58" t="str">
        <f t="shared" si="8"/>
        <v/>
      </c>
      <c r="H33" s="54"/>
      <c r="I33" t="str">
        <f t="shared" si="9"/>
        <v/>
      </c>
      <c r="J33" t="s">
        <v>183</v>
      </c>
      <c r="K33" s="58" t="str">
        <f t="shared" si="10"/>
        <v/>
      </c>
      <c r="L33" s="54"/>
      <c r="M33" t="str">
        <f t="shared" si="11"/>
        <v/>
      </c>
      <c r="N33" t="s">
        <v>183</v>
      </c>
      <c r="O33" s="58" t="str">
        <f t="shared" si="12"/>
        <v/>
      </c>
      <c r="P33" s="54" t="s">
        <v>183</v>
      </c>
      <c r="Q33" t="str">
        <f t="shared" si="13"/>
        <v/>
      </c>
      <c r="R33">
        <v>2</v>
      </c>
      <c r="S33" s="58">
        <f t="shared" si="14"/>
        <v>1325</v>
      </c>
      <c r="T33" s="54">
        <v>2</v>
      </c>
      <c r="U33">
        <f t="shared" si="15"/>
        <v>1635</v>
      </c>
      <c r="V33" t="s">
        <v>183</v>
      </c>
      <c r="W33" s="58" t="str">
        <f t="shared" si="16"/>
        <v/>
      </c>
      <c r="X33" s="54">
        <v>3</v>
      </c>
      <c r="Y33">
        <f t="shared" si="17"/>
        <v>1870</v>
      </c>
      <c r="Z33" t="s">
        <v>183</v>
      </c>
      <c r="AA33" s="58" t="str">
        <f t="shared" si="18"/>
        <v/>
      </c>
      <c r="AB33" s="54" t="s">
        <v>183</v>
      </c>
      <c r="AC33" t="str">
        <f t="shared" si="19"/>
        <v/>
      </c>
      <c r="AD33" t="s">
        <v>183</v>
      </c>
      <c r="AE33" s="66" t="str">
        <f t="shared" si="20"/>
        <v/>
      </c>
      <c r="AF33">
        <f t="shared" si="21"/>
        <v>0</v>
      </c>
      <c r="AG33">
        <f t="shared" si="22"/>
        <v>0</v>
      </c>
      <c r="AH33">
        <f t="shared" si="23"/>
        <v>0</v>
      </c>
      <c r="AI33">
        <f t="shared" si="24"/>
        <v>0</v>
      </c>
      <c r="AJ33">
        <f t="shared" si="25"/>
        <v>1</v>
      </c>
      <c r="AK33">
        <f t="shared" si="26"/>
        <v>1</v>
      </c>
      <c r="AL33" s="58">
        <f t="shared" si="27"/>
        <v>0</v>
      </c>
      <c r="AM33">
        <f t="shared" si="28"/>
        <v>2</v>
      </c>
      <c r="AN33" s="279"/>
    </row>
    <row r="34" spans="1:40" x14ac:dyDescent="0.35">
      <c r="A34" s="65">
        <v>12</v>
      </c>
      <c r="B34" t="s">
        <v>57</v>
      </c>
      <c r="C34" s="276">
        <v>40890</v>
      </c>
      <c r="D34" s="54"/>
      <c r="E34" t="str">
        <f t="shared" si="7"/>
        <v/>
      </c>
      <c r="F34" t="s">
        <v>183</v>
      </c>
      <c r="G34" s="58" t="str">
        <f t="shared" si="8"/>
        <v/>
      </c>
      <c r="H34" s="54"/>
      <c r="I34" t="str">
        <f t="shared" si="9"/>
        <v/>
      </c>
      <c r="J34" t="s">
        <v>183</v>
      </c>
      <c r="K34" s="58" t="str">
        <f t="shared" si="10"/>
        <v/>
      </c>
      <c r="L34" s="54">
        <v>2</v>
      </c>
      <c r="M34">
        <f t="shared" si="11"/>
        <v>1780</v>
      </c>
      <c r="N34">
        <v>2</v>
      </c>
      <c r="O34" s="58">
        <f t="shared" si="12"/>
        <v>1350</v>
      </c>
      <c r="P34" s="54" t="s">
        <v>183</v>
      </c>
      <c r="Q34" t="str">
        <f t="shared" si="13"/>
        <v/>
      </c>
      <c r="R34" t="s">
        <v>183</v>
      </c>
      <c r="S34" s="58" t="str">
        <f t="shared" si="14"/>
        <v/>
      </c>
      <c r="T34" s="54" t="s">
        <v>183</v>
      </c>
      <c r="U34" t="str">
        <f t="shared" si="15"/>
        <v/>
      </c>
      <c r="V34" t="s">
        <v>183</v>
      </c>
      <c r="W34" s="58" t="str">
        <f t="shared" si="16"/>
        <v/>
      </c>
      <c r="X34" s="54" t="s">
        <v>183</v>
      </c>
      <c r="Y34" t="str">
        <f t="shared" si="17"/>
        <v/>
      </c>
      <c r="Z34" t="s">
        <v>183</v>
      </c>
      <c r="AA34" s="58" t="str">
        <f t="shared" si="18"/>
        <v/>
      </c>
      <c r="AB34" s="54" t="s">
        <v>183</v>
      </c>
      <c r="AC34" t="str">
        <f t="shared" si="19"/>
        <v/>
      </c>
      <c r="AD34" t="s">
        <v>183</v>
      </c>
      <c r="AE34" s="66" t="str">
        <f t="shared" si="20"/>
        <v/>
      </c>
      <c r="AF34">
        <f t="shared" si="21"/>
        <v>0</v>
      </c>
      <c r="AG34">
        <f t="shared" si="22"/>
        <v>0</v>
      </c>
      <c r="AH34">
        <f t="shared" si="23"/>
        <v>1</v>
      </c>
      <c r="AI34">
        <f t="shared" si="24"/>
        <v>0</v>
      </c>
      <c r="AJ34">
        <f t="shared" si="25"/>
        <v>0</v>
      </c>
      <c r="AK34">
        <f t="shared" si="26"/>
        <v>0</v>
      </c>
      <c r="AL34" s="58">
        <f t="shared" si="27"/>
        <v>0</v>
      </c>
      <c r="AM34">
        <f t="shared" si="28"/>
        <v>1</v>
      </c>
      <c r="AN34" s="279"/>
    </row>
    <row r="35" spans="1:40" x14ac:dyDescent="0.35">
      <c r="A35" s="65">
        <v>13</v>
      </c>
      <c r="B35" t="s">
        <v>58</v>
      </c>
      <c r="C35" s="276">
        <v>40891</v>
      </c>
      <c r="D35" s="54">
        <v>3</v>
      </c>
      <c r="E35">
        <f t="shared" si="7"/>
        <v>1830</v>
      </c>
      <c r="F35">
        <v>3</v>
      </c>
      <c r="G35" s="58">
        <f t="shared" si="8"/>
        <v>1100</v>
      </c>
      <c r="H35" s="54"/>
      <c r="I35" t="str">
        <f t="shared" si="9"/>
        <v/>
      </c>
      <c r="J35" t="s">
        <v>183</v>
      </c>
      <c r="K35" s="58" t="str">
        <f t="shared" si="10"/>
        <v/>
      </c>
      <c r="L35" s="54"/>
      <c r="M35" t="str">
        <f t="shared" si="11"/>
        <v/>
      </c>
      <c r="N35" t="s">
        <v>183</v>
      </c>
      <c r="O35" s="58" t="str">
        <f t="shared" si="12"/>
        <v/>
      </c>
      <c r="P35" s="54" t="s">
        <v>183</v>
      </c>
      <c r="Q35" t="str">
        <f t="shared" si="13"/>
        <v/>
      </c>
      <c r="R35" t="s">
        <v>183</v>
      </c>
      <c r="S35" s="58" t="str">
        <f t="shared" si="14"/>
        <v/>
      </c>
      <c r="T35" s="54" t="s">
        <v>183</v>
      </c>
      <c r="U35" t="str">
        <f t="shared" si="15"/>
        <v/>
      </c>
      <c r="V35">
        <v>2</v>
      </c>
      <c r="W35" s="58">
        <f t="shared" si="16"/>
        <v>1340</v>
      </c>
      <c r="X35" s="54" t="s">
        <v>183</v>
      </c>
      <c r="Y35" t="str">
        <f t="shared" si="17"/>
        <v/>
      </c>
      <c r="Z35" t="s">
        <v>183</v>
      </c>
      <c r="AA35" s="58" t="str">
        <f t="shared" si="18"/>
        <v/>
      </c>
      <c r="AB35" s="54">
        <v>5</v>
      </c>
      <c r="AC35">
        <f t="shared" si="19"/>
        <v>1650</v>
      </c>
      <c r="AD35" t="s">
        <v>183</v>
      </c>
      <c r="AE35" s="66" t="str">
        <f t="shared" si="20"/>
        <v/>
      </c>
      <c r="AF35">
        <f t="shared" si="21"/>
        <v>1</v>
      </c>
      <c r="AG35">
        <f t="shared" si="22"/>
        <v>0</v>
      </c>
      <c r="AH35">
        <f t="shared" si="23"/>
        <v>0</v>
      </c>
      <c r="AI35">
        <f t="shared" si="24"/>
        <v>0</v>
      </c>
      <c r="AJ35">
        <f t="shared" si="25"/>
        <v>0</v>
      </c>
      <c r="AK35">
        <f t="shared" si="26"/>
        <v>0</v>
      </c>
      <c r="AL35" s="58">
        <f t="shared" si="27"/>
        <v>1</v>
      </c>
      <c r="AM35">
        <f t="shared" si="28"/>
        <v>2</v>
      </c>
      <c r="AN35" s="279"/>
    </row>
    <row r="36" spans="1:40" x14ac:dyDescent="0.35">
      <c r="A36" s="65">
        <v>14</v>
      </c>
      <c r="B36" t="s">
        <v>52</v>
      </c>
      <c r="C36" s="276">
        <v>40892</v>
      </c>
      <c r="D36" s="54">
        <v>4</v>
      </c>
      <c r="E36">
        <f t="shared" si="7"/>
        <v>2180</v>
      </c>
      <c r="F36">
        <v>4</v>
      </c>
      <c r="G36" s="58">
        <f t="shared" si="8"/>
        <v>960</v>
      </c>
      <c r="H36" s="54"/>
      <c r="I36" t="str">
        <f t="shared" si="9"/>
        <v/>
      </c>
      <c r="J36" t="s">
        <v>183</v>
      </c>
      <c r="K36" s="58" t="str">
        <f t="shared" si="10"/>
        <v/>
      </c>
      <c r="L36" s="54"/>
      <c r="M36" t="str">
        <f t="shared" si="11"/>
        <v/>
      </c>
      <c r="N36" t="s">
        <v>183</v>
      </c>
      <c r="O36" s="58" t="str">
        <f t="shared" si="12"/>
        <v/>
      </c>
      <c r="P36" s="54" t="s">
        <v>183</v>
      </c>
      <c r="Q36" t="str">
        <f t="shared" si="13"/>
        <v/>
      </c>
      <c r="R36" t="s">
        <v>183</v>
      </c>
      <c r="S36" s="58" t="str">
        <f t="shared" si="14"/>
        <v/>
      </c>
      <c r="T36" s="54" t="s">
        <v>183</v>
      </c>
      <c r="U36" t="str">
        <f t="shared" si="15"/>
        <v/>
      </c>
      <c r="V36" t="s">
        <v>183</v>
      </c>
      <c r="W36" s="58" t="str">
        <f t="shared" si="16"/>
        <v/>
      </c>
      <c r="X36" s="54" t="s">
        <v>183</v>
      </c>
      <c r="Y36" t="str">
        <f t="shared" si="17"/>
        <v/>
      </c>
      <c r="Z36">
        <v>2</v>
      </c>
      <c r="AA36" s="58">
        <f t="shared" si="18"/>
        <v>1560</v>
      </c>
      <c r="AB36" s="54">
        <v>6</v>
      </c>
      <c r="AC36">
        <f t="shared" si="19"/>
        <v>1890</v>
      </c>
      <c r="AD36" t="s">
        <v>183</v>
      </c>
      <c r="AE36" s="66" t="str">
        <f t="shared" si="20"/>
        <v/>
      </c>
      <c r="AF36">
        <f t="shared" si="21"/>
        <v>1</v>
      </c>
      <c r="AG36">
        <f t="shared" si="22"/>
        <v>0</v>
      </c>
      <c r="AH36">
        <f t="shared" si="23"/>
        <v>0</v>
      </c>
      <c r="AI36">
        <f t="shared" si="24"/>
        <v>0</v>
      </c>
      <c r="AJ36">
        <f t="shared" si="25"/>
        <v>0</v>
      </c>
      <c r="AK36">
        <f t="shared" si="26"/>
        <v>0</v>
      </c>
      <c r="AL36" s="58">
        <f t="shared" si="27"/>
        <v>1</v>
      </c>
      <c r="AM36">
        <f t="shared" si="28"/>
        <v>2</v>
      </c>
      <c r="AN36" s="279"/>
    </row>
    <row r="37" spans="1:40" x14ac:dyDescent="0.35">
      <c r="A37" s="65">
        <v>15</v>
      </c>
      <c r="B37" t="s">
        <v>53</v>
      </c>
      <c r="C37" s="276">
        <v>40893</v>
      </c>
      <c r="D37" s="54"/>
      <c r="E37" t="str">
        <f t="shared" si="7"/>
        <v/>
      </c>
      <c r="F37" t="s">
        <v>183</v>
      </c>
      <c r="G37" s="58" t="str">
        <f t="shared" si="8"/>
        <v/>
      </c>
      <c r="H37" s="54"/>
      <c r="I37" t="str">
        <f t="shared" si="9"/>
        <v/>
      </c>
      <c r="J37" t="s">
        <v>183</v>
      </c>
      <c r="K37" s="58" t="str">
        <f t="shared" si="10"/>
        <v/>
      </c>
      <c r="L37" s="54"/>
      <c r="M37" t="str">
        <f t="shared" si="11"/>
        <v/>
      </c>
      <c r="N37" t="s">
        <v>183</v>
      </c>
      <c r="O37" s="58" t="str">
        <f t="shared" si="12"/>
        <v/>
      </c>
      <c r="P37" s="54" t="s">
        <v>183</v>
      </c>
      <c r="Q37" t="str">
        <f t="shared" si="13"/>
        <v/>
      </c>
      <c r="R37" t="s">
        <v>183</v>
      </c>
      <c r="S37" s="58" t="str">
        <f t="shared" si="14"/>
        <v/>
      </c>
      <c r="T37" s="54">
        <v>3</v>
      </c>
      <c r="U37">
        <f t="shared" si="15"/>
        <v>1950</v>
      </c>
      <c r="V37" t="s">
        <v>183</v>
      </c>
      <c r="W37" s="58" t="str">
        <f t="shared" si="16"/>
        <v/>
      </c>
      <c r="X37" s="54" t="s">
        <v>183</v>
      </c>
      <c r="Y37" t="str">
        <f t="shared" si="17"/>
        <v/>
      </c>
      <c r="Z37" t="s">
        <v>183</v>
      </c>
      <c r="AA37" s="58" t="str">
        <f t="shared" si="18"/>
        <v/>
      </c>
      <c r="AB37" s="54" t="s">
        <v>183</v>
      </c>
      <c r="AC37" t="str">
        <f t="shared" si="19"/>
        <v/>
      </c>
      <c r="AD37" t="s">
        <v>183</v>
      </c>
      <c r="AE37" s="66" t="str">
        <f t="shared" si="20"/>
        <v/>
      </c>
      <c r="AF37">
        <f t="shared" si="21"/>
        <v>0</v>
      </c>
      <c r="AG37">
        <f t="shared" si="22"/>
        <v>0</v>
      </c>
      <c r="AH37">
        <f t="shared" si="23"/>
        <v>0</v>
      </c>
      <c r="AI37">
        <f t="shared" si="24"/>
        <v>0</v>
      </c>
      <c r="AJ37">
        <f t="shared" si="25"/>
        <v>1</v>
      </c>
      <c r="AK37">
        <f t="shared" si="26"/>
        <v>0</v>
      </c>
      <c r="AL37" s="58">
        <f t="shared" si="27"/>
        <v>0</v>
      </c>
      <c r="AM37">
        <f t="shared" si="28"/>
        <v>1</v>
      </c>
      <c r="AN37" s="279"/>
    </row>
    <row r="38" spans="1:40" x14ac:dyDescent="0.35">
      <c r="A38" s="65">
        <v>16</v>
      </c>
      <c r="B38" t="s">
        <v>54</v>
      </c>
      <c r="C38" s="276">
        <v>40894</v>
      </c>
      <c r="D38" s="54"/>
      <c r="E38" t="str">
        <f t="shared" si="7"/>
        <v/>
      </c>
      <c r="F38" t="s">
        <v>183</v>
      </c>
      <c r="G38" s="58" t="str">
        <f t="shared" si="8"/>
        <v/>
      </c>
      <c r="H38" s="54"/>
      <c r="I38" t="str">
        <f t="shared" si="9"/>
        <v/>
      </c>
      <c r="J38" t="s">
        <v>183</v>
      </c>
      <c r="K38" s="58" t="str">
        <f t="shared" si="10"/>
        <v/>
      </c>
      <c r="L38" s="54"/>
      <c r="M38" t="str">
        <f t="shared" si="11"/>
        <v/>
      </c>
      <c r="N38" t="s">
        <v>183</v>
      </c>
      <c r="O38" s="58" t="str">
        <f t="shared" si="12"/>
        <v/>
      </c>
      <c r="P38" s="54" t="s">
        <v>183</v>
      </c>
      <c r="Q38" t="str">
        <f t="shared" si="13"/>
        <v/>
      </c>
      <c r="R38" t="s">
        <v>183</v>
      </c>
      <c r="S38" s="58" t="str">
        <f t="shared" si="14"/>
        <v/>
      </c>
      <c r="T38" s="54" t="s">
        <v>183</v>
      </c>
      <c r="U38" t="str">
        <f t="shared" si="15"/>
        <v/>
      </c>
      <c r="V38" t="s">
        <v>183</v>
      </c>
      <c r="W38" s="58" t="str">
        <f t="shared" si="16"/>
        <v/>
      </c>
      <c r="X38" s="54" t="s">
        <v>183</v>
      </c>
      <c r="Y38" t="str">
        <f t="shared" si="17"/>
        <v/>
      </c>
      <c r="Z38" t="s">
        <v>183</v>
      </c>
      <c r="AA38" s="58" t="str">
        <f t="shared" si="18"/>
        <v/>
      </c>
      <c r="AB38" s="54">
        <v>7</v>
      </c>
      <c r="AC38">
        <f t="shared" si="19"/>
        <v>1815</v>
      </c>
      <c r="AD38" t="s">
        <v>183</v>
      </c>
      <c r="AE38" s="66" t="str">
        <f t="shared" si="20"/>
        <v/>
      </c>
      <c r="AF38">
        <f t="shared" si="21"/>
        <v>0</v>
      </c>
      <c r="AG38">
        <f t="shared" si="22"/>
        <v>0</v>
      </c>
      <c r="AH38">
        <f t="shared" si="23"/>
        <v>0</v>
      </c>
      <c r="AI38">
        <f t="shared" si="24"/>
        <v>0</v>
      </c>
      <c r="AJ38">
        <f t="shared" si="25"/>
        <v>0</v>
      </c>
      <c r="AK38">
        <f t="shared" si="26"/>
        <v>0</v>
      </c>
      <c r="AL38" s="58">
        <f t="shared" si="27"/>
        <v>1</v>
      </c>
      <c r="AM38">
        <f t="shared" si="28"/>
        <v>1</v>
      </c>
      <c r="AN38" s="279"/>
    </row>
    <row r="39" spans="1:40" x14ac:dyDescent="0.35">
      <c r="A39" s="65">
        <v>17</v>
      </c>
      <c r="B39" t="s">
        <v>55</v>
      </c>
      <c r="C39" s="276">
        <v>40895</v>
      </c>
      <c r="D39" s="54"/>
      <c r="E39" t="str">
        <f t="shared" si="7"/>
        <v/>
      </c>
      <c r="F39" t="s">
        <v>183</v>
      </c>
      <c r="G39" s="58" t="str">
        <f t="shared" si="8"/>
        <v/>
      </c>
      <c r="H39" s="54"/>
      <c r="I39" t="str">
        <f t="shared" si="9"/>
        <v/>
      </c>
      <c r="J39" t="s">
        <v>183</v>
      </c>
      <c r="K39" s="58" t="str">
        <f t="shared" si="10"/>
        <v/>
      </c>
      <c r="L39" s="54"/>
      <c r="M39" t="str">
        <f t="shared" si="11"/>
        <v/>
      </c>
      <c r="N39" t="s">
        <v>183</v>
      </c>
      <c r="O39" s="58" t="str">
        <f t="shared" si="12"/>
        <v/>
      </c>
      <c r="P39" s="54" t="s">
        <v>183</v>
      </c>
      <c r="Q39" t="str">
        <f t="shared" si="13"/>
        <v/>
      </c>
      <c r="R39" t="s">
        <v>183</v>
      </c>
      <c r="S39" s="58" t="str">
        <f t="shared" si="14"/>
        <v/>
      </c>
      <c r="T39" s="54" t="s">
        <v>183</v>
      </c>
      <c r="U39" t="str">
        <f t="shared" si="15"/>
        <v/>
      </c>
      <c r="V39">
        <v>3</v>
      </c>
      <c r="W39" s="58">
        <f t="shared" si="16"/>
        <v>1580</v>
      </c>
      <c r="X39" s="54" t="s">
        <v>183</v>
      </c>
      <c r="Y39" t="str">
        <f t="shared" si="17"/>
        <v/>
      </c>
      <c r="Z39">
        <v>3</v>
      </c>
      <c r="AA39" s="58">
        <f t="shared" si="18"/>
        <v>1545</v>
      </c>
      <c r="AB39" s="54" t="s">
        <v>183</v>
      </c>
      <c r="AC39" t="str">
        <f t="shared" si="19"/>
        <v/>
      </c>
      <c r="AD39" t="s">
        <v>183</v>
      </c>
      <c r="AE39" s="66" t="str">
        <f t="shared" si="20"/>
        <v/>
      </c>
      <c r="AF39">
        <f t="shared" si="21"/>
        <v>0</v>
      </c>
      <c r="AG39">
        <f t="shared" si="22"/>
        <v>0</v>
      </c>
      <c r="AH39">
        <f t="shared" si="23"/>
        <v>0</v>
      </c>
      <c r="AI39">
        <f t="shared" si="24"/>
        <v>0</v>
      </c>
      <c r="AJ39">
        <f t="shared" si="25"/>
        <v>0</v>
      </c>
      <c r="AK39">
        <f t="shared" si="26"/>
        <v>0</v>
      </c>
      <c r="AL39" s="58">
        <f t="shared" si="27"/>
        <v>0</v>
      </c>
      <c r="AM39">
        <f t="shared" si="28"/>
        <v>0</v>
      </c>
      <c r="AN39" s="279"/>
    </row>
    <row r="40" spans="1:40" x14ac:dyDescent="0.35">
      <c r="A40" s="65">
        <v>18</v>
      </c>
      <c r="B40" t="s">
        <v>56</v>
      </c>
      <c r="C40" s="276">
        <v>40896</v>
      </c>
      <c r="D40" s="54"/>
      <c r="E40" t="str">
        <f t="shared" si="7"/>
        <v/>
      </c>
      <c r="F40" t="s">
        <v>183</v>
      </c>
      <c r="G40" s="58" t="str">
        <f t="shared" si="8"/>
        <v/>
      </c>
      <c r="H40" s="54">
        <v>3</v>
      </c>
      <c r="I40">
        <f t="shared" si="9"/>
        <v>2070</v>
      </c>
      <c r="J40">
        <v>3</v>
      </c>
      <c r="K40" s="58">
        <f t="shared" si="10"/>
        <v>1235</v>
      </c>
      <c r="L40" s="54"/>
      <c r="M40" t="str">
        <f t="shared" si="11"/>
        <v/>
      </c>
      <c r="N40" t="s">
        <v>183</v>
      </c>
      <c r="O40" s="58" t="str">
        <f t="shared" si="12"/>
        <v/>
      </c>
      <c r="P40" s="54" t="s">
        <v>183</v>
      </c>
      <c r="Q40" t="str">
        <f t="shared" si="13"/>
        <v/>
      </c>
      <c r="R40" t="s">
        <v>183</v>
      </c>
      <c r="S40" s="58" t="str">
        <f t="shared" si="14"/>
        <v/>
      </c>
      <c r="T40" s="54" t="s">
        <v>183</v>
      </c>
      <c r="U40" t="str">
        <f t="shared" si="15"/>
        <v/>
      </c>
      <c r="V40" t="s">
        <v>183</v>
      </c>
      <c r="W40" s="58" t="str">
        <f t="shared" si="16"/>
        <v/>
      </c>
      <c r="X40" s="54" t="s">
        <v>183</v>
      </c>
      <c r="Y40" t="str">
        <f t="shared" si="17"/>
        <v/>
      </c>
      <c r="Z40" t="s">
        <v>183</v>
      </c>
      <c r="AA40" s="58" t="str">
        <f t="shared" si="18"/>
        <v/>
      </c>
      <c r="AB40" s="54">
        <v>8</v>
      </c>
      <c r="AC40">
        <f t="shared" si="19"/>
        <v>1910</v>
      </c>
      <c r="AD40" t="s">
        <v>183</v>
      </c>
      <c r="AE40" s="66" t="str">
        <f t="shared" si="20"/>
        <v/>
      </c>
      <c r="AF40">
        <f t="shared" si="21"/>
        <v>0</v>
      </c>
      <c r="AG40">
        <f t="shared" si="22"/>
        <v>1</v>
      </c>
      <c r="AH40">
        <f t="shared" si="23"/>
        <v>0</v>
      </c>
      <c r="AI40">
        <f t="shared" si="24"/>
        <v>0</v>
      </c>
      <c r="AJ40">
        <f t="shared" si="25"/>
        <v>0</v>
      </c>
      <c r="AK40">
        <f t="shared" si="26"/>
        <v>0</v>
      </c>
      <c r="AL40" s="58">
        <f t="shared" si="27"/>
        <v>1</v>
      </c>
      <c r="AM40">
        <f t="shared" si="28"/>
        <v>2</v>
      </c>
      <c r="AN40" s="279"/>
    </row>
    <row r="41" spans="1:40" x14ac:dyDescent="0.35">
      <c r="A41" s="65">
        <v>19</v>
      </c>
      <c r="B41" t="s">
        <v>57</v>
      </c>
      <c r="C41" s="276">
        <v>40897</v>
      </c>
      <c r="D41" s="54"/>
      <c r="E41" t="str">
        <f t="shared" si="7"/>
        <v/>
      </c>
      <c r="F41" t="s">
        <v>183</v>
      </c>
      <c r="G41" s="58" t="str">
        <f t="shared" si="8"/>
        <v/>
      </c>
      <c r="H41" s="54"/>
      <c r="I41" t="str">
        <f t="shared" si="9"/>
        <v/>
      </c>
      <c r="J41" t="s">
        <v>183</v>
      </c>
      <c r="K41" s="58" t="str">
        <f t="shared" si="10"/>
        <v/>
      </c>
      <c r="L41" s="54">
        <v>3</v>
      </c>
      <c r="M41">
        <f t="shared" si="11"/>
        <v>1935</v>
      </c>
      <c r="N41">
        <v>3</v>
      </c>
      <c r="O41" s="58">
        <f t="shared" si="12"/>
        <v>1350</v>
      </c>
      <c r="P41" s="54">
        <v>3</v>
      </c>
      <c r="Q41">
        <f t="shared" si="13"/>
        <v>1930</v>
      </c>
      <c r="R41" t="s">
        <v>183</v>
      </c>
      <c r="S41" s="58" t="str">
        <f t="shared" si="14"/>
        <v/>
      </c>
      <c r="T41" s="54" t="s">
        <v>183</v>
      </c>
      <c r="U41" t="str">
        <f t="shared" si="15"/>
        <v/>
      </c>
      <c r="V41" t="s">
        <v>183</v>
      </c>
      <c r="W41" s="58" t="str">
        <f t="shared" si="16"/>
        <v/>
      </c>
      <c r="X41" s="54">
        <v>4</v>
      </c>
      <c r="Y41">
        <f t="shared" si="17"/>
        <v>2020</v>
      </c>
      <c r="Z41" t="s">
        <v>183</v>
      </c>
      <c r="AA41" s="58" t="str">
        <f t="shared" si="18"/>
        <v/>
      </c>
      <c r="AB41" s="54" t="s">
        <v>183</v>
      </c>
      <c r="AC41" t="str">
        <f t="shared" si="19"/>
        <v/>
      </c>
      <c r="AD41" t="s">
        <v>183</v>
      </c>
      <c r="AE41" s="66" t="str">
        <f t="shared" si="20"/>
        <v/>
      </c>
      <c r="AF41">
        <f t="shared" si="21"/>
        <v>0</v>
      </c>
      <c r="AG41">
        <f t="shared" si="22"/>
        <v>0</v>
      </c>
      <c r="AH41">
        <f t="shared" si="23"/>
        <v>1</v>
      </c>
      <c r="AI41">
        <f t="shared" si="24"/>
        <v>1</v>
      </c>
      <c r="AJ41">
        <f t="shared" si="25"/>
        <v>0</v>
      </c>
      <c r="AK41">
        <f t="shared" si="26"/>
        <v>1</v>
      </c>
      <c r="AL41" s="58">
        <f t="shared" si="27"/>
        <v>0</v>
      </c>
      <c r="AM41">
        <f t="shared" si="28"/>
        <v>3</v>
      </c>
      <c r="AN41" s="279"/>
    </row>
    <row r="42" spans="1:40" x14ac:dyDescent="0.35">
      <c r="A42" s="65">
        <v>20</v>
      </c>
      <c r="B42" t="s">
        <v>58</v>
      </c>
      <c r="C42" s="276">
        <v>40898</v>
      </c>
      <c r="D42" s="54"/>
      <c r="E42" t="str">
        <f t="shared" si="7"/>
        <v/>
      </c>
      <c r="F42" t="s">
        <v>183</v>
      </c>
      <c r="G42" s="58" t="str">
        <f t="shared" si="8"/>
        <v/>
      </c>
      <c r="H42" s="54">
        <v>4</v>
      </c>
      <c r="I42">
        <f t="shared" si="9"/>
        <v>1875</v>
      </c>
      <c r="J42">
        <v>4</v>
      </c>
      <c r="K42" s="58">
        <f t="shared" si="10"/>
        <v>1130</v>
      </c>
      <c r="L42" s="54"/>
      <c r="M42" t="str">
        <f t="shared" si="11"/>
        <v/>
      </c>
      <c r="N42" t="s">
        <v>183</v>
      </c>
      <c r="O42" s="58" t="str">
        <f t="shared" si="12"/>
        <v/>
      </c>
      <c r="P42" s="54" t="s">
        <v>183</v>
      </c>
      <c r="Q42" t="str">
        <f t="shared" si="13"/>
        <v/>
      </c>
      <c r="R42">
        <v>3</v>
      </c>
      <c r="S42" s="58">
        <f t="shared" si="14"/>
        <v>1205</v>
      </c>
      <c r="T42" s="54" t="s">
        <v>183</v>
      </c>
      <c r="U42" t="str">
        <f t="shared" si="15"/>
        <v/>
      </c>
      <c r="V42" t="s">
        <v>183</v>
      </c>
      <c r="W42" s="58" t="str">
        <f t="shared" si="16"/>
        <v/>
      </c>
      <c r="X42" s="54" t="s">
        <v>183</v>
      </c>
      <c r="Y42" t="str">
        <f t="shared" si="17"/>
        <v/>
      </c>
      <c r="Z42" t="s">
        <v>183</v>
      </c>
      <c r="AA42" s="58" t="str">
        <f t="shared" si="18"/>
        <v/>
      </c>
      <c r="AB42" s="54" t="s">
        <v>183</v>
      </c>
      <c r="AC42" t="str">
        <f t="shared" si="19"/>
        <v/>
      </c>
      <c r="AD42" t="s">
        <v>183</v>
      </c>
      <c r="AE42" s="66" t="str">
        <f t="shared" si="20"/>
        <v/>
      </c>
      <c r="AF42">
        <f t="shared" si="21"/>
        <v>0</v>
      </c>
      <c r="AG42">
        <f t="shared" si="22"/>
        <v>1</v>
      </c>
      <c r="AH42">
        <f t="shared" si="23"/>
        <v>0</v>
      </c>
      <c r="AI42">
        <f t="shared" si="24"/>
        <v>0</v>
      </c>
      <c r="AJ42">
        <f t="shared" si="25"/>
        <v>0</v>
      </c>
      <c r="AK42">
        <f t="shared" si="26"/>
        <v>0</v>
      </c>
      <c r="AL42" s="58">
        <f t="shared" si="27"/>
        <v>0</v>
      </c>
      <c r="AM42">
        <f t="shared" si="28"/>
        <v>1</v>
      </c>
      <c r="AN42" s="279"/>
    </row>
    <row r="43" spans="1:40" x14ac:dyDescent="0.35">
      <c r="A43" s="65">
        <v>21</v>
      </c>
      <c r="B43" t="s">
        <v>52</v>
      </c>
      <c r="C43" s="276">
        <v>40899</v>
      </c>
      <c r="D43" s="54"/>
      <c r="E43" t="str">
        <f t="shared" si="7"/>
        <v/>
      </c>
      <c r="F43" t="s">
        <v>183</v>
      </c>
      <c r="G43" s="58" t="str">
        <f t="shared" si="8"/>
        <v/>
      </c>
      <c r="H43" s="54"/>
      <c r="I43" t="str">
        <f t="shared" si="9"/>
        <v/>
      </c>
      <c r="J43" t="s">
        <v>183</v>
      </c>
      <c r="K43" s="58" t="str">
        <f t="shared" si="10"/>
        <v/>
      </c>
      <c r="L43" s="54"/>
      <c r="M43" t="str">
        <f t="shared" si="11"/>
        <v/>
      </c>
      <c r="N43" t="s">
        <v>183</v>
      </c>
      <c r="O43" s="58" t="str">
        <f t="shared" si="12"/>
        <v/>
      </c>
      <c r="P43" s="54" t="s">
        <v>183</v>
      </c>
      <c r="Q43" t="str">
        <f t="shared" si="13"/>
        <v/>
      </c>
      <c r="R43" t="s">
        <v>183</v>
      </c>
      <c r="S43" s="58" t="str">
        <f t="shared" si="14"/>
        <v/>
      </c>
      <c r="T43" s="54" t="s">
        <v>183</v>
      </c>
      <c r="U43" t="str">
        <f t="shared" si="15"/>
        <v/>
      </c>
      <c r="V43" t="s">
        <v>183</v>
      </c>
      <c r="W43" s="58" t="str">
        <f t="shared" si="16"/>
        <v/>
      </c>
      <c r="X43" s="54" t="s">
        <v>183</v>
      </c>
      <c r="Y43" t="str">
        <f t="shared" si="17"/>
        <v/>
      </c>
      <c r="Z43" t="s">
        <v>183</v>
      </c>
      <c r="AA43" s="58" t="str">
        <f t="shared" si="18"/>
        <v/>
      </c>
      <c r="AB43" s="54">
        <v>9</v>
      </c>
      <c r="AC43">
        <f t="shared" si="19"/>
        <v>1490</v>
      </c>
      <c r="AD43" t="s">
        <v>183</v>
      </c>
      <c r="AE43" s="66" t="str">
        <f t="shared" si="20"/>
        <v/>
      </c>
      <c r="AF43">
        <f t="shared" si="21"/>
        <v>0</v>
      </c>
      <c r="AG43">
        <f t="shared" si="22"/>
        <v>0</v>
      </c>
      <c r="AH43">
        <f t="shared" si="23"/>
        <v>0</v>
      </c>
      <c r="AI43">
        <f t="shared" si="24"/>
        <v>0</v>
      </c>
      <c r="AJ43">
        <f t="shared" si="25"/>
        <v>0</v>
      </c>
      <c r="AK43">
        <f t="shared" si="26"/>
        <v>0</v>
      </c>
      <c r="AL43" s="58">
        <f t="shared" si="27"/>
        <v>1</v>
      </c>
      <c r="AM43">
        <f t="shared" si="28"/>
        <v>1</v>
      </c>
      <c r="AN43" s="279"/>
    </row>
    <row r="44" spans="1:40" x14ac:dyDescent="0.35">
      <c r="A44" s="65">
        <v>22</v>
      </c>
      <c r="B44" t="s">
        <v>53</v>
      </c>
      <c r="C44" s="276">
        <v>40900</v>
      </c>
      <c r="D44" s="54"/>
      <c r="E44" t="str">
        <f t="shared" si="7"/>
        <v/>
      </c>
      <c r="F44" t="s">
        <v>183</v>
      </c>
      <c r="G44" s="58" t="str">
        <f t="shared" si="8"/>
        <v/>
      </c>
      <c r="H44" s="54"/>
      <c r="I44" t="str">
        <f t="shared" si="9"/>
        <v/>
      </c>
      <c r="J44" t="s">
        <v>183</v>
      </c>
      <c r="K44" s="58" t="str">
        <f t="shared" si="10"/>
        <v/>
      </c>
      <c r="L44" s="54"/>
      <c r="M44" t="str">
        <f t="shared" si="11"/>
        <v/>
      </c>
      <c r="N44" t="s">
        <v>183</v>
      </c>
      <c r="O44" s="58" t="str">
        <f t="shared" si="12"/>
        <v/>
      </c>
      <c r="P44" s="54" t="s">
        <v>183</v>
      </c>
      <c r="Q44" t="str">
        <f t="shared" si="13"/>
        <v/>
      </c>
      <c r="R44" t="s">
        <v>183</v>
      </c>
      <c r="S44" s="58" t="str">
        <f t="shared" si="14"/>
        <v/>
      </c>
      <c r="T44" s="54" t="s">
        <v>183</v>
      </c>
      <c r="U44" t="str">
        <f t="shared" si="15"/>
        <v/>
      </c>
      <c r="V44" t="s">
        <v>183</v>
      </c>
      <c r="W44" s="58" t="str">
        <f t="shared" si="16"/>
        <v/>
      </c>
      <c r="X44" s="54">
        <v>5</v>
      </c>
      <c r="Y44">
        <f t="shared" si="17"/>
        <v>2090</v>
      </c>
      <c r="Z44" t="s">
        <v>183</v>
      </c>
      <c r="AA44" s="58" t="str">
        <f t="shared" si="18"/>
        <v/>
      </c>
      <c r="AB44" s="54">
        <v>10</v>
      </c>
      <c r="AC44">
        <f t="shared" si="19"/>
        <v>1710</v>
      </c>
      <c r="AD44" t="s">
        <v>183</v>
      </c>
      <c r="AE44" s="66" t="str">
        <f t="shared" si="20"/>
        <v/>
      </c>
      <c r="AF44">
        <f t="shared" si="21"/>
        <v>0</v>
      </c>
      <c r="AG44">
        <f t="shared" si="22"/>
        <v>0</v>
      </c>
      <c r="AH44">
        <f t="shared" si="23"/>
        <v>0</v>
      </c>
      <c r="AI44">
        <f t="shared" si="24"/>
        <v>0</v>
      </c>
      <c r="AJ44">
        <f t="shared" si="25"/>
        <v>0</v>
      </c>
      <c r="AK44">
        <f t="shared" si="26"/>
        <v>1</v>
      </c>
      <c r="AL44" s="58">
        <f t="shared" si="27"/>
        <v>1</v>
      </c>
      <c r="AM44">
        <f t="shared" si="28"/>
        <v>2</v>
      </c>
      <c r="AN44" s="279"/>
    </row>
    <row r="45" spans="1:40" x14ac:dyDescent="0.35">
      <c r="A45" s="65">
        <v>23</v>
      </c>
      <c r="B45" t="s">
        <v>54</v>
      </c>
      <c r="C45" s="276">
        <v>40901</v>
      </c>
      <c r="D45" s="54"/>
      <c r="E45" t="str">
        <f t="shared" si="7"/>
        <v/>
      </c>
      <c r="F45" t="s">
        <v>183</v>
      </c>
      <c r="G45" s="58" t="str">
        <f t="shared" si="8"/>
        <v/>
      </c>
      <c r="H45" s="54"/>
      <c r="I45" t="str">
        <f t="shared" si="9"/>
        <v/>
      </c>
      <c r="J45" t="s">
        <v>183</v>
      </c>
      <c r="K45" s="58" t="str">
        <f t="shared" si="10"/>
        <v/>
      </c>
      <c r="L45" s="54"/>
      <c r="M45" t="str">
        <f t="shared" si="11"/>
        <v/>
      </c>
      <c r="N45" t="s">
        <v>183</v>
      </c>
      <c r="O45" s="58" t="str">
        <f t="shared" si="12"/>
        <v/>
      </c>
      <c r="P45" s="54" t="s">
        <v>183</v>
      </c>
      <c r="Q45" t="str">
        <f t="shared" si="13"/>
        <v/>
      </c>
      <c r="R45" t="s">
        <v>183</v>
      </c>
      <c r="S45" s="58" t="str">
        <f t="shared" si="14"/>
        <v/>
      </c>
      <c r="T45" s="54" t="s">
        <v>183</v>
      </c>
      <c r="U45" t="str">
        <f t="shared" si="15"/>
        <v/>
      </c>
      <c r="V45" t="s">
        <v>183</v>
      </c>
      <c r="W45" s="58" t="str">
        <f t="shared" si="16"/>
        <v/>
      </c>
      <c r="X45" s="54" t="s">
        <v>183</v>
      </c>
      <c r="Y45" t="str">
        <f t="shared" si="17"/>
        <v/>
      </c>
      <c r="Z45" t="s">
        <v>183</v>
      </c>
      <c r="AA45" s="58" t="str">
        <f t="shared" si="18"/>
        <v/>
      </c>
      <c r="AB45" s="54" t="s">
        <v>183</v>
      </c>
      <c r="AC45" t="str">
        <f t="shared" si="19"/>
        <v/>
      </c>
      <c r="AD45" t="s">
        <v>183</v>
      </c>
      <c r="AE45" s="66" t="str">
        <f t="shared" si="20"/>
        <v/>
      </c>
      <c r="AF45">
        <f t="shared" si="21"/>
        <v>0</v>
      </c>
      <c r="AG45">
        <f t="shared" si="22"/>
        <v>0</v>
      </c>
      <c r="AH45">
        <f t="shared" si="23"/>
        <v>0</v>
      </c>
      <c r="AI45">
        <f t="shared" si="24"/>
        <v>0</v>
      </c>
      <c r="AJ45">
        <f t="shared" si="25"/>
        <v>0</v>
      </c>
      <c r="AK45">
        <f t="shared" si="26"/>
        <v>0</v>
      </c>
      <c r="AL45" s="58">
        <f t="shared" si="27"/>
        <v>0</v>
      </c>
      <c r="AM45">
        <f t="shared" si="28"/>
        <v>0</v>
      </c>
      <c r="AN45" s="279"/>
    </row>
    <row r="46" spans="1:40" x14ac:dyDescent="0.35">
      <c r="A46" s="65">
        <v>24</v>
      </c>
      <c r="B46" t="s">
        <v>55</v>
      </c>
      <c r="C46" s="276">
        <v>40902</v>
      </c>
      <c r="D46" s="54"/>
      <c r="E46" t="str">
        <f t="shared" si="7"/>
        <v/>
      </c>
      <c r="F46" t="s">
        <v>183</v>
      </c>
      <c r="G46" s="58" t="str">
        <f t="shared" si="8"/>
        <v/>
      </c>
      <c r="H46" s="54"/>
      <c r="I46" t="str">
        <f t="shared" si="9"/>
        <v/>
      </c>
      <c r="J46" t="s">
        <v>183</v>
      </c>
      <c r="K46" s="58" t="str">
        <f t="shared" si="10"/>
        <v/>
      </c>
      <c r="L46" s="54"/>
      <c r="M46" t="str">
        <f t="shared" si="11"/>
        <v/>
      </c>
      <c r="N46" t="s">
        <v>183</v>
      </c>
      <c r="O46" s="58" t="str">
        <f t="shared" si="12"/>
        <v/>
      </c>
      <c r="P46" s="54" t="s">
        <v>183</v>
      </c>
      <c r="Q46" t="str">
        <f t="shared" si="13"/>
        <v/>
      </c>
      <c r="R46" t="s">
        <v>183</v>
      </c>
      <c r="S46" s="58" t="str">
        <f t="shared" si="14"/>
        <v/>
      </c>
      <c r="T46" s="54" t="s">
        <v>183</v>
      </c>
      <c r="U46" t="str">
        <f t="shared" si="15"/>
        <v/>
      </c>
      <c r="V46" t="s">
        <v>183</v>
      </c>
      <c r="W46" s="58" t="str">
        <f t="shared" si="16"/>
        <v/>
      </c>
      <c r="X46" s="54" t="s">
        <v>183</v>
      </c>
      <c r="Y46" t="str">
        <f t="shared" si="17"/>
        <v/>
      </c>
      <c r="Z46" t="s">
        <v>183</v>
      </c>
      <c r="AA46" s="58" t="str">
        <f t="shared" si="18"/>
        <v/>
      </c>
      <c r="AB46" s="54" t="s">
        <v>183</v>
      </c>
      <c r="AC46" t="str">
        <f t="shared" si="19"/>
        <v/>
      </c>
      <c r="AD46" t="s">
        <v>183</v>
      </c>
      <c r="AE46" s="66" t="str">
        <f t="shared" si="20"/>
        <v/>
      </c>
      <c r="AF46">
        <f t="shared" si="21"/>
        <v>0</v>
      </c>
      <c r="AG46">
        <f t="shared" si="22"/>
        <v>0</v>
      </c>
      <c r="AH46">
        <f t="shared" si="23"/>
        <v>0</v>
      </c>
      <c r="AI46">
        <f t="shared" si="24"/>
        <v>0</v>
      </c>
      <c r="AJ46">
        <f t="shared" si="25"/>
        <v>0</v>
      </c>
      <c r="AK46">
        <f t="shared" si="26"/>
        <v>0</v>
      </c>
      <c r="AL46" s="58">
        <f t="shared" si="27"/>
        <v>0</v>
      </c>
      <c r="AM46">
        <f t="shared" si="28"/>
        <v>0</v>
      </c>
      <c r="AN46" s="279"/>
    </row>
    <row r="47" spans="1:40" x14ac:dyDescent="0.35">
      <c r="A47" s="65">
        <v>25</v>
      </c>
      <c r="B47" t="s">
        <v>56</v>
      </c>
      <c r="C47" s="276">
        <v>40903</v>
      </c>
      <c r="D47" s="54"/>
      <c r="E47" t="str">
        <f t="shared" si="7"/>
        <v/>
      </c>
      <c r="F47" t="s">
        <v>183</v>
      </c>
      <c r="G47" s="58" t="str">
        <f t="shared" si="8"/>
        <v/>
      </c>
      <c r="H47" s="54"/>
      <c r="I47" t="str">
        <f t="shared" si="9"/>
        <v/>
      </c>
      <c r="J47" t="s">
        <v>183</v>
      </c>
      <c r="K47" s="58" t="str">
        <f t="shared" si="10"/>
        <v/>
      </c>
      <c r="L47" s="54"/>
      <c r="M47" t="str">
        <f t="shared" si="11"/>
        <v/>
      </c>
      <c r="N47" t="s">
        <v>183</v>
      </c>
      <c r="O47" s="58" t="str">
        <f t="shared" si="12"/>
        <v/>
      </c>
      <c r="P47" s="54" t="s">
        <v>183</v>
      </c>
      <c r="Q47" t="str">
        <f t="shared" si="13"/>
        <v/>
      </c>
      <c r="R47" t="s">
        <v>183</v>
      </c>
      <c r="S47" s="58" t="str">
        <f t="shared" si="14"/>
        <v/>
      </c>
      <c r="T47" s="54" t="s">
        <v>183</v>
      </c>
      <c r="U47" t="str">
        <f t="shared" si="15"/>
        <v/>
      </c>
      <c r="V47" t="s">
        <v>183</v>
      </c>
      <c r="W47" s="58" t="str">
        <f t="shared" si="16"/>
        <v/>
      </c>
      <c r="X47" s="54" t="s">
        <v>183</v>
      </c>
      <c r="Y47" t="str">
        <f t="shared" si="17"/>
        <v/>
      </c>
      <c r="Z47">
        <v>4</v>
      </c>
      <c r="AA47" s="58">
        <f t="shared" si="18"/>
        <v>1805</v>
      </c>
      <c r="AB47" s="54" t="s">
        <v>183</v>
      </c>
      <c r="AC47" t="str">
        <f t="shared" si="19"/>
        <v/>
      </c>
      <c r="AD47" t="s">
        <v>183</v>
      </c>
      <c r="AE47" s="66" t="str">
        <f t="shared" si="20"/>
        <v/>
      </c>
      <c r="AF47">
        <f t="shared" si="21"/>
        <v>0</v>
      </c>
      <c r="AG47">
        <f t="shared" si="22"/>
        <v>0</v>
      </c>
      <c r="AH47">
        <f t="shared" si="23"/>
        <v>0</v>
      </c>
      <c r="AI47">
        <f t="shared" si="24"/>
        <v>0</v>
      </c>
      <c r="AJ47">
        <f t="shared" si="25"/>
        <v>0</v>
      </c>
      <c r="AK47">
        <f t="shared" si="26"/>
        <v>0</v>
      </c>
      <c r="AL47" s="58">
        <f t="shared" si="27"/>
        <v>0</v>
      </c>
      <c r="AM47">
        <f t="shared" si="28"/>
        <v>0</v>
      </c>
      <c r="AN47" s="279"/>
    </row>
    <row r="48" spans="1:40" x14ac:dyDescent="0.35">
      <c r="A48" s="65">
        <v>26</v>
      </c>
      <c r="B48" t="s">
        <v>57</v>
      </c>
      <c r="C48" s="276">
        <v>40904</v>
      </c>
      <c r="D48" s="54"/>
      <c r="E48" t="str">
        <f t="shared" si="7"/>
        <v/>
      </c>
      <c r="F48" t="s">
        <v>183</v>
      </c>
      <c r="G48" s="58" t="str">
        <f t="shared" si="8"/>
        <v/>
      </c>
      <c r="H48" s="54"/>
      <c r="I48" t="str">
        <f t="shared" si="9"/>
        <v/>
      </c>
      <c r="J48" t="s">
        <v>183</v>
      </c>
      <c r="K48" s="58" t="str">
        <f t="shared" si="10"/>
        <v/>
      </c>
      <c r="L48" s="54"/>
      <c r="M48" t="str">
        <f t="shared" si="11"/>
        <v/>
      </c>
      <c r="N48" t="s">
        <v>183</v>
      </c>
      <c r="O48" s="58" t="str">
        <f t="shared" si="12"/>
        <v/>
      </c>
      <c r="P48" s="54">
        <v>4</v>
      </c>
      <c r="Q48">
        <f t="shared" si="13"/>
        <v>1740</v>
      </c>
      <c r="R48" t="s">
        <v>183</v>
      </c>
      <c r="S48" s="58" t="str">
        <f t="shared" si="14"/>
        <v/>
      </c>
      <c r="T48" s="54">
        <v>4</v>
      </c>
      <c r="U48">
        <f t="shared" si="15"/>
        <v>1935</v>
      </c>
      <c r="V48" t="s">
        <v>183</v>
      </c>
      <c r="W48" s="58" t="str">
        <f t="shared" si="16"/>
        <v/>
      </c>
      <c r="X48" s="54" t="s">
        <v>183</v>
      </c>
      <c r="Y48" t="str">
        <f t="shared" si="17"/>
        <v/>
      </c>
      <c r="Z48" t="s">
        <v>183</v>
      </c>
      <c r="AA48" s="58" t="str">
        <f t="shared" si="18"/>
        <v/>
      </c>
      <c r="AB48" s="54" t="s">
        <v>183</v>
      </c>
      <c r="AC48" t="str">
        <f t="shared" si="19"/>
        <v/>
      </c>
      <c r="AD48" t="s">
        <v>183</v>
      </c>
      <c r="AE48" s="66" t="str">
        <f t="shared" si="20"/>
        <v/>
      </c>
      <c r="AF48">
        <f t="shared" si="21"/>
        <v>0</v>
      </c>
      <c r="AG48">
        <f t="shared" si="22"/>
        <v>0</v>
      </c>
      <c r="AH48">
        <f t="shared" si="23"/>
        <v>0</v>
      </c>
      <c r="AI48">
        <f t="shared" si="24"/>
        <v>1</v>
      </c>
      <c r="AJ48">
        <f t="shared" si="25"/>
        <v>1</v>
      </c>
      <c r="AK48">
        <f t="shared" si="26"/>
        <v>0</v>
      </c>
      <c r="AL48" s="58">
        <f t="shared" si="27"/>
        <v>0</v>
      </c>
      <c r="AM48">
        <f t="shared" si="28"/>
        <v>2</v>
      </c>
      <c r="AN48" s="279"/>
    </row>
    <row r="49" spans="1:42" x14ac:dyDescent="0.35">
      <c r="A49" s="65">
        <v>27</v>
      </c>
      <c r="B49" t="s">
        <v>58</v>
      </c>
      <c r="C49" s="276">
        <v>40905</v>
      </c>
      <c r="D49" s="54">
        <v>5</v>
      </c>
      <c r="E49">
        <f t="shared" si="7"/>
        <v>1800</v>
      </c>
      <c r="F49">
        <v>5</v>
      </c>
      <c r="G49" s="58">
        <f t="shared" si="8"/>
        <v>840</v>
      </c>
      <c r="H49" s="54"/>
      <c r="I49" t="str">
        <f t="shared" si="9"/>
        <v/>
      </c>
      <c r="J49" t="s">
        <v>183</v>
      </c>
      <c r="K49" s="58" t="str">
        <f t="shared" si="10"/>
        <v/>
      </c>
      <c r="L49" s="54"/>
      <c r="M49" t="str">
        <f t="shared" si="11"/>
        <v/>
      </c>
      <c r="N49" t="s">
        <v>183</v>
      </c>
      <c r="O49" s="58" t="str">
        <f t="shared" si="12"/>
        <v/>
      </c>
      <c r="P49" s="54" t="s">
        <v>183</v>
      </c>
      <c r="Q49" t="str">
        <f t="shared" si="13"/>
        <v/>
      </c>
      <c r="R49">
        <v>4</v>
      </c>
      <c r="S49" s="58">
        <f t="shared" si="14"/>
        <v>1365</v>
      </c>
      <c r="T49" s="54" t="s">
        <v>183</v>
      </c>
      <c r="U49" t="str">
        <f t="shared" si="15"/>
        <v/>
      </c>
      <c r="V49" t="s">
        <v>183</v>
      </c>
      <c r="W49" s="58" t="str">
        <f t="shared" si="16"/>
        <v/>
      </c>
      <c r="X49" s="54" t="s">
        <v>183</v>
      </c>
      <c r="Y49" t="str">
        <f t="shared" si="17"/>
        <v/>
      </c>
      <c r="Z49" t="s">
        <v>183</v>
      </c>
      <c r="AA49" s="58" t="str">
        <f t="shared" si="18"/>
        <v/>
      </c>
      <c r="AB49" s="54" t="s">
        <v>183</v>
      </c>
      <c r="AC49" t="str">
        <f t="shared" si="19"/>
        <v/>
      </c>
      <c r="AD49" t="s">
        <v>183</v>
      </c>
      <c r="AE49" s="66" t="str">
        <f t="shared" si="20"/>
        <v/>
      </c>
      <c r="AF49">
        <f t="shared" si="21"/>
        <v>1</v>
      </c>
      <c r="AG49">
        <f t="shared" si="22"/>
        <v>0</v>
      </c>
      <c r="AH49">
        <f t="shared" si="23"/>
        <v>0</v>
      </c>
      <c r="AI49">
        <f t="shared" si="24"/>
        <v>0</v>
      </c>
      <c r="AJ49">
        <f t="shared" si="25"/>
        <v>0</v>
      </c>
      <c r="AK49">
        <f t="shared" si="26"/>
        <v>0</v>
      </c>
      <c r="AL49" s="58">
        <f t="shared" si="27"/>
        <v>0</v>
      </c>
      <c r="AM49">
        <f t="shared" si="28"/>
        <v>1</v>
      </c>
      <c r="AN49" s="279"/>
    </row>
    <row r="50" spans="1:42" x14ac:dyDescent="0.35">
      <c r="A50" s="65">
        <v>28</v>
      </c>
      <c r="B50" t="s">
        <v>52</v>
      </c>
      <c r="C50" s="276">
        <v>40906</v>
      </c>
      <c r="D50" s="54"/>
      <c r="E50" t="str">
        <f t="shared" si="7"/>
        <v/>
      </c>
      <c r="F50" t="s">
        <v>183</v>
      </c>
      <c r="G50" s="58" t="str">
        <f t="shared" si="8"/>
        <v/>
      </c>
      <c r="H50" s="54">
        <v>5</v>
      </c>
      <c r="I50">
        <f t="shared" si="9"/>
        <v>1775</v>
      </c>
      <c r="J50">
        <v>5</v>
      </c>
      <c r="K50" s="58">
        <f t="shared" si="10"/>
        <v>1245</v>
      </c>
      <c r="L50" s="54"/>
      <c r="M50" t="str">
        <f t="shared" si="11"/>
        <v/>
      </c>
      <c r="N50" t="s">
        <v>183</v>
      </c>
      <c r="O50" s="58" t="str">
        <f t="shared" si="12"/>
        <v/>
      </c>
      <c r="P50" s="54" t="s">
        <v>183</v>
      </c>
      <c r="Q50" t="str">
        <f t="shared" si="13"/>
        <v/>
      </c>
      <c r="R50" t="s">
        <v>183</v>
      </c>
      <c r="S50" s="58" t="str">
        <f t="shared" si="14"/>
        <v/>
      </c>
      <c r="T50" s="54" t="s">
        <v>183</v>
      </c>
      <c r="U50" t="str">
        <f t="shared" si="15"/>
        <v/>
      </c>
      <c r="V50">
        <v>4</v>
      </c>
      <c r="W50" s="58">
        <f t="shared" si="16"/>
        <v>1440</v>
      </c>
      <c r="X50" s="54" t="s">
        <v>183</v>
      </c>
      <c r="Y50" t="str">
        <f t="shared" si="17"/>
        <v/>
      </c>
      <c r="Z50">
        <v>5</v>
      </c>
      <c r="AA50" s="58">
        <f t="shared" si="18"/>
        <v>1785</v>
      </c>
      <c r="AB50" s="54" t="s">
        <v>183</v>
      </c>
      <c r="AC50" t="str">
        <f t="shared" si="19"/>
        <v/>
      </c>
      <c r="AD50" t="s">
        <v>183</v>
      </c>
      <c r="AE50" s="66" t="str">
        <f t="shared" si="20"/>
        <v/>
      </c>
      <c r="AF50">
        <f t="shared" si="21"/>
        <v>0</v>
      </c>
      <c r="AG50">
        <f t="shared" si="22"/>
        <v>1</v>
      </c>
      <c r="AH50">
        <f t="shared" si="23"/>
        <v>0</v>
      </c>
      <c r="AI50">
        <f t="shared" si="24"/>
        <v>0</v>
      </c>
      <c r="AJ50">
        <f t="shared" si="25"/>
        <v>0</v>
      </c>
      <c r="AK50">
        <f t="shared" si="26"/>
        <v>0</v>
      </c>
      <c r="AL50" s="58">
        <f t="shared" si="27"/>
        <v>0</v>
      </c>
      <c r="AM50">
        <f t="shared" si="28"/>
        <v>1</v>
      </c>
      <c r="AN50" s="279"/>
    </row>
    <row r="51" spans="1:42" x14ac:dyDescent="0.35">
      <c r="A51" s="65">
        <v>29</v>
      </c>
      <c r="B51" t="s">
        <v>53</v>
      </c>
      <c r="C51" s="276">
        <v>40907</v>
      </c>
      <c r="D51" s="54"/>
      <c r="E51" t="str">
        <f t="shared" si="7"/>
        <v/>
      </c>
      <c r="F51" t="s">
        <v>183</v>
      </c>
      <c r="G51" s="58" t="str">
        <f t="shared" si="8"/>
        <v/>
      </c>
      <c r="H51" s="54"/>
      <c r="I51" t="str">
        <f t="shared" si="9"/>
        <v/>
      </c>
      <c r="J51" t="s">
        <v>183</v>
      </c>
      <c r="K51" s="58" t="str">
        <f t="shared" si="10"/>
        <v/>
      </c>
      <c r="L51" s="54"/>
      <c r="M51" t="str">
        <f t="shared" si="11"/>
        <v/>
      </c>
      <c r="N51" t="s">
        <v>183</v>
      </c>
      <c r="O51" s="58" t="str">
        <f t="shared" si="12"/>
        <v/>
      </c>
      <c r="P51" s="54" t="s">
        <v>183</v>
      </c>
      <c r="Q51" t="str">
        <f t="shared" si="13"/>
        <v/>
      </c>
      <c r="R51" t="s">
        <v>183</v>
      </c>
      <c r="S51" s="58" t="str">
        <f t="shared" si="14"/>
        <v/>
      </c>
      <c r="T51" s="54" t="s">
        <v>183</v>
      </c>
      <c r="U51" t="str">
        <f t="shared" si="15"/>
        <v/>
      </c>
      <c r="V51" t="s">
        <v>183</v>
      </c>
      <c r="W51" s="58" t="str">
        <f t="shared" si="16"/>
        <v/>
      </c>
      <c r="X51" s="54" t="s">
        <v>183</v>
      </c>
      <c r="Y51" t="str">
        <f t="shared" si="17"/>
        <v/>
      </c>
      <c r="Z51" t="s">
        <v>183</v>
      </c>
      <c r="AA51" s="58" t="str">
        <f t="shared" si="18"/>
        <v/>
      </c>
      <c r="AB51" s="54" t="s">
        <v>183</v>
      </c>
      <c r="AC51" t="str">
        <f t="shared" si="19"/>
        <v/>
      </c>
      <c r="AD51" t="s">
        <v>183</v>
      </c>
      <c r="AE51" s="66" t="str">
        <f t="shared" si="20"/>
        <v/>
      </c>
      <c r="AF51">
        <f t="shared" si="21"/>
        <v>0</v>
      </c>
      <c r="AG51">
        <f t="shared" si="22"/>
        <v>0</v>
      </c>
      <c r="AH51">
        <f t="shared" si="23"/>
        <v>0</v>
      </c>
      <c r="AI51">
        <f t="shared" si="24"/>
        <v>0</v>
      </c>
      <c r="AJ51">
        <f t="shared" si="25"/>
        <v>0</v>
      </c>
      <c r="AK51">
        <f t="shared" si="26"/>
        <v>0</v>
      </c>
      <c r="AL51" s="58">
        <f t="shared" si="27"/>
        <v>0</v>
      </c>
      <c r="AM51">
        <f t="shared" si="28"/>
        <v>0</v>
      </c>
      <c r="AN51" s="279"/>
    </row>
    <row r="52" spans="1:42" x14ac:dyDescent="0.35">
      <c r="A52" s="65">
        <v>30</v>
      </c>
      <c r="B52" t="s">
        <v>54</v>
      </c>
      <c r="C52" s="276">
        <v>40908</v>
      </c>
      <c r="D52" s="54"/>
      <c r="E52" t="str">
        <f t="shared" si="7"/>
        <v/>
      </c>
      <c r="F52" t="s">
        <v>183</v>
      </c>
      <c r="G52" s="58" t="str">
        <f t="shared" si="8"/>
        <v/>
      </c>
      <c r="H52" s="54"/>
      <c r="I52" t="str">
        <f t="shared" si="9"/>
        <v/>
      </c>
      <c r="J52" t="s">
        <v>183</v>
      </c>
      <c r="K52" s="58" t="str">
        <f t="shared" si="10"/>
        <v/>
      </c>
      <c r="L52" s="54">
        <v>4</v>
      </c>
      <c r="M52">
        <f t="shared" si="11"/>
        <v>1525</v>
      </c>
      <c r="N52">
        <v>4</v>
      </c>
      <c r="O52" s="58">
        <f t="shared" si="12"/>
        <v>975</v>
      </c>
      <c r="P52" s="54" t="s">
        <v>183</v>
      </c>
      <c r="Q52" t="str">
        <f t="shared" si="13"/>
        <v/>
      </c>
      <c r="R52" t="s">
        <v>183</v>
      </c>
      <c r="S52" s="58" t="str">
        <f t="shared" si="14"/>
        <v/>
      </c>
      <c r="T52" s="54" t="s">
        <v>183</v>
      </c>
      <c r="U52" t="str">
        <f t="shared" si="15"/>
        <v/>
      </c>
      <c r="V52" t="s">
        <v>183</v>
      </c>
      <c r="W52" s="58" t="str">
        <f t="shared" si="16"/>
        <v/>
      </c>
      <c r="X52" s="54" t="s">
        <v>183</v>
      </c>
      <c r="Y52" t="str">
        <f t="shared" si="17"/>
        <v/>
      </c>
      <c r="Z52" t="s">
        <v>183</v>
      </c>
      <c r="AA52" s="58" t="str">
        <f t="shared" si="18"/>
        <v/>
      </c>
      <c r="AB52" s="54" t="s">
        <v>183</v>
      </c>
      <c r="AC52" t="str">
        <f t="shared" si="19"/>
        <v/>
      </c>
      <c r="AD52" t="s">
        <v>183</v>
      </c>
      <c r="AE52" s="66" t="str">
        <f t="shared" si="20"/>
        <v/>
      </c>
      <c r="AF52">
        <f t="shared" si="21"/>
        <v>0</v>
      </c>
      <c r="AG52">
        <f t="shared" si="22"/>
        <v>0</v>
      </c>
      <c r="AH52">
        <f t="shared" si="23"/>
        <v>1</v>
      </c>
      <c r="AI52">
        <f t="shared" si="24"/>
        <v>0</v>
      </c>
      <c r="AJ52">
        <f t="shared" si="25"/>
        <v>0</v>
      </c>
      <c r="AK52">
        <f t="shared" si="26"/>
        <v>0</v>
      </c>
      <c r="AL52" s="58">
        <f t="shared" si="27"/>
        <v>0</v>
      </c>
      <c r="AM52">
        <f t="shared" si="28"/>
        <v>1</v>
      </c>
      <c r="AN52" s="279"/>
    </row>
    <row r="53" spans="1:42" x14ac:dyDescent="0.35">
      <c r="A53" s="65">
        <v>31</v>
      </c>
      <c r="B53" t="s">
        <v>55</v>
      </c>
      <c r="C53" s="276">
        <v>40909</v>
      </c>
      <c r="D53" s="54"/>
      <c r="E53" t="str">
        <f t="shared" si="7"/>
        <v/>
      </c>
      <c r="F53" t="s">
        <v>183</v>
      </c>
      <c r="G53" s="58" t="str">
        <f t="shared" si="8"/>
        <v/>
      </c>
      <c r="H53" s="54"/>
      <c r="I53" t="str">
        <f t="shared" si="9"/>
        <v/>
      </c>
      <c r="J53" t="s">
        <v>183</v>
      </c>
      <c r="K53" s="58" t="str">
        <f t="shared" si="10"/>
        <v/>
      </c>
      <c r="L53" s="54"/>
      <c r="M53" t="str">
        <f t="shared" si="11"/>
        <v/>
      </c>
      <c r="N53" t="s">
        <v>183</v>
      </c>
      <c r="O53" s="58" t="str">
        <f t="shared" si="12"/>
        <v/>
      </c>
      <c r="P53" s="54" t="s">
        <v>183</v>
      </c>
      <c r="Q53" t="str">
        <f t="shared" si="13"/>
        <v/>
      </c>
      <c r="R53" t="s">
        <v>183</v>
      </c>
      <c r="S53" s="58" t="str">
        <f t="shared" si="14"/>
        <v/>
      </c>
      <c r="T53" s="54" t="s">
        <v>183</v>
      </c>
      <c r="U53" t="str">
        <f t="shared" si="15"/>
        <v/>
      </c>
      <c r="V53" t="s">
        <v>183</v>
      </c>
      <c r="W53" s="58" t="str">
        <f t="shared" si="16"/>
        <v/>
      </c>
      <c r="X53" s="54" t="s">
        <v>183</v>
      </c>
      <c r="Y53" t="str">
        <f t="shared" si="17"/>
        <v/>
      </c>
      <c r="Z53" t="s">
        <v>183</v>
      </c>
      <c r="AA53" s="58" t="str">
        <f t="shared" si="18"/>
        <v/>
      </c>
      <c r="AB53" s="54" t="s">
        <v>183</v>
      </c>
      <c r="AC53" t="str">
        <f t="shared" si="19"/>
        <v/>
      </c>
      <c r="AD53" t="s">
        <v>183</v>
      </c>
      <c r="AE53" s="66" t="str">
        <f t="shared" si="20"/>
        <v/>
      </c>
      <c r="AF53">
        <f t="shared" si="21"/>
        <v>0</v>
      </c>
      <c r="AG53">
        <f t="shared" si="22"/>
        <v>0</v>
      </c>
      <c r="AH53">
        <f t="shared" si="23"/>
        <v>0</v>
      </c>
      <c r="AI53">
        <f t="shared" si="24"/>
        <v>0</v>
      </c>
      <c r="AJ53">
        <f t="shared" si="25"/>
        <v>0</v>
      </c>
      <c r="AK53">
        <f t="shared" si="26"/>
        <v>0</v>
      </c>
      <c r="AL53" s="58">
        <f t="shared" si="27"/>
        <v>0</v>
      </c>
      <c r="AM53">
        <f t="shared" si="28"/>
        <v>0</v>
      </c>
      <c r="AN53" s="279"/>
    </row>
    <row r="54" spans="1:42" x14ac:dyDescent="0.35">
      <c r="A54" s="65">
        <v>32</v>
      </c>
      <c r="B54" t="s">
        <v>56</v>
      </c>
      <c r="C54" s="276">
        <v>40910</v>
      </c>
      <c r="D54" s="54"/>
      <c r="E54" t="str">
        <f t="shared" si="7"/>
        <v/>
      </c>
      <c r="F54" t="s">
        <v>183</v>
      </c>
      <c r="G54" s="58" t="str">
        <f t="shared" si="8"/>
        <v/>
      </c>
      <c r="H54" s="54"/>
      <c r="I54" t="str">
        <f t="shared" si="9"/>
        <v/>
      </c>
      <c r="J54" t="s">
        <v>183</v>
      </c>
      <c r="K54" s="58" t="str">
        <f t="shared" si="10"/>
        <v/>
      </c>
      <c r="L54" s="54"/>
      <c r="M54" t="str">
        <f t="shared" si="11"/>
        <v/>
      </c>
      <c r="N54" t="s">
        <v>183</v>
      </c>
      <c r="O54" s="58" t="str">
        <f t="shared" si="12"/>
        <v/>
      </c>
      <c r="P54" s="54" t="s">
        <v>183</v>
      </c>
      <c r="Q54" t="str">
        <f t="shared" si="13"/>
        <v/>
      </c>
      <c r="R54" t="s">
        <v>183</v>
      </c>
      <c r="S54" s="58" t="str">
        <f t="shared" si="14"/>
        <v/>
      </c>
      <c r="T54" s="54" t="s">
        <v>183</v>
      </c>
      <c r="U54" t="str">
        <f t="shared" si="15"/>
        <v/>
      </c>
      <c r="V54" t="s">
        <v>183</v>
      </c>
      <c r="W54" s="58" t="str">
        <f t="shared" si="16"/>
        <v/>
      </c>
      <c r="X54" s="54" t="s">
        <v>183</v>
      </c>
      <c r="Y54" t="str">
        <f t="shared" si="17"/>
        <v/>
      </c>
      <c r="Z54" t="s">
        <v>183</v>
      </c>
      <c r="AA54" s="58" t="str">
        <f t="shared" si="18"/>
        <v/>
      </c>
      <c r="AB54" s="54" t="s">
        <v>183</v>
      </c>
      <c r="AC54" t="str">
        <f t="shared" si="19"/>
        <v/>
      </c>
      <c r="AD54" t="s">
        <v>183</v>
      </c>
      <c r="AE54" s="66" t="str">
        <f t="shared" si="20"/>
        <v/>
      </c>
      <c r="AF54">
        <f t="shared" si="21"/>
        <v>0</v>
      </c>
      <c r="AG54">
        <f t="shared" si="22"/>
        <v>0</v>
      </c>
      <c r="AH54">
        <f t="shared" si="23"/>
        <v>0</v>
      </c>
      <c r="AI54">
        <f t="shared" si="24"/>
        <v>0</v>
      </c>
      <c r="AJ54">
        <f t="shared" si="25"/>
        <v>0</v>
      </c>
      <c r="AK54">
        <f t="shared" si="26"/>
        <v>0</v>
      </c>
      <c r="AL54" s="58">
        <f t="shared" si="27"/>
        <v>0</v>
      </c>
      <c r="AM54">
        <f t="shared" si="28"/>
        <v>0</v>
      </c>
      <c r="AN54" s="279"/>
    </row>
    <row r="55" spans="1:42" x14ac:dyDescent="0.35">
      <c r="A55" s="65">
        <v>33</v>
      </c>
      <c r="B55" t="s">
        <v>57</v>
      </c>
      <c r="C55" s="276">
        <v>40911</v>
      </c>
      <c r="D55" s="54"/>
      <c r="E55" t="str">
        <f t="shared" si="7"/>
        <v/>
      </c>
      <c r="F55" t="s">
        <v>183</v>
      </c>
      <c r="G55" s="58" t="str">
        <f t="shared" si="8"/>
        <v/>
      </c>
      <c r="H55" s="54"/>
      <c r="I55" t="str">
        <f t="shared" si="9"/>
        <v/>
      </c>
      <c r="J55" t="s">
        <v>183</v>
      </c>
      <c r="K55" s="58" t="str">
        <f t="shared" si="10"/>
        <v/>
      </c>
      <c r="L55" s="54"/>
      <c r="M55" t="str">
        <f t="shared" si="11"/>
        <v/>
      </c>
      <c r="N55" t="s">
        <v>183</v>
      </c>
      <c r="O55" s="58" t="str">
        <f t="shared" si="12"/>
        <v/>
      </c>
      <c r="P55" s="54" t="s">
        <v>183</v>
      </c>
      <c r="Q55" t="str">
        <f t="shared" si="13"/>
        <v/>
      </c>
      <c r="R55" t="s">
        <v>183</v>
      </c>
      <c r="S55" s="58" t="str">
        <f t="shared" si="14"/>
        <v/>
      </c>
      <c r="T55" s="54" t="s">
        <v>183</v>
      </c>
      <c r="U55" t="str">
        <f t="shared" si="15"/>
        <v/>
      </c>
      <c r="V55" t="s">
        <v>183</v>
      </c>
      <c r="W55" s="58" t="str">
        <f t="shared" si="16"/>
        <v/>
      </c>
      <c r="X55" s="54">
        <v>6</v>
      </c>
      <c r="Y55">
        <f t="shared" si="17"/>
        <v>1740</v>
      </c>
      <c r="Z55" t="s">
        <v>183</v>
      </c>
      <c r="AA55" s="58" t="str">
        <f t="shared" si="18"/>
        <v/>
      </c>
      <c r="AB55" s="54" t="s">
        <v>183</v>
      </c>
      <c r="AC55" t="str">
        <f t="shared" si="19"/>
        <v/>
      </c>
      <c r="AD55" t="s">
        <v>183</v>
      </c>
      <c r="AE55" s="66" t="str">
        <f t="shared" si="20"/>
        <v/>
      </c>
      <c r="AF55">
        <f t="shared" si="21"/>
        <v>0</v>
      </c>
      <c r="AG55">
        <f t="shared" si="22"/>
        <v>0</v>
      </c>
      <c r="AH55">
        <f t="shared" si="23"/>
        <v>0</v>
      </c>
      <c r="AI55">
        <f t="shared" si="24"/>
        <v>0</v>
      </c>
      <c r="AJ55">
        <f t="shared" si="25"/>
        <v>0</v>
      </c>
      <c r="AK55">
        <f t="shared" si="26"/>
        <v>1</v>
      </c>
      <c r="AL55" s="58">
        <f t="shared" si="27"/>
        <v>0</v>
      </c>
      <c r="AM55">
        <f t="shared" si="28"/>
        <v>1</v>
      </c>
      <c r="AN55" s="279"/>
    </row>
    <row r="56" spans="1:42" x14ac:dyDescent="0.35">
      <c r="A56" s="65">
        <v>34</v>
      </c>
      <c r="B56" t="s">
        <v>58</v>
      </c>
      <c r="C56" s="276">
        <v>40912</v>
      </c>
      <c r="D56" s="54"/>
      <c r="E56" t="str">
        <f t="shared" si="7"/>
        <v/>
      </c>
      <c r="F56" t="s">
        <v>183</v>
      </c>
      <c r="G56" s="58" t="str">
        <f t="shared" si="8"/>
        <v/>
      </c>
      <c r="H56" s="54"/>
      <c r="I56" t="str">
        <f t="shared" si="9"/>
        <v/>
      </c>
      <c r="J56" t="s">
        <v>183</v>
      </c>
      <c r="K56" s="58" t="str">
        <f t="shared" si="10"/>
        <v/>
      </c>
      <c r="L56" s="54"/>
      <c r="M56" t="str">
        <f t="shared" si="11"/>
        <v/>
      </c>
      <c r="N56" t="s">
        <v>183</v>
      </c>
      <c r="O56" s="58" t="str">
        <f t="shared" si="12"/>
        <v/>
      </c>
      <c r="P56" s="54" t="s">
        <v>183</v>
      </c>
      <c r="Q56" t="str">
        <f t="shared" si="13"/>
        <v/>
      </c>
      <c r="R56" t="s">
        <v>183</v>
      </c>
      <c r="S56" s="58" t="str">
        <f t="shared" si="14"/>
        <v/>
      </c>
      <c r="T56" s="54" t="s">
        <v>183</v>
      </c>
      <c r="U56" t="str">
        <f t="shared" si="15"/>
        <v/>
      </c>
      <c r="V56" t="s">
        <v>183</v>
      </c>
      <c r="W56" s="58" t="str">
        <f t="shared" si="16"/>
        <v/>
      </c>
      <c r="X56" s="54" t="s">
        <v>183</v>
      </c>
      <c r="Y56" t="str">
        <f t="shared" si="17"/>
        <v/>
      </c>
      <c r="Z56" t="s">
        <v>183</v>
      </c>
      <c r="AA56" s="58" t="str">
        <f t="shared" si="18"/>
        <v/>
      </c>
      <c r="AB56" s="54" t="s">
        <v>183</v>
      </c>
      <c r="AC56" t="str">
        <f t="shared" si="19"/>
        <v/>
      </c>
      <c r="AD56" t="s">
        <v>183</v>
      </c>
      <c r="AE56" s="66" t="str">
        <f t="shared" si="20"/>
        <v/>
      </c>
      <c r="AF56">
        <f t="shared" si="21"/>
        <v>0</v>
      </c>
      <c r="AG56">
        <f t="shared" si="22"/>
        <v>0</v>
      </c>
      <c r="AH56">
        <f t="shared" si="23"/>
        <v>0</v>
      </c>
      <c r="AI56">
        <f t="shared" si="24"/>
        <v>0</v>
      </c>
      <c r="AJ56">
        <f t="shared" si="25"/>
        <v>0</v>
      </c>
      <c r="AK56">
        <f t="shared" si="26"/>
        <v>0</v>
      </c>
      <c r="AL56" s="58">
        <f t="shared" si="27"/>
        <v>0</v>
      </c>
      <c r="AM56">
        <f t="shared" si="28"/>
        <v>0</v>
      </c>
      <c r="AN56" s="279"/>
    </row>
    <row r="57" spans="1:42" x14ac:dyDescent="0.35">
      <c r="A57" s="65">
        <v>35</v>
      </c>
      <c r="B57" t="s">
        <v>52</v>
      </c>
      <c r="C57" s="276">
        <v>40913</v>
      </c>
      <c r="D57" s="54"/>
      <c r="E57" t="str">
        <f t="shared" si="7"/>
        <v/>
      </c>
      <c r="F57" t="s">
        <v>183</v>
      </c>
      <c r="G57" s="58" t="str">
        <f t="shared" si="8"/>
        <v/>
      </c>
      <c r="H57" s="54"/>
      <c r="I57" t="str">
        <f t="shared" si="9"/>
        <v/>
      </c>
      <c r="J57" t="s">
        <v>183</v>
      </c>
      <c r="K57" s="58" t="str">
        <f t="shared" si="10"/>
        <v/>
      </c>
      <c r="L57" s="54">
        <v>5</v>
      </c>
      <c r="M57">
        <f t="shared" si="11"/>
        <v>1770</v>
      </c>
      <c r="N57">
        <v>5</v>
      </c>
      <c r="O57" s="58">
        <f t="shared" si="12"/>
        <v>1275</v>
      </c>
      <c r="P57" s="54">
        <v>5</v>
      </c>
      <c r="Q57">
        <f t="shared" si="13"/>
        <v>1875</v>
      </c>
      <c r="R57" t="s">
        <v>183</v>
      </c>
      <c r="S57" s="58" t="str">
        <f t="shared" si="14"/>
        <v/>
      </c>
      <c r="T57" s="54" t="s">
        <v>183</v>
      </c>
      <c r="U57" t="str">
        <f t="shared" si="15"/>
        <v/>
      </c>
      <c r="V57" t="s">
        <v>183</v>
      </c>
      <c r="W57" s="58" t="str">
        <f t="shared" si="16"/>
        <v/>
      </c>
      <c r="X57" s="54" t="s">
        <v>183</v>
      </c>
      <c r="Y57" t="str">
        <f t="shared" si="17"/>
        <v/>
      </c>
      <c r="Z57" t="s">
        <v>183</v>
      </c>
      <c r="AA57" s="58" t="str">
        <f t="shared" si="18"/>
        <v/>
      </c>
      <c r="AB57" s="54" t="s">
        <v>183</v>
      </c>
      <c r="AC57" t="str">
        <f t="shared" si="19"/>
        <v/>
      </c>
      <c r="AD57">
        <v>1</v>
      </c>
      <c r="AE57" s="66">
        <f t="shared" si="20"/>
        <v>1380</v>
      </c>
      <c r="AF57">
        <f t="shared" si="21"/>
        <v>0</v>
      </c>
      <c r="AG57">
        <f t="shared" si="22"/>
        <v>0</v>
      </c>
      <c r="AH57">
        <f t="shared" si="23"/>
        <v>1</v>
      </c>
      <c r="AI57">
        <f t="shared" si="24"/>
        <v>1</v>
      </c>
      <c r="AJ57">
        <f t="shared" si="25"/>
        <v>0</v>
      </c>
      <c r="AK57">
        <f t="shared" si="26"/>
        <v>0</v>
      </c>
      <c r="AL57" s="58">
        <f t="shared" si="27"/>
        <v>0</v>
      </c>
      <c r="AM57">
        <f t="shared" si="28"/>
        <v>2</v>
      </c>
      <c r="AN57" s="279"/>
      <c r="AO57">
        <f>SUM(AM25:AM56)</f>
        <v>33</v>
      </c>
      <c r="AP57">
        <f>(AC24-AE57)/AC24</f>
        <v>6.7567567567567571E-2</v>
      </c>
    </row>
    <row r="58" spans="1:42" x14ac:dyDescent="0.35">
      <c r="A58" s="65">
        <v>36</v>
      </c>
      <c r="B58" t="s">
        <v>53</v>
      </c>
      <c r="C58" s="276">
        <v>40914</v>
      </c>
      <c r="D58" s="54"/>
      <c r="E58" t="str">
        <f t="shared" si="7"/>
        <v/>
      </c>
      <c r="F58" t="s">
        <v>183</v>
      </c>
      <c r="G58" s="58" t="str">
        <f t="shared" si="8"/>
        <v/>
      </c>
      <c r="H58" s="54"/>
      <c r="I58" t="str">
        <f t="shared" si="9"/>
        <v/>
      </c>
      <c r="J58" t="s">
        <v>183</v>
      </c>
      <c r="K58" s="58" t="str">
        <f t="shared" si="10"/>
        <v/>
      </c>
      <c r="L58" s="54"/>
      <c r="M58" t="str">
        <f t="shared" si="11"/>
        <v/>
      </c>
      <c r="N58" t="s">
        <v>183</v>
      </c>
      <c r="O58" s="58" t="str">
        <f t="shared" si="12"/>
        <v/>
      </c>
      <c r="P58" s="54" t="s">
        <v>183</v>
      </c>
      <c r="Q58" t="str">
        <f t="shared" si="13"/>
        <v/>
      </c>
      <c r="R58">
        <v>5</v>
      </c>
      <c r="S58" s="58">
        <f t="shared" si="14"/>
        <v>1410</v>
      </c>
      <c r="T58" s="54">
        <v>5</v>
      </c>
      <c r="U58">
        <f t="shared" si="15"/>
        <v>1830</v>
      </c>
      <c r="V58" t="s">
        <v>183</v>
      </c>
      <c r="W58" s="58" t="str">
        <f t="shared" si="16"/>
        <v/>
      </c>
      <c r="X58" s="54" t="s">
        <v>183</v>
      </c>
      <c r="Y58" t="str">
        <f t="shared" si="17"/>
        <v/>
      </c>
      <c r="Z58" t="s">
        <v>183</v>
      </c>
      <c r="AA58" s="58" t="str">
        <f t="shared" si="18"/>
        <v/>
      </c>
      <c r="AB58" s="54" t="s">
        <v>183</v>
      </c>
      <c r="AC58" t="str">
        <f t="shared" si="19"/>
        <v/>
      </c>
      <c r="AD58" t="s">
        <v>183</v>
      </c>
      <c r="AE58" s="66" t="str">
        <f t="shared" si="20"/>
        <v/>
      </c>
      <c r="AF58">
        <f t="shared" si="21"/>
        <v>0</v>
      </c>
      <c r="AG58">
        <f t="shared" si="22"/>
        <v>0</v>
      </c>
      <c r="AH58">
        <f t="shared" si="23"/>
        <v>0</v>
      </c>
      <c r="AI58">
        <f t="shared" si="24"/>
        <v>0</v>
      </c>
      <c r="AJ58">
        <f t="shared" si="25"/>
        <v>1</v>
      </c>
      <c r="AK58">
        <f t="shared" si="26"/>
        <v>0</v>
      </c>
      <c r="AL58" s="58">
        <f t="shared" si="27"/>
        <v>0</v>
      </c>
      <c r="AM58">
        <f t="shared" si="28"/>
        <v>1</v>
      </c>
      <c r="AN58" s="279"/>
    </row>
    <row r="59" spans="1:42" x14ac:dyDescent="0.35">
      <c r="A59" s="65">
        <v>37</v>
      </c>
      <c r="B59" t="s">
        <v>54</v>
      </c>
      <c r="C59" s="276">
        <v>40915</v>
      </c>
      <c r="D59" s="54">
        <v>6</v>
      </c>
      <c r="E59">
        <f t="shared" si="7"/>
        <v>1815</v>
      </c>
      <c r="F59">
        <v>6</v>
      </c>
      <c r="G59" s="58">
        <f t="shared" si="8"/>
        <v>1345</v>
      </c>
      <c r="H59" s="54"/>
      <c r="I59" t="str">
        <f t="shared" si="9"/>
        <v/>
      </c>
      <c r="J59" t="s">
        <v>183</v>
      </c>
      <c r="K59" s="58" t="str">
        <f t="shared" si="10"/>
        <v/>
      </c>
      <c r="L59" s="54"/>
      <c r="M59" t="str">
        <f t="shared" si="11"/>
        <v/>
      </c>
      <c r="N59" t="s">
        <v>183</v>
      </c>
      <c r="O59" s="58" t="str">
        <f t="shared" si="12"/>
        <v/>
      </c>
      <c r="P59" s="54" t="s">
        <v>183</v>
      </c>
      <c r="Q59" t="str">
        <f t="shared" si="13"/>
        <v/>
      </c>
      <c r="R59" t="s">
        <v>183</v>
      </c>
      <c r="S59" s="58" t="str">
        <f t="shared" si="14"/>
        <v/>
      </c>
      <c r="T59" s="54" t="s">
        <v>183</v>
      </c>
      <c r="U59" t="str">
        <f t="shared" si="15"/>
        <v/>
      </c>
      <c r="V59" t="s">
        <v>183</v>
      </c>
      <c r="W59" s="58" t="str">
        <f t="shared" si="16"/>
        <v/>
      </c>
      <c r="X59" s="54">
        <v>7</v>
      </c>
      <c r="Y59">
        <f t="shared" si="17"/>
        <v>1710</v>
      </c>
      <c r="Z59" t="s">
        <v>183</v>
      </c>
      <c r="AA59" s="58" t="str">
        <f t="shared" si="18"/>
        <v/>
      </c>
      <c r="AB59" s="54" t="s">
        <v>183</v>
      </c>
      <c r="AC59" t="str">
        <f t="shared" si="19"/>
        <v/>
      </c>
      <c r="AD59" t="s">
        <v>183</v>
      </c>
      <c r="AE59" s="66" t="str">
        <f t="shared" si="20"/>
        <v/>
      </c>
      <c r="AF59">
        <f t="shared" si="21"/>
        <v>1</v>
      </c>
      <c r="AG59">
        <f t="shared" si="22"/>
        <v>0</v>
      </c>
      <c r="AH59">
        <f t="shared" si="23"/>
        <v>0</v>
      </c>
      <c r="AI59">
        <f t="shared" si="24"/>
        <v>0</v>
      </c>
      <c r="AJ59">
        <f t="shared" si="25"/>
        <v>0</v>
      </c>
      <c r="AK59">
        <f t="shared" si="26"/>
        <v>1</v>
      </c>
      <c r="AL59" s="58">
        <f t="shared" si="27"/>
        <v>0</v>
      </c>
      <c r="AM59">
        <f t="shared" si="28"/>
        <v>2</v>
      </c>
      <c r="AN59" s="279"/>
    </row>
    <row r="60" spans="1:42" x14ac:dyDescent="0.35">
      <c r="A60" s="65">
        <v>38</v>
      </c>
      <c r="B60" t="s">
        <v>55</v>
      </c>
      <c r="C60" s="276">
        <v>40916</v>
      </c>
      <c r="D60" s="54"/>
      <c r="E60" t="str">
        <f t="shared" si="7"/>
        <v/>
      </c>
      <c r="F60" t="s">
        <v>183</v>
      </c>
      <c r="G60" s="58" t="str">
        <f t="shared" si="8"/>
        <v/>
      </c>
      <c r="H60" s="54"/>
      <c r="I60" t="str">
        <f t="shared" si="9"/>
        <v/>
      </c>
      <c r="J60" t="s">
        <v>183</v>
      </c>
      <c r="K60" s="58" t="str">
        <f t="shared" si="10"/>
        <v/>
      </c>
      <c r="L60" s="54"/>
      <c r="M60" t="str">
        <f t="shared" si="11"/>
        <v/>
      </c>
      <c r="N60" t="s">
        <v>183</v>
      </c>
      <c r="O60" s="58" t="str">
        <f t="shared" si="12"/>
        <v/>
      </c>
      <c r="P60" s="54" t="s">
        <v>183</v>
      </c>
      <c r="Q60" t="str">
        <f t="shared" si="13"/>
        <v/>
      </c>
      <c r="R60" t="s">
        <v>183</v>
      </c>
      <c r="S60" s="58" t="str">
        <f t="shared" si="14"/>
        <v/>
      </c>
      <c r="T60" s="54" t="s">
        <v>183</v>
      </c>
      <c r="U60" t="str">
        <f t="shared" si="15"/>
        <v/>
      </c>
      <c r="V60">
        <v>5</v>
      </c>
      <c r="W60" s="58">
        <f t="shared" si="16"/>
        <v>1500</v>
      </c>
      <c r="X60" s="54" t="s">
        <v>183</v>
      </c>
      <c r="Y60" t="str">
        <f t="shared" si="17"/>
        <v/>
      </c>
      <c r="Z60" t="s">
        <v>183</v>
      </c>
      <c r="AA60" s="58" t="str">
        <f t="shared" si="18"/>
        <v/>
      </c>
      <c r="AB60" s="54" t="s">
        <v>183</v>
      </c>
      <c r="AC60" t="str">
        <f t="shared" si="19"/>
        <v/>
      </c>
      <c r="AD60" t="s">
        <v>183</v>
      </c>
      <c r="AE60" s="66" t="str">
        <f t="shared" si="20"/>
        <v/>
      </c>
      <c r="AF60">
        <f t="shared" si="21"/>
        <v>0</v>
      </c>
      <c r="AG60">
        <f t="shared" si="22"/>
        <v>0</v>
      </c>
      <c r="AH60">
        <f t="shared" si="23"/>
        <v>0</v>
      </c>
      <c r="AI60">
        <f t="shared" si="24"/>
        <v>0</v>
      </c>
      <c r="AJ60">
        <f t="shared" si="25"/>
        <v>0</v>
      </c>
      <c r="AK60">
        <f t="shared" si="26"/>
        <v>0</v>
      </c>
      <c r="AL60" s="58">
        <f t="shared" si="27"/>
        <v>0</v>
      </c>
      <c r="AM60">
        <f t="shared" si="28"/>
        <v>0</v>
      </c>
      <c r="AN60" s="279"/>
    </row>
    <row r="61" spans="1:42" x14ac:dyDescent="0.35">
      <c r="A61" s="65">
        <v>39</v>
      </c>
      <c r="B61" t="s">
        <v>56</v>
      </c>
      <c r="C61" s="276">
        <v>40917</v>
      </c>
      <c r="D61" s="54"/>
      <c r="E61" t="str">
        <f t="shared" si="7"/>
        <v/>
      </c>
      <c r="F61" t="s">
        <v>183</v>
      </c>
      <c r="G61" s="58" t="str">
        <f t="shared" si="8"/>
        <v/>
      </c>
      <c r="H61" s="54"/>
      <c r="I61" t="str">
        <f t="shared" si="9"/>
        <v/>
      </c>
      <c r="J61" t="s">
        <v>183</v>
      </c>
      <c r="K61" s="58" t="str">
        <f t="shared" si="10"/>
        <v/>
      </c>
      <c r="L61" s="54"/>
      <c r="M61" t="str">
        <f t="shared" si="11"/>
        <v/>
      </c>
      <c r="N61" t="s">
        <v>183</v>
      </c>
      <c r="O61" s="58" t="str">
        <f t="shared" si="12"/>
        <v/>
      </c>
      <c r="P61" s="54" t="s">
        <v>183</v>
      </c>
      <c r="Q61" t="str">
        <f t="shared" si="13"/>
        <v/>
      </c>
      <c r="R61" t="s">
        <v>183</v>
      </c>
      <c r="S61" s="58" t="str">
        <f t="shared" si="14"/>
        <v/>
      </c>
      <c r="T61" s="54" t="s">
        <v>183</v>
      </c>
      <c r="U61" t="str">
        <f t="shared" si="15"/>
        <v/>
      </c>
      <c r="V61" t="s">
        <v>183</v>
      </c>
      <c r="W61" s="58" t="str">
        <f t="shared" si="16"/>
        <v/>
      </c>
      <c r="X61" s="54" t="s">
        <v>183</v>
      </c>
      <c r="Y61" t="str">
        <f t="shared" si="17"/>
        <v/>
      </c>
      <c r="Z61">
        <v>6</v>
      </c>
      <c r="AA61" s="58">
        <f t="shared" si="18"/>
        <v>1585</v>
      </c>
      <c r="AB61" s="54" t="s">
        <v>183</v>
      </c>
      <c r="AC61" t="str">
        <f t="shared" si="19"/>
        <v/>
      </c>
      <c r="AD61">
        <v>2</v>
      </c>
      <c r="AE61" s="66">
        <f t="shared" si="20"/>
        <v>1450</v>
      </c>
      <c r="AF61">
        <f t="shared" si="21"/>
        <v>0</v>
      </c>
      <c r="AG61">
        <f t="shared" si="22"/>
        <v>0</v>
      </c>
      <c r="AH61">
        <f t="shared" si="23"/>
        <v>0</v>
      </c>
      <c r="AI61">
        <f t="shared" si="24"/>
        <v>0</v>
      </c>
      <c r="AJ61">
        <f t="shared" si="25"/>
        <v>0</v>
      </c>
      <c r="AK61">
        <f t="shared" si="26"/>
        <v>0</v>
      </c>
      <c r="AL61" s="58">
        <f t="shared" si="27"/>
        <v>0</v>
      </c>
      <c r="AM61">
        <f t="shared" si="28"/>
        <v>0</v>
      </c>
      <c r="AN61" s="279"/>
      <c r="AO61">
        <f>SUM(AM31:AM60)</f>
        <v>33</v>
      </c>
      <c r="AP61">
        <f>(AC30-AE61)/AC30</f>
        <v>0.13690476190476192</v>
      </c>
    </row>
    <row r="62" spans="1:42" x14ac:dyDescent="0.35">
      <c r="A62" s="65">
        <v>40</v>
      </c>
      <c r="B62" t="s">
        <v>57</v>
      </c>
      <c r="C62" s="276">
        <v>40918</v>
      </c>
      <c r="D62" s="54"/>
      <c r="E62" t="str">
        <f t="shared" si="7"/>
        <v/>
      </c>
      <c r="F62" t="s">
        <v>183</v>
      </c>
      <c r="G62" s="58" t="str">
        <f t="shared" si="8"/>
        <v/>
      </c>
      <c r="H62" s="54">
        <v>6</v>
      </c>
      <c r="I62">
        <f t="shared" si="9"/>
        <v>1765</v>
      </c>
      <c r="J62">
        <v>6</v>
      </c>
      <c r="K62" s="58">
        <f t="shared" si="10"/>
        <v>1170</v>
      </c>
      <c r="L62" s="54"/>
      <c r="M62" t="str">
        <f t="shared" si="11"/>
        <v/>
      </c>
      <c r="N62" t="s">
        <v>183</v>
      </c>
      <c r="O62" s="58" t="str">
        <f t="shared" si="12"/>
        <v/>
      </c>
      <c r="P62" s="54" t="s">
        <v>183</v>
      </c>
      <c r="Q62" t="str">
        <f t="shared" si="13"/>
        <v/>
      </c>
      <c r="R62" t="s">
        <v>183</v>
      </c>
      <c r="S62" s="58" t="str">
        <f t="shared" si="14"/>
        <v/>
      </c>
      <c r="T62" s="54" t="s">
        <v>183</v>
      </c>
      <c r="U62" t="str">
        <f t="shared" si="15"/>
        <v/>
      </c>
      <c r="V62" t="s">
        <v>183</v>
      </c>
      <c r="W62" s="58" t="str">
        <f t="shared" si="16"/>
        <v/>
      </c>
      <c r="X62" s="54" t="s">
        <v>183</v>
      </c>
      <c r="Y62" t="str">
        <f t="shared" si="17"/>
        <v/>
      </c>
      <c r="Z62" t="s">
        <v>183</v>
      </c>
      <c r="AA62" s="58" t="str">
        <f t="shared" si="18"/>
        <v/>
      </c>
      <c r="AB62" s="54" t="s">
        <v>183</v>
      </c>
      <c r="AC62" t="str">
        <f t="shared" si="19"/>
        <v/>
      </c>
      <c r="AD62">
        <v>3</v>
      </c>
      <c r="AE62" s="66">
        <f t="shared" si="20"/>
        <v>1530</v>
      </c>
      <c r="AF62">
        <f t="shared" si="21"/>
        <v>0</v>
      </c>
      <c r="AG62">
        <f t="shared" si="22"/>
        <v>1</v>
      </c>
      <c r="AH62">
        <f t="shared" si="23"/>
        <v>0</v>
      </c>
      <c r="AI62">
        <f t="shared" si="24"/>
        <v>0</v>
      </c>
      <c r="AJ62">
        <f t="shared" si="25"/>
        <v>0</v>
      </c>
      <c r="AK62">
        <f t="shared" si="26"/>
        <v>0</v>
      </c>
      <c r="AL62" s="58">
        <f t="shared" si="27"/>
        <v>0</v>
      </c>
      <c r="AM62">
        <f t="shared" si="28"/>
        <v>1</v>
      </c>
      <c r="AN62" s="279"/>
      <c r="AO62">
        <f>SUM(AM32:AM61)</f>
        <v>31</v>
      </c>
      <c r="AP62">
        <f>(AC31-AE62)/AC31</f>
        <v>0.13559322033898305</v>
      </c>
    </row>
    <row r="63" spans="1:42" x14ac:dyDescent="0.35">
      <c r="A63" s="65">
        <v>41</v>
      </c>
      <c r="B63" t="s">
        <v>58</v>
      </c>
      <c r="C63" s="276">
        <v>40919</v>
      </c>
      <c r="D63" s="54"/>
      <c r="E63" t="str">
        <f t="shared" si="7"/>
        <v/>
      </c>
      <c r="F63" t="s">
        <v>183</v>
      </c>
      <c r="G63" s="58" t="str">
        <f t="shared" si="8"/>
        <v/>
      </c>
      <c r="H63" s="54"/>
      <c r="I63" t="str">
        <f t="shared" si="9"/>
        <v/>
      </c>
      <c r="J63" t="s">
        <v>183</v>
      </c>
      <c r="K63" s="58" t="str">
        <f t="shared" si="10"/>
        <v/>
      </c>
      <c r="L63" s="54"/>
      <c r="M63" t="str">
        <f t="shared" si="11"/>
        <v/>
      </c>
      <c r="N63" t="s">
        <v>183</v>
      </c>
      <c r="O63" s="58" t="str">
        <f t="shared" si="12"/>
        <v/>
      </c>
      <c r="P63" s="54">
        <v>6</v>
      </c>
      <c r="Q63">
        <f t="shared" si="13"/>
        <v>1710</v>
      </c>
      <c r="R63" t="s">
        <v>183</v>
      </c>
      <c r="S63" s="58" t="str">
        <f t="shared" si="14"/>
        <v/>
      </c>
      <c r="T63" s="54" t="s">
        <v>183</v>
      </c>
      <c r="U63" t="str">
        <f t="shared" si="15"/>
        <v/>
      </c>
      <c r="V63" t="s">
        <v>183</v>
      </c>
      <c r="W63" s="58" t="str">
        <f t="shared" si="16"/>
        <v/>
      </c>
      <c r="X63" s="54">
        <v>8</v>
      </c>
      <c r="Y63">
        <f t="shared" si="17"/>
        <v>2025</v>
      </c>
      <c r="Z63" t="s">
        <v>183</v>
      </c>
      <c r="AA63" s="58" t="str">
        <f t="shared" si="18"/>
        <v/>
      </c>
      <c r="AB63" s="54" t="s">
        <v>183</v>
      </c>
      <c r="AC63" t="str">
        <f t="shared" si="19"/>
        <v/>
      </c>
      <c r="AD63">
        <v>4</v>
      </c>
      <c r="AE63" s="66">
        <f t="shared" si="20"/>
        <v>1510</v>
      </c>
      <c r="AF63">
        <f t="shared" si="21"/>
        <v>0</v>
      </c>
      <c r="AG63">
        <f t="shared" si="22"/>
        <v>0</v>
      </c>
      <c r="AH63">
        <f t="shared" si="23"/>
        <v>0</v>
      </c>
      <c r="AI63">
        <f t="shared" si="24"/>
        <v>1</v>
      </c>
      <c r="AJ63">
        <f t="shared" si="25"/>
        <v>0</v>
      </c>
      <c r="AK63">
        <f t="shared" si="26"/>
        <v>1</v>
      </c>
      <c r="AL63" s="58">
        <f t="shared" si="27"/>
        <v>0</v>
      </c>
      <c r="AM63">
        <f t="shared" si="28"/>
        <v>2</v>
      </c>
      <c r="AN63" s="279"/>
      <c r="AO63">
        <f>SUM(AM33:AM62)</f>
        <v>30</v>
      </c>
      <c r="AP63">
        <f>(AC32-AE63)/AC32</f>
        <v>-4.8611111111111112E-2</v>
      </c>
    </row>
    <row r="64" spans="1:42" x14ac:dyDescent="0.35">
      <c r="A64" s="65">
        <v>42</v>
      </c>
      <c r="B64" t="s">
        <v>52</v>
      </c>
      <c r="C64" s="276">
        <v>40920</v>
      </c>
      <c r="D64" s="54"/>
      <c r="E64" t="str">
        <f t="shared" si="7"/>
        <v/>
      </c>
      <c r="F64" t="s">
        <v>183</v>
      </c>
      <c r="G64" s="58" t="str">
        <f t="shared" si="8"/>
        <v/>
      </c>
      <c r="H64" s="54"/>
      <c r="I64" t="str">
        <f t="shared" si="9"/>
        <v/>
      </c>
      <c r="J64" t="s">
        <v>183</v>
      </c>
      <c r="K64" s="58" t="str">
        <f t="shared" si="10"/>
        <v/>
      </c>
      <c r="L64" s="54"/>
      <c r="M64" t="str">
        <f t="shared" si="11"/>
        <v/>
      </c>
      <c r="N64" t="s">
        <v>183</v>
      </c>
      <c r="O64" s="58" t="str">
        <f t="shared" si="12"/>
        <v/>
      </c>
      <c r="P64" s="54" t="s">
        <v>183</v>
      </c>
      <c r="Q64" t="str">
        <f t="shared" si="13"/>
        <v/>
      </c>
      <c r="R64">
        <v>6</v>
      </c>
      <c r="S64" s="58">
        <f t="shared" si="14"/>
        <v>1215</v>
      </c>
      <c r="T64" s="54">
        <v>6</v>
      </c>
      <c r="U64">
        <f t="shared" si="15"/>
        <v>2130</v>
      </c>
      <c r="V64" t="s">
        <v>183</v>
      </c>
      <c r="W64" s="58" t="str">
        <f t="shared" si="16"/>
        <v/>
      </c>
      <c r="X64" s="54" t="s">
        <v>183</v>
      </c>
      <c r="Y64" t="str">
        <f t="shared" si="17"/>
        <v/>
      </c>
      <c r="Z64" t="s">
        <v>183</v>
      </c>
      <c r="AA64" s="58" t="str">
        <f t="shared" si="18"/>
        <v/>
      </c>
      <c r="AB64" s="54" t="s">
        <v>183</v>
      </c>
      <c r="AC64" t="str">
        <f t="shared" si="19"/>
        <v/>
      </c>
      <c r="AD64" t="s">
        <v>183</v>
      </c>
      <c r="AE64" s="66" t="str">
        <f t="shared" si="20"/>
        <v/>
      </c>
      <c r="AF64">
        <f t="shared" si="21"/>
        <v>0</v>
      </c>
      <c r="AG64">
        <f t="shared" si="22"/>
        <v>0</v>
      </c>
      <c r="AH64">
        <f t="shared" si="23"/>
        <v>0</v>
      </c>
      <c r="AI64">
        <f t="shared" si="24"/>
        <v>0</v>
      </c>
      <c r="AJ64">
        <f t="shared" si="25"/>
        <v>1</v>
      </c>
      <c r="AK64">
        <f t="shared" si="26"/>
        <v>0</v>
      </c>
      <c r="AL64" s="58">
        <f t="shared" si="27"/>
        <v>0</v>
      </c>
      <c r="AM64">
        <f t="shared" si="28"/>
        <v>1</v>
      </c>
      <c r="AN64" s="279"/>
    </row>
    <row r="65" spans="1:42" x14ac:dyDescent="0.35">
      <c r="A65" s="65">
        <v>43</v>
      </c>
      <c r="B65" t="s">
        <v>53</v>
      </c>
      <c r="C65" s="276">
        <v>40921</v>
      </c>
      <c r="D65" s="54"/>
      <c r="E65" t="str">
        <f t="shared" si="7"/>
        <v/>
      </c>
      <c r="F65" t="s">
        <v>183</v>
      </c>
      <c r="G65" s="58" t="str">
        <f t="shared" si="8"/>
        <v/>
      </c>
      <c r="H65" s="54">
        <v>7</v>
      </c>
      <c r="I65">
        <f t="shared" si="9"/>
        <v>1680</v>
      </c>
      <c r="J65">
        <v>7</v>
      </c>
      <c r="K65" s="58">
        <f t="shared" si="10"/>
        <v>1125</v>
      </c>
      <c r="L65" s="54"/>
      <c r="M65" t="str">
        <f t="shared" si="11"/>
        <v/>
      </c>
      <c r="N65" t="s">
        <v>183</v>
      </c>
      <c r="O65" s="58" t="str">
        <f t="shared" si="12"/>
        <v/>
      </c>
      <c r="P65" s="54" t="s">
        <v>183</v>
      </c>
      <c r="Q65" t="str">
        <f t="shared" si="13"/>
        <v/>
      </c>
      <c r="R65" t="s">
        <v>183</v>
      </c>
      <c r="S65" s="58" t="str">
        <f t="shared" si="14"/>
        <v/>
      </c>
      <c r="T65" s="54" t="s">
        <v>183</v>
      </c>
      <c r="U65" t="str">
        <f t="shared" si="15"/>
        <v/>
      </c>
      <c r="V65" t="s">
        <v>183</v>
      </c>
      <c r="W65" s="58" t="str">
        <f t="shared" si="16"/>
        <v/>
      </c>
      <c r="X65" s="54" t="s">
        <v>183</v>
      </c>
      <c r="Y65" t="str">
        <f t="shared" si="17"/>
        <v/>
      </c>
      <c r="Z65">
        <v>7</v>
      </c>
      <c r="AA65" s="58">
        <f t="shared" si="18"/>
        <v>1350</v>
      </c>
      <c r="AB65" s="54" t="s">
        <v>183</v>
      </c>
      <c r="AC65" t="str">
        <f t="shared" si="19"/>
        <v/>
      </c>
      <c r="AD65">
        <v>5</v>
      </c>
      <c r="AE65" s="66">
        <f t="shared" si="20"/>
        <v>1760</v>
      </c>
      <c r="AF65">
        <f t="shared" si="21"/>
        <v>0</v>
      </c>
      <c r="AG65">
        <f t="shared" si="22"/>
        <v>1</v>
      </c>
      <c r="AH65">
        <f t="shared" si="23"/>
        <v>0</v>
      </c>
      <c r="AI65">
        <f t="shared" si="24"/>
        <v>0</v>
      </c>
      <c r="AJ65">
        <f t="shared" si="25"/>
        <v>0</v>
      </c>
      <c r="AK65">
        <f t="shared" si="26"/>
        <v>0</v>
      </c>
      <c r="AL65" s="58">
        <f t="shared" si="27"/>
        <v>0</v>
      </c>
      <c r="AM65">
        <f t="shared" si="28"/>
        <v>1</v>
      </c>
      <c r="AN65" s="279"/>
      <c r="AO65">
        <f>SUM(AM36:AM64)</f>
        <v>28</v>
      </c>
      <c r="AP65">
        <f>(AC35-AE65)/AC35</f>
        <v>-6.6666666666666666E-2</v>
      </c>
    </row>
    <row r="66" spans="1:42" x14ac:dyDescent="0.35">
      <c r="A66" s="65">
        <v>44</v>
      </c>
      <c r="B66" t="s">
        <v>54</v>
      </c>
      <c r="C66" s="276">
        <v>40922</v>
      </c>
      <c r="D66" s="54"/>
      <c r="E66" t="str">
        <f t="shared" si="7"/>
        <v/>
      </c>
      <c r="F66" t="s">
        <v>183</v>
      </c>
      <c r="G66" s="58" t="str">
        <f t="shared" si="8"/>
        <v/>
      </c>
      <c r="H66" s="54"/>
      <c r="I66" t="str">
        <f t="shared" si="9"/>
        <v/>
      </c>
      <c r="J66" t="s">
        <v>183</v>
      </c>
      <c r="K66" s="58" t="str">
        <f t="shared" si="10"/>
        <v/>
      </c>
      <c r="L66" s="54">
        <v>6</v>
      </c>
      <c r="M66">
        <f t="shared" si="11"/>
        <v>1815</v>
      </c>
      <c r="N66">
        <v>6</v>
      </c>
      <c r="O66" s="58">
        <f t="shared" si="12"/>
        <v>1335</v>
      </c>
      <c r="P66" s="54" t="s">
        <v>183</v>
      </c>
      <c r="Q66" t="str">
        <f t="shared" si="13"/>
        <v/>
      </c>
      <c r="R66" t="s">
        <v>183</v>
      </c>
      <c r="S66" s="58" t="str">
        <f t="shared" si="14"/>
        <v/>
      </c>
      <c r="T66" s="54">
        <v>7</v>
      </c>
      <c r="U66">
        <f t="shared" si="15"/>
        <v>1890</v>
      </c>
      <c r="V66">
        <v>6</v>
      </c>
      <c r="W66" s="58">
        <f t="shared" si="16"/>
        <v>1485</v>
      </c>
      <c r="X66" s="54" t="s">
        <v>183</v>
      </c>
      <c r="Y66" t="str">
        <f t="shared" si="17"/>
        <v/>
      </c>
      <c r="Z66" t="s">
        <v>183</v>
      </c>
      <c r="AA66" s="58" t="str">
        <f t="shared" si="18"/>
        <v/>
      </c>
      <c r="AB66" s="54" t="s">
        <v>183</v>
      </c>
      <c r="AC66" t="str">
        <f t="shared" si="19"/>
        <v/>
      </c>
      <c r="AD66" t="s">
        <v>183</v>
      </c>
      <c r="AE66" s="66" t="str">
        <f t="shared" si="20"/>
        <v/>
      </c>
      <c r="AF66">
        <f t="shared" si="21"/>
        <v>0</v>
      </c>
      <c r="AG66">
        <f t="shared" si="22"/>
        <v>0</v>
      </c>
      <c r="AH66">
        <f t="shared" si="23"/>
        <v>1</v>
      </c>
      <c r="AI66">
        <f t="shared" si="24"/>
        <v>0</v>
      </c>
      <c r="AJ66">
        <f t="shared" si="25"/>
        <v>1</v>
      </c>
      <c r="AK66">
        <f t="shared" si="26"/>
        <v>0</v>
      </c>
      <c r="AL66" s="58">
        <f t="shared" si="27"/>
        <v>0</v>
      </c>
      <c r="AM66">
        <f t="shared" si="28"/>
        <v>2</v>
      </c>
      <c r="AN66" s="279"/>
    </row>
    <row r="67" spans="1:42" x14ac:dyDescent="0.35">
      <c r="A67" s="65">
        <v>45</v>
      </c>
      <c r="B67" t="s">
        <v>55</v>
      </c>
      <c r="C67" s="276">
        <v>40923</v>
      </c>
      <c r="D67" s="54"/>
      <c r="E67" t="str">
        <f t="shared" si="7"/>
        <v/>
      </c>
      <c r="F67" t="s">
        <v>183</v>
      </c>
      <c r="G67" s="58" t="str">
        <f t="shared" si="8"/>
        <v/>
      </c>
      <c r="H67" s="54"/>
      <c r="I67" t="str">
        <f t="shared" si="9"/>
        <v/>
      </c>
      <c r="J67" t="s">
        <v>183</v>
      </c>
      <c r="K67" s="58" t="str">
        <f t="shared" si="10"/>
        <v/>
      </c>
      <c r="L67" s="54"/>
      <c r="M67" t="str">
        <f t="shared" si="11"/>
        <v/>
      </c>
      <c r="N67" t="s">
        <v>183</v>
      </c>
      <c r="O67" s="58" t="str">
        <f t="shared" si="12"/>
        <v/>
      </c>
      <c r="P67" s="54" t="s">
        <v>183</v>
      </c>
      <c r="Q67" t="str">
        <f t="shared" si="13"/>
        <v/>
      </c>
      <c r="R67" t="s">
        <v>183</v>
      </c>
      <c r="S67" s="58" t="str">
        <f t="shared" si="14"/>
        <v/>
      </c>
      <c r="T67" s="54" t="s">
        <v>183</v>
      </c>
      <c r="U67" t="str">
        <f t="shared" si="15"/>
        <v/>
      </c>
      <c r="V67" t="s">
        <v>183</v>
      </c>
      <c r="W67" s="58" t="str">
        <f t="shared" si="16"/>
        <v/>
      </c>
      <c r="X67" s="54" t="s">
        <v>183</v>
      </c>
      <c r="Y67" t="str">
        <f t="shared" si="17"/>
        <v/>
      </c>
      <c r="Z67" t="s">
        <v>183</v>
      </c>
      <c r="AA67" s="58" t="str">
        <f t="shared" si="18"/>
        <v/>
      </c>
      <c r="AB67" s="54" t="s">
        <v>183</v>
      </c>
      <c r="AC67" t="str">
        <f t="shared" si="19"/>
        <v/>
      </c>
      <c r="AD67">
        <v>6</v>
      </c>
      <c r="AE67" s="66">
        <f t="shared" si="20"/>
        <v>1785</v>
      </c>
      <c r="AF67">
        <f t="shared" si="21"/>
        <v>0</v>
      </c>
      <c r="AG67">
        <f t="shared" si="22"/>
        <v>0</v>
      </c>
      <c r="AH67">
        <f t="shared" si="23"/>
        <v>0</v>
      </c>
      <c r="AI67">
        <f t="shared" si="24"/>
        <v>0</v>
      </c>
      <c r="AJ67">
        <f t="shared" si="25"/>
        <v>0</v>
      </c>
      <c r="AK67">
        <f t="shared" si="26"/>
        <v>0</v>
      </c>
      <c r="AL67" s="58">
        <f t="shared" si="27"/>
        <v>0</v>
      </c>
      <c r="AM67">
        <f t="shared" si="28"/>
        <v>0</v>
      </c>
      <c r="AN67" s="279"/>
      <c r="AO67">
        <f>SUM(AM37:AM66)</f>
        <v>29</v>
      </c>
      <c r="AP67">
        <f>(AC36-AE67)/AC36</f>
        <v>5.5555555555555552E-2</v>
      </c>
    </row>
    <row r="68" spans="1:42" x14ac:dyDescent="0.35">
      <c r="A68" s="65">
        <v>46</v>
      </c>
      <c r="B68" t="s">
        <v>56</v>
      </c>
      <c r="C68" s="276">
        <v>40924</v>
      </c>
      <c r="D68" s="54"/>
      <c r="E68" t="str">
        <f t="shared" si="7"/>
        <v/>
      </c>
      <c r="F68" t="s">
        <v>183</v>
      </c>
      <c r="G68" s="58" t="str">
        <f t="shared" si="8"/>
        <v/>
      </c>
      <c r="H68" s="54"/>
      <c r="I68" t="str">
        <f t="shared" si="9"/>
        <v/>
      </c>
      <c r="J68" t="s">
        <v>183</v>
      </c>
      <c r="K68" s="58" t="str">
        <f t="shared" si="10"/>
        <v/>
      </c>
      <c r="L68" s="54">
        <v>7</v>
      </c>
      <c r="M68">
        <f t="shared" si="11"/>
        <v>1635</v>
      </c>
      <c r="N68">
        <v>7</v>
      </c>
      <c r="O68" s="58">
        <f t="shared" si="12"/>
        <v>1220</v>
      </c>
      <c r="P68" s="54" t="s">
        <v>183</v>
      </c>
      <c r="Q68" t="str">
        <f t="shared" si="13"/>
        <v/>
      </c>
      <c r="R68" t="s">
        <v>183</v>
      </c>
      <c r="S68" s="58" t="str">
        <f t="shared" si="14"/>
        <v/>
      </c>
      <c r="T68" s="54" t="s">
        <v>183</v>
      </c>
      <c r="U68" t="str">
        <f t="shared" si="15"/>
        <v/>
      </c>
      <c r="V68">
        <v>7</v>
      </c>
      <c r="W68" s="58">
        <f t="shared" si="16"/>
        <v>1440</v>
      </c>
      <c r="X68" s="54" t="s">
        <v>183</v>
      </c>
      <c r="Y68" t="str">
        <f t="shared" si="17"/>
        <v/>
      </c>
      <c r="Z68" t="s">
        <v>183</v>
      </c>
      <c r="AA68" s="58" t="str">
        <f t="shared" si="18"/>
        <v/>
      </c>
      <c r="AB68" s="54" t="s">
        <v>183</v>
      </c>
      <c r="AC68" t="str">
        <f t="shared" si="19"/>
        <v/>
      </c>
      <c r="AD68" t="s">
        <v>183</v>
      </c>
      <c r="AE68" s="66" t="str">
        <f t="shared" si="20"/>
        <v/>
      </c>
      <c r="AF68">
        <f t="shared" si="21"/>
        <v>0</v>
      </c>
      <c r="AG68">
        <f t="shared" si="22"/>
        <v>0</v>
      </c>
      <c r="AH68">
        <f t="shared" si="23"/>
        <v>1</v>
      </c>
      <c r="AI68">
        <f t="shared" si="24"/>
        <v>0</v>
      </c>
      <c r="AJ68">
        <f t="shared" si="25"/>
        <v>0</v>
      </c>
      <c r="AK68">
        <f t="shared" si="26"/>
        <v>0</v>
      </c>
      <c r="AL68" s="58">
        <f t="shared" si="27"/>
        <v>0</v>
      </c>
      <c r="AM68">
        <f t="shared" si="28"/>
        <v>1</v>
      </c>
      <c r="AN68" s="279"/>
    </row>
    <row r="69" spans="1:42" x14ac:dyDescent="0.35">
      <c r="A69" s="65">
        <v>47</v>
      </c>
      <c r="B69" t="s">
        <v>57</v>
      </c>
      <c r="C69" s="276">
        <v>40925</v>
      </c>
      <c r="D69" s="54"/>
      <c r="E69" t="str">
        <f t="shared" si="7"/>
        <v/>
      </c>
      <c r="F69" t="s">
        <v>183</v>
      </c>
      <c r="G69" s="58" t="str">
        <f t="shared" si="8"/>
        <v/>
      </c>
      <c r="H69" s="54"/>
      <c r="I69" t="str">
        <f t="shared" si="9"/>
        <v/>
      </c>
      <c r="J69" t="s">
        <v>183</v>
      </c>
      <c r="K69" s="58" t="str">
        <f t="shared" si="10"/>
        <v/>
      </c>
      <c r="L69" s="54"/>
      <c r="M69" t="str">
        <f t="shared" si="11"/>
        <v/>
      </c>
      <c r="N69" t="s">
        <v>183</v>
      </c>
      <c r="O69" s="58" t="str">
        <f t="shared" si="12"/>
        <v/>
      </c>
      <c r="P69" s="54" t="s">
        <v>183</v>
      </c>
      <c r="Q69" t="str">
        <f t="shared" si="13"/>
        <v/>
      </c>
      <c r="R69" t="s">
        <v>183</v>
      </c>
      <c r="S69" s="58" t="str">
        <f t="shared" si="14"/>
        <v/>
      </c>
      <c r="T69" s="54" t="s">
        <v>183</v>
      </c>
      <c r="U69" t="str">
        <f t="shared" si="15"/>
        <v/>
      </c>
      <c r="V69" t="s">
        <v>183</v>
      </c>
      <c r="W69" s="58" t="str">
        <f t="shared" si="16"/>
        <v/>
      </c>
      <c r="X69" s="54" t="s">
        <v>183</v>
      </c>
      <c r="Y69" t="str">
        <f t="shared" si="17"/>
        <v/>
      </c>
      <c r="Z69">
        <v>8</v>
      </c>
      <c r="AA69" s="58">
        <f t="shared" si="18"/>
        <v>1665</v>
      </c>
      <c r="AB69" s="54" t="s">
        <v>183</v>
      </c>
      <c r="AC69" t="str">
        <f t="shared" si="19"/>
        <v/>
      </c>
      <c r="AD69">
        <v>7</v>
      </c>
      <c r="AE69" s="66">
        <f t="shared" si="20"/>
        <v>1745</v>
      </c>
      <c r="AF69">
        <f t="shared" si="21"/>
        <v>0</v>
      </c>
      <c r="AG69">
        <f t="shared" si="22"/>
        <v>0</v>
      </c>
      <c r="AH69">
        <f t="shared" si="23"/>
        <v>0</v>
      </c>
      <c r="AI69">
        <f t="shared" si="24"/>
        <v>0</v>
      </c>
      <c r="AJ69">
        <f t="shared" si="25"/>
        <v>0</v>
      </c>
      <c r="AK69">
        <f t="shared" si="26"/>
        <v>0</v>
      </c>
      <c r="AL69" s="58">
        <f t="shared" si="27"/>
        <v>0</v>
      </c>
      <c r="AM69">
        <f t="shared" si="28"/>
        <v>0</v>
      </c>
      <c r="AN69" s="279"/>
      <c r="AO69">
        <f>SUM(AM37:AM68)</f>
        <v>30</v>
      </c>
      <c r="AP69">
        <f>(AC38-AE69)/AC38</f>
        <v>3.8567493112947659E-2</v>
      </c>
    </row>
    <row r="70" spans="1:42" x14ac:dyDescent="0.35">
      <c r="A70" s="65">
        <v>48</v>
      </c>
      <c r="B70" t="s">
        <v>58</v>
      </c>
      <c r="C70" s="276">
        <v>40926</v>
      </c>
      <c r="D70" s="54">
        <v>7</v>
      </c>
      <c r="E70">
        <f t="shared" si="7"/>
        <v>2040</v>
      </c>
      <c r="F70">
        <v>7</v>
      </c>
      <c r="G70" s="58">
        <f t="shared" si="8"/>
        <v>1110</v>
      </c>
      <c r="H70" s="54"/>
      <c r="I70" t="str">
        <f t="shared" si="9"/>
        <v/>
      </c>
      <c r="J70" t="s">
        <v>183</v>
      </c>
      <c r="K70" s="58" t="str">
        <f t="shared" si="10"/>
        <v/>
      </c>
      <c r="L70" s="54"/>
      <c r="M70" t="str">
        <f t="shared" si="11"/>
        <v/>
      </c>
      <c r="N70" t="s">
        <v>183</v>
      </c>
      <c r="O70" s="58" t="str">
        <f t="shared" si="12"/>
        <v/>
      </c>
      <c r="P70" s="54" t="s">
        <v>183</v>
      </c>
      <c r="Q70" t="str">
        <f t="shared" si="13"/>
        <v/>
      </c>
      <c r="R70" t="s">
        <v>183</v>
      </c>
      <c r="S70" s="58" t="str">
        <f t="shared" si="14"/>
        <v/>
      </c>
      <c r="T70" s="54" t="s">
        <v>183</v>
      </c>
      <c r="U70" t="str">
        <f t="shared" si="15"/>
        <v/>
      </c>
      <c r="V70" t="s">
        <v>183</v>
      </c>
      <c r="W70" s="58" t="str">
        <f t="shared" si="16"/>
        <v/>
      </c>
      <c r="X70" s="54">
        <v>9</v>
      </c>
      <c r="Y70">
        <f t="shared" si="17"/>
        <v>2100</v>
      </c>
      <c r="Z70" t="s">
        <v>183</v>
      </c>
      <c r="AA70" s="58" t="str">
        <f t="shared" si="18"/>
        <v/>
      </c>
      <c r="AB70" s="54" t="s">
        <v>183</v>
      </c>
      <c r="AC70" t="str">
        <f t="shared" si="19"/>
        <v/>
      </c>
      <c r="AD70" t="s">
        <v>183</v>
      </c>
      <c r="AE70" s="66" t="str">
        <f t="shared" si="20"/>
        <v/>
      </c>
      <c r="AF70">
        <f t="shared" si="21"/>
        <v>1</v>
      </c>
      <c r="AG70">
        <f t="shared" si="22"/>
        <v>0</v>
      </c>
      <c r="AH70">
        <f t="shared" si="23"/>
        <v>0</v>
      </c>
      <c r="AI70">
        <f t="shared" si="24"/>
        <v>0</v>
      </c>
      <c r="AJ70">
        <f t="shared" si="25"/>
        <v>0</v>
      </c>
      <c r="AK70">
        <f t="shared" si="26"/>
        <v>1</v>
      </c>
      <c r="AL70" s="58">
        <f t="shared" si="27"/>
        <v>0</v>
      </c>
      <c r="AM70">
        <f t="shared" si="28"/>
        <v>2</v>
      </c>
      <c r="AN70" s="279"/>
    </row>
    <row r="71" spans="1:42" x14ac:dyDescent="0.35">
      <c r="A71" s="65">
        <v>49</v>
      </c>
      <c r="B71" t="s">
        <v>52</v>
      </c>
      <c r="C71" s="276">
        <v>40927</v>
      </c>
      <c r="D71" s="54"/>
      <c r="E71" t="str">
        <f t="shared" si="7"/>
        <v/>
      </c>
      <c r="F71" t="s">
        <v>183</v>
      </c>
      <c r="G71" s="58" t="str">
        <f t="shared" si="8"/>
        <v/>
      </c>
      <c r="H71" s="54"/>
      <c r="I71" t="str">
        <f t="shared" si="9"/>
        <v/>
      </c>
      <c r="J71" t="s">
        <v>183</v>
      </c>
      <c r="K71" s="58" t="str">
        <f t="shared" si="10"/>
        <v/>
      </c>
      <c r="L71" s="54"/>
      <c r="M71" t="str">
        <f t="shared" si="11"/>
        <v/>
      </c>
      <c r="N71" t="s">
        <v>183</v>
      </c>
      <c r="O71" s="58" t="str">
        <f t="shared" si="12"/>
        <v/>
      </c>
      <c r="P71" s="54" t="s">
        <v>183</v>
      </c>
      <c r="Q71" t="str">
        <f t="shared" si="13"/>
        <v/>
      </c>
      <c r="R71" t="s">
        <v>183</v>
      </c>
      <c r="S71" s="58" t="str">
        <f t="shared" si="14"/>
        <v/>
      </c>
      <c r="T71" s="54" t="s">
        <v>183</v>
      </c>
      <c r="U71" t="str">
        <f t="shared" si="15"/>
        <v/>
      </c>
      <c r="V71" t="s">
        <v>183</v>
      </c>
      <c r="W71" s="58" t="str">
        <f t="shared" si="16"/>
        <v/>
      </c>
      <c r="X71" s="54" t="s">
        <v>183</v>
      </c>
      <c r="Y71" t="str">
        <f t="shared" si="17"/>
        <v/>
      </c>
      <c r="Z71" t="s">
        <v>183</v>
      </c>
      <c r="AA71" s="58" t="str">
        <f t="shared" si="18"/>
        <v/>
      </c>
      <c r="AB71" s="54" t="s">
        <v>183</v>
      </c>
      <c r="AC71" t="str">
        <f t="shared" si="19"/>
        <v/>
      </c>
      <c r="AD71">
        <v>8</v>
      </c>
      <c r="AE71" s="66">
        <f t="shared" si="20"/>
        <v>1505</v>
      </c>
      <c r="AF71">
        <f t="shared" si="21"/>
        <v>0</v>
      </c>
      <c r="AG71">
        <f t="shared" si="22"/>
        <v>0</v>
      </c>
      <c r="AH71">
        <f t="shared" si="23"/>
        <v>0</v>
      </c>
      <c r="AI71">
        <f t="shared" si="24"/>
        <v>0</v>
      </c>
      <c r="AJ71">
        <f t="shared" si="25"/>
        <v>0</v>
      </c>
      <c r="AK71">
        <f t="shared" si="26"/>
        <v>0</v>
      </c>
      <c r="AL71" s="58">
        <f t="shared" si="27"/>
        <v>0</v>
      </c>
      <c r="AM71">
        <f t="shared" si="28"/>
        <v>0</v>
      </c>
      <c r="AN71" s="279"/>
      <c r="AO71">
        <f>SUM(AM41:AM70)</f>
        <v>28</v>
      </c>
      <c r="AP71">
        <f>(AC40-AE71)/AC40</f>
        <v>0.21204188481675393</v>
      </c>
    </row>
    <row r="72" spans="1:42" x14ac:dyDescent="0.35">
      <c r="A72" s="65">
        <v>50</v>
      </c>
      <c r="B72" t="s">
        <v>53</v>
      </c>
      <c r="C72" s="276">
        <v>40928</v>
      </c>
      <c r="D72" s="54"/>
      <c r="E72" t="str">
        <f t="shared" si="7"/>
        <v/>
      </c>
      <c r="F72" t="s">
        <v>183</v>
      </c>
      <c r="G72" s="58" t="str">
        <f t="shared" si="8"/>
        <v/>
      </c>
      <c r="H72" s="54">
        <v>8</v>
      </c>
      <c r="I72">
        <f t="shared" si="9"/>
        <v>1905</v>
      </c>
      <c r="J72">
        <v>8</v>
      </c>
      <c r="K72" s="58">
        <f t="shared" si="10"/>
        <v>1250</v>
      </c>
      <c r="L72" s="54"/>
      <c r="M72" t="str">
        <f t="shared" si="11"/>
        <v/>
      </c>
      <c r="N72" t="s">
        <v>183</v>
      </c>
      <c r="O72" s="58" t="str">
        <f t="shared" si="12"/>
        <v/>
      </c>
      <c r="P72" s="54">
        <v>7</v>
      </c>
      <c r="Q72">
        <f t="shared" si="13"/>
        <v>1905</v>
      </c>
      <c r="R72" t="s">
        <v>183</v>
      </c>
      <c r="S72" s="58" t="str">
        <f t="shared" si="14"/>
        <v/>
      </c>
      <c r="T72" s="54" t="s">
        <v>183</v>
      </c>
      <c r="U72" t="str">
        <f t="shared" si="15"/>
        <v/>
      </c>
      <c r="V72" t="s">
        <v>183</v>
      </c>
      <c r="W72" s="58" t="str">
        <f t="shared" si="16"/>
        <v/>
      </c>
      <c r="X72" s="54" t="s">
        <v>183</v>
      </c>
      <c r="Y72" t="str">
        <f t="shared" si="17"/>
        <v/>
      </c>
      <c r="Z72" t="s">
        <v>183</v>
      </c>
      <c r="AA72" s="58" t="str">
        <f t="shared" si="18"/>
        <v/>
      </c>
      <c r="AB72" s="54" t="s">
        <v>183</v>
      </c>
      <c r="AC72" t="str">
        <f t="shared" si="19"/>
        <v/>
      </c>
      <c r="AD72" t="s">
        <v>183</v>
      </c>
      <c r="AE72" s="66" t="str">
        <f t="shared" si="20"/>
        <v/>
      </c>
      <c r="AF72">
        <f t="shared" si="21"/>
        <v>0</v>
      </c>
      <c r="AG72">
        <f t="shared" si="22"/>
        <v>1</v>
      </c>
      <c r="AH72">
        <f t="shared" si="23"/>
        <v>0</v>
      </c>
      <c r="AI72">
        <f t="shared" si="24"/>
        <v>1</v>
      </c>
      <c r="AJ72">
        <f t="shared" si="25"/>
        <v>0</v>
      </c>
      <c r="AK72">
        <f t="shared" si="26"/>
        <v>0</v>
      </c>
      <c r="AL72" s="58">
        <f t="shared" si="27"/>
        <v>0</v>
      </c>
      <c r="AM72">
        <f t="shared" si="28"/>
        <v>2</v>
      </c>
      <c r="AN72" s="279"/>
    </row>
    <row r="73" spans="1:42" x14ac:dyDescent="0.35">
      <c r="A73" s="65">
        <v>51</v>
      </c>
      <c r="B73" t="s">
        <v>54</v>
      </c>
      <c r="C73" s="276">
        <v>40929</v>
      </c>
      <c r="D73" s="54"/>
      <c r="E73" t="str">
        <f t="shared" si="7"/>
        <v/>
      </c>
      <c r="F73" t="s">
        <v>183</v>
      </c>
      <c r="G73" s="58" t="str">
        <f t="shared" si="8"/>
        <v/>
      </c>
      <c r="H73" s="54"/>
      <c r="I73" t="str">
        <f t="shared" si="9"/>
        <v/>
      </c>
      <c r="J73" t="s">
        <v>183</v>
      </c>
      <c r="K73" s="58" t="str">
        <f t="shared" si="10"/>
        <v/>
      </c>
      <c r="L73" s="54"/>
      <c r="M73" t="str">
        <f t="shared" si="11"/>
        <v/>
      </c>
      <c r="N73" t="s">
        <v>183</v>
      </c>
      <c r="O73" s="58" t="str">
        <f t="shared" si="12"/>
        <v/>
      </c>
      <c r="P73" s="54" t="s">
        <v>183</v>
      </c>
      <c r="Q73" t="str">
        <f t="shared" si="13"/>
        <v/>
      </c>
      <c r="R73">
        <v>7</v>
      </c>
      <c r="S73" s="58">
        <f t="shared" si="14"/>
        <v>1325</v>
      </c>
      <c r="T73" s="54" t="s">
        <v>183</v>
      </c>
      <c r="U73" t="str">
        <f t="shared" si="15"/>
        <v/>
      </c>
      <c r="V73" t="s">
        <v>183</v>
      </c>
      <c r="W73" s="58" t="str">
        <f t="shared" si="16"/>
        <v/>
      </c>
      <c r="X73" s="54" t="s">
        <v>183</v>
      </c>
      <c r="Y73" t="str">
        <f t="shared" si="17"/>
        <v/>
      </c>
      <c r="Z73" t="s">
        <v>183</v>
      </c>
      <c r="AA73" s="58" t="str">
        <f t="shared" si="18"/>
        <v/>
      </c>
      <c r="AB73" s="54" t="s">
        <v>183</v>
      </c>
      <c r="AC73" t="str">
        <f t="shared" si="19"/>
        <v/>
      </c>
      <c r="AD73" t="s">
        <v>183</v>
      </c>
      <c r="AE73" s="66" t="str">
        <f t="shared" si="20"/>
        <v/>
      </c>
      <c r="AF73">
        <f t="shared" si="21"/>
        <v>0</v>
      </c>
      <c r="AG73">
        <f t="shared" si="22"/>
        <v>0</v>
      </c>
      <c r="AH73">
        <f t="shared" si="23"/>
        <v>0</v>
      </c>
      <c r="AI73">
        <f t="shared" si="24"/>
        <v>0</v>
      </c>
      <c r="AJ73">
        <f t="shared" si="25"/>
        <v>0</v>
      </c>
      <c r="AK73">
        <f t="shared" si="26"/>
        <v>0</v>
      </c>
      <c r="AL73" s="58">
        <f t="shared" si="27"/>
        <v>0</v>
      </c>
      <c r="AM73">
        <f t="shared" si="28"/>
        <v>0</v>
      </c>
      <c r="AN73" s="279"/>
    </row>
    <row r="74" spans="1:42" x14ac:dyDescent="0.35">
      <c r="A74" s="65">
        <v>52</v>
      </c>
      <c r="B74" t="s">
        <v>55</v>
      </c>
      <c r="C74" s="276">
        <v>40930</v>
      </c>
      <c r="D74" s="54"/>
      <c r="E74" t="str">
        <f t="shared" si="7"/>
        <v/>
      </c>
      <c r="F74" t="s">
        <v>183</v>
      </c>
      <c r="G74" s="58" t="str">
        <f t="shared" si="8"/>
        <v/>
      </c>
      <c r="H74" s="54"/>
      <c r="I74" t="str">
        <f t="shared" si="9"/>
        <v/>
      </c>
      <c r="J74" t="s">
        <v>183</v>
      </c>
      <c r="K74" s="58" t="str">
        <f t="shared" si="10"/>
        <v/>
      </c>
      <c r="L74" s="54"/>
      <c r="M74" t="str">
        <f t="shared" si="11"/>
        <v/>
      </c>
      <c r="N74" t="s">
        <v>183</v>
      </c>
      <c r="O74" s="58" t="str">
        <f t="shared" si="12"/>
        <v/>
      </c>
      <c r="P74" s="54" t="s">
        <v>183</v>
      </c>
      <c r="Q74" t="str">
        <f t="shared" si="13"/>
        <v/>
      </c>
      <c r="R74" t="s">
        <v>183</v>
      </c>
      <c r="S74" s="58" t="str">
        <f t="shared" si="14"/>
        <v/>
      </c>
      <c r="T74" s="54" t="s">
        <v>183</v>
      </c>
      <c r="U74" t="str">
        <f t="shared" si="15"/>
        <v/>
      </c>
      <c r="V74" t="s">
        <v>183</v>
      </c>
      <c r="W74" s="58" t="str">
        <f t="shared" si="16"/>
        <v/>
      </c>
      <c r="X74" s="54" t="s">
        <v>183</v>
      </c>
      <c r="Y74" t="str">
        <f t="shared" si="17"/>
        <v/>
      </c>
      <c r="Z74" t="s">
        <v>183</v>
      </c>
      <c r="AA74" s="58" t="str">
        <f t="shared" si="18"/>
        <v/>
      </c>
      <c r="AB74" s="54" t="s">
        <v>183</v>
      </c>
      <c r="AC74" t="str">
        <f t="shared" si="19"/>
        <v/>
      </c>
      <c r="AD74">
        <v>9</v>
      </c>
      <c r="AE74" s="66">
        <f t="shared" si="20"/>
        <v>1260</v>
      </c>
      <c r="AF74">
        <f t="shared" si="21"/>
        <v>0</v>
      </c>
      <c r="AG74">
        <f t="shared" si="22"/>
        <v>0</v>
      </c>
      <c r="AH74">
        <f t="shared" si="23"/>
        <v>0</v>
      </c>
      <c r="AI74">
        <f t="shared" si="24"/>
        <v>0</v>
      </c>
      <c r="AJ74">
        <f t="shared" si="25"/>
        <v>0</v>
      </c>
      <c r="AK74">
        <f t="shared" si="26"/>
        <v>0</v>
      </c>
      <c r="AL74" s="58">
        <f t="shared" si="27"/>
        <v>0</v>
      </c>
      <c r="AM74">
        <f t="shared" si="28"/>
        <v>0</v>
      </c>
      <c r="AN74" s="279"/>
      <c r="AO74">
        <f>SUM(AM44:AM73)</f>
        <v>25</v>
      </c>
      <c r="AP74">
        <f>(AC43-AE74)/AC43</f>
        <v>0.15436241610738255</v>
      </c>
    </row>
    <row r="75" spans="1:42" x14ac:dyDescent="0.35">
      <c r="A75" s="65">
        <v>53</v>
      </c>
      <c r="B75" t="s">
        <v>56</v>
      </c>
      <c r="C75" s="276">
        <v>40931</v>
      </c>
      <c r="D75" s="54"/>
      <c r="E75" t="str">
        <f t="shared" si="7"/>
        <v/>
      </c>
      <c r="F75" t="s">
        <v>183</v>
      </c>
      <c r="G75" s="58" t="str">
        <f t="shared" si="8"/>
        <v/>
      </c>
      <c r="H75" s="54"/>
      <c r="I75" t="str">
        <f t="shared" si="9"/>
        <v/>
      </c>
      <c r="J75" t="s">
        <v>183</v>
      </c>
      <c r="K75" s="58" t="str">
        <f t="shared" si="10"/>
        <v/>
      </c>
      <c r="L75" s="54"/>
      <c r="M75" t="str">
        <f t="shared" si="11"/>
        <v/>
      </c>
      <c r="N75" t="s">
        <v>183</v>
      </c>
      <c r="O75" s="58" t="str">
        <f t="shared" si="12"/>
        <v/>
      </c>
      <c r="P75" s="54" t="s">
        <v>183</v>
      </c>
      <c r="Q75" t="str">
        <f t="shared" si="13"/>
        <v/>
      </c>
      <c r="R75" t="s">
        <v>183</v>
      </c>
      <c r="S75" s="58" t="str">
        <f t="shared" si="14"/>
        <v/>
      </c>
      <c r="T75" s="54" t="s">
        <v>183</v>
      </c>
      <c r="U75" t="str">
        <f t="shared" si="15"/>
        <v/>
      </c>
      <c r="V75" t="s">
        <v>183</v>
      </c>
      <c r="W75" s="58" t="str">
        <f t="shared" si="16"/>
        <v/>
      </c>
      <c r="X75" s="54" t="s">
        <v>183</v>
      </c>
      <c r="Y75" t="str">
        <f t="shared" si="17"/>
        <v/>
      </c>
      <c r="Z75" t="s">
        <v>183</v>
      </c>
      <c r="AA75" s="58" t="str">
        <f t="shared" si="18"/>
        <v/>
      </c>
      <c r="AB75" s="54" t="s">
        <v>183</v>
      </c>
      <c r="AC75" t="str">
        <f t="shared" si="19"/>
        <v/>
      </c>
      <c r="AD75">
        <v>10</v>
      </c>
      <c r="AE75" s="66">
        <f t="shared" si="20"/>
        <v>1395</v>
      </c>
      <c r="AF75">
        <f t="shared" si="21"/>
        <v>0</v>
      </c>
      <c r="AG75">
        <f t="shared" si="22"/>
        <v>0</v>
      </c>
      <c r="AH75">
        <f t="shared" si="23"/>
        <v>0</v>
      </c>
      <c r="AI75">
        <f t="shared" si="24"/>
        <v>0</v>
      </c>
      <c r="AJ75">
        <f t="shared" si="25"/>
        <v>0</v>
      </c>
      <c r="AK75">
        <f t="shared" si="26"/>
        <v>0</v>
      </c>
      <c r="AL75" s="58">
        <f t="shared" si="27"/>
        <v>0</v>
      </c>
      <c r="AM75">
        <f t="shared" si="28"/>
        <v>0</v>
      </c>
      <c r="AN75" s="279"/>
      <c r="AO75">
        <f>SUM(AM45:AM74)</f>
        <v>23</v>
      </c>
      <c r="AP75">
        <f>(AC44-AE75)/AC44</f>
        <v>0.18421052631578946</v>
      </c>
    </row>
    <row r="76" spans="1:42" x14ac:dyDescent="0.35">
      <c r="A76" s="65">
        <v>54</v>
      </c>
      <c r="B76" t="s">
        <v>57</v>
      </c>
      <c r="C76" s="276">
        <v>40932</v>
      </c>
      <c r="D76" s="54"/>
      <c r="E76" t="str">
        <f t="shared" si="7"/>
        <v/>
      </c>
      <c r="F76" t="s">
        <v>183</v>
      </c>
      <c r="G76" s="58" t="str">
        <f t="shared" si="8"/>
        <v/>
      </c>
      <c r="H76" s="54"/>
      <c r="I76" t="str">
        <f t="shared" si="9"/>
        <v/>
      </c>
      <c r="J76" t="s">
        <v>183</v>
      </c>
      <c r="K76" s="58" t="str">
        <f t="shared" si="10"/>
        <v/>
      </c>
      <c r="L76" s="54"/>
      <c r="M76" t="str">
        <f t="shared" si="11"/>
        <v/>
      </c>
      <c r="N76" t="s">
        <v>183</v>
      </c>
      <c r="O76" s="58" t="str">
        <f t="shared" si="12"/>
        <v/>
      </c>
      <c r="P76" s="54" t="s">
        <v>183</v>
      </c>
      <c r="Q76" t="str">
        <f t="shared" si="13"/>
        <v/>
      </c>
      <c r="R76" t="s">
        <v>183</v>
      </c>
      <c r="S76" s="58" t="str">
        <f t="shared" si="14"/>
        <v/>
      </c>
      <c r="T76" s="54" t="s">
        <v>183</v>
      </c>
      <c r="U76" t="str">
        <f t="shared" si="15"/>
        <v/>
      </c>
      <c r="V76" t="s">
        <v>183</v>
      </c>
      <c r="W76" s="58" t="str">
        <f t="shared" si="16"/>
        <v/>
      </c>
      <c r="X76" s="54">
        <v>10</v>
      </c>
      <c r="Y76">
        <f t="shared" si="17"/>
        <v>1890</v>
      </c>
      <c r="Z76">
        <v>9</v>
      </c>
      <c r="AA76" s="58">
        <f t="shared" si="18"/>
        <v>1415</v>
      </c>
      <c r="AB76" s="54" t="s">
        <v>183</v>
      </c>
      <c r="AC76" t="str">
        <f t="shared" si="19"/>
        <v/>
      </c>
      <c r="AD76" t="s">
        <v>183</v>
      </c>
      <c r="AE76" s="66" t="str">
        <f t="shared" si="20"/>
        <v/>
      </c>
      <c r="AF76">
        <f t="shared" si="21"/>
        <v>0</v>
      </c>
      <c r="AG76">
        <f t="shared" si="22"/>
        <v>0</v>
      </c>
      <c r="AH76">
        <f t="shared" si="23"/>
        <v>0</v>
      </c>
      <c r="AI76">
        <f t="shared" si="24"/>
        <v>0</v>
      </c>
      <c r="AJ76">
        <f t="shared" si="25"/>
        <v>0</v>
      </c>
      <c r="AK76">
        <f t="shared" si="26"/>
        <v>1</v>
      </c>
      <c r="AL76" s="58">
        <f t="shared" si="27"/>
        <v>0</v>
      </c>
      <c r="AM76">
        <f t="shared" si="28"/>
        <v>1</v>
      </c>
      <c r="AN76" s="279"/>
    </row>
    <row r="77" spans="1:42" x14ac:dyDescent="0.35">
      <c r="A77" s="65">
        <v>55</v>
      </c>
      <c r="B77" t="s">
        <v>58</v>
      </c>
      <c r="C77" s="276">
        <v>40933</v>
      </c>
      <c r="D77" s="54">
        <v>8</v>
      </c>
      <c r="E77">
        <f t="shared" si="7"/>
        <v>1725</v>
      </c>
      <c r="F77">
        <v>8</v>
      </c>
      <c r="G77" s="58">
        <f t="shared" si="8"/>
        <v>865</v>
      </c>
      <c r="H77" s="54"/>
      <c r="I77" t="str">
        <f t="shared" si="9"/>
        <v/>
      </c>
      <c r="J77" t="s">
        <v>183</v>
      </c>
      <c r="K77" s="58" t="str">
        <f t="shared" si="10"/>
        <v/>
      </c>
      <c r="L77" s="54"/>
      <c r="M77" t="str">
        <f t="shared" si="11"/>
        <v/>
      </c>
      <c r="N77" t="s">
        <v>183</v>
      </c>
      <c r="O77" s="58" t="str">
        <f t="shared" si="12"/>
        <v/>
      </c>
      <c r="P77" s="54" t="s">
        <v>183</v>
      </c>
      <c r="Q77" t="str">
        <f t="shared" si="13"/>
        <v/>
      </c>
      <c r="R77" t="s">
        <v>183</v>
      </c>
      <c r="S77" s="58" t="str">
        <f t="shared" si="14"/>
        <v/>
      </c>
      <c r="T77" s="54" t="s">
        <v>183</v>
      </c>
      <c r="U77" t="str">
        <f t="shared" si="15"/>
        <v/>
      </c>
      <c r="V77" t="s">
        <v>183</v>
      </c>
      <c r="W77" s="58" t="str">
        <f t="shared" si="16"/>
        <v/>
      </c>
      <c r="X77" s="54" t="s">
        <v>183</v>
      </c>
      <c r="Y77" t="str">
        <f t="shared" si="17"/>
        <v/>
      </c>
      <c r="Z77" t="s">
        <v>183</v>
      </c>
      <c r="AA77" s="58" t="str">
        <f t="shared" si="18"/>
        <v/>
      </c>
      <c r="AB77" s="54" t="s">
        <v>183</v>
      </c>
      <c r="AC77" t="str">
        <f t="shared" si="19"/>
        <v/>
      </c>
      <c r="AD77" t="s">
        <v>183</v>
      </c>
      <c r="AE77" s="66" t="str">
        <f t="shared" si="20"/>
        <v/>
      </c>
      <c r="AF77">
        <f t="shared" si="21"/>
        <v>1</v>
      </c>
      <c r="AG77">
        <f t="shared" si="22"/>
        <v>0</v>
      </c>
      <c r="AH77">
        <f t="shared" si="23"/>
        <v>0</v>
      </c>
      <c r="AI77">
        <f t="shared" si="24"/>
        <v>0</v>
      </c>
      <c r="AJ77">
        <f t="shared" si="25"/>
        <v>0</v>
      </c>
      <c r="AK77">
        <f t="shared" si="26"/>
        <v>0</v>
      </c>
      <c r="AL77" s="58">
        <f t="shared" si="27"/>
        <v>0</v>
      </c>
      <c r="AM77">
        <f t="shared" si="28"/>
        <v>1</v>
      </c>
      <c r="AN77" s="279"/>
    </row>
    <row r="78" spans="1:42" x14ac:dyDescent="0.35">
      <c r="A78" s="65">
        <v>56</v>
      </c>
      <c r="B78" t="s">
        <v>52</v>
      </c>
      <c r="C78" s="276">
        <v>40934</v>
      </c>
      <c r="D78" s="54"/>
      <c r="E78" t="str">
        <f t="shared" si="7"/>
        <v/>
      </c>
      <c r="F78" t="s">
        <v>183</v>
      </c>
      <c r="G78" s="58" t="str">
        <f t="shared" si="8"/>
        <v/>
      </c>
      <c r="H78" s="54"/>
      <c r="I78" t="str">
        <f t="shared" si="9"/>
        <v/>
      </c>
      <c r="J78" t="s">
        <v>183</v>
      </c>
      <c r="K78" s="58" t="str">
        <f t="shared" si="10"/>
        <v/>
      </c>
      <c r="L78" s="54"/>
      <c r="M78" t="str">
        <f t="shared" si="11"/>
        <v/>
      </c>
      <c r="N78" t="s">
        <v>183</v>
      </c>
      <c r="O78" s="58" t="str">
        <f t="shared" si="12"/>
        <v/>
      </c>
      <c r="P78" s="54" t="s">
        <v>183</v>
      </c>
      <c r="Q78" t="str">
        <f t="shared" si="13"/>
        <v/>
      </c>
      <c r="R78" t="s">
        <v>183</v>
      </c>
      <c r="S78" s="58" t="str">
        <f t="shared" si="14"/>
        <v/>
      </c>
      <c r="T78" s="54" t="s">
        <v>183</v>
      </c>
      <c r="U78" t="str">
        <f t="shared" si="15"/>
        <v/>
      </c>
      <c r="V78" t="s">
        <v>183</v>
      </c>
      <c r="W78" s="58" t="str">
        <f t="shared" si="16"/>
        <v/>
      </c>
      <c r="X78" s="54" t="s">
        <v>183</v>
      </c>
      <c r="Y78" t="str">
        <f t="shared" si="17"/>
        <v/>
      </c>
      <c r="Z78" t="s">
        <v>183</v>
      </c>
      <c r="AA78" s="58" t="str">
        <f t="shared" si="18"/>
        <v/>
      </c>
      <c r="AB78" s="54" t="s">
        <v>183</v>
      </c>
      <c r="AC78" t="str">
        <f t="shared" si="19"/>
        <v/>
      </c>
      <c r="AD78" t="s">
        <v>183</v>
      </c>
      <c r="AE78" s="66" t="str">
        <f t="shared" si="20"/>
        <v/>
      </c>
      <c r="AF78">
        <f t="shared" si="21"/>
        <v>0</v>
      </c>
      <c r="AG78">
        <f t="shared" si="22"/>
        <v>0</v>
      </c>
      <c r="AH78">
        <f t="shared" si="23"/>
        <v>0</v>
      </c>
      <c r="AI78">
        <f t="shared" si="24"/>
        <v>0</v>
      </c>
      <c r="AJ78">
        <f t="shared" si="25"/>
        <v>0</v>
      </c>
      <c r="AK78">
        <f t="shared" si="26"/>
        <v>0</v>
      </c>
      <c r="AL78" s="58">
        <f t="shared" si="27"/>
        <v>0</v>
      </c>
      <c r="AM78">
        <f t="shared" si="28"/>
        <v>0</v>
      </c>
      <c r="AN78" s="279"/>
    </row>
    <row r="79" spans="1:42" x14ac:dyDescent="0.35">
      <c r="A79" s="65">
        <v>57</v>
      </c>
      <c r="B79" t="s">
        <v>53</v>
      </c>
      <c r="C79" s="276">
        <v>40935</v>
      </c>
      <c r="D79" s="54"/>
      <c r="E79" t="str">
        <f t="shared" si="7"/>
        <v/>
      </c>
      <c r="F79" t="s">
        <v>183</v>
      </c>
      <c r="G79" s="58" t="str">
        <f t="shared" si="8"/>
        <v/>
      </c>
      <c r="H79" s="54">
        <v>9</v>
      </c>
      <c r="I79">
        <f t="shared" si="9"/>
        <v>1805</v>
      </c>
      <c r="J79">
        <v>9</v>
      </c>
      <c r="K79" s="58">
        <f t="shared" si="10"/>
        <v>1155</v>
      </c>
      <c r="L79" s="54"/>
      <c r="M79" t="str">
        <f t="shared" si="11"/>
        <v/>
      </c>
      <c r="N79" t="s">
        <v>183</v>
      </c>
      <c r="O79" s="58" t="str">
        <f t="shared" si="12"/>
        <v/>
      </c>
      <c r="P79" s="54" t="s">
        <v>183</v>
      </c>
      <c r="Q79" t="str">
        <f t="shared" si="13"/>
        <v/>
      </c>
      <c r="R79" t="s">
        <v>183</v>
      </c>
      <c r="S79" s="58" t="str">
        <f t="shared" si="14"/>
        <v/>
      </c>
      <c r="T79" s="54" t="s">
        <v>183</v>
      </c>
      <c r="U79" t="str">
        <f t="shared" si="15"/>
        <v/>
      </c>
      <c r="V79" t="s">
        <v>183</v>
      </c>
      <c r="W79" s="58" t="str">
        <f t="shared" si="16"/>
        <v/>
      </c>
      <c r="X79" s="54" t="s">
        <v>183</v>
      </c>
      <c r="Y79" t="str">
        <f t="shared" si="17"/>
        <v/>
      </c>
      <c r="Z79" t="s">
        <v>183</v>
      </c>
      <c r="AA79" s="58" t="str">
        <f t="shared" si="18"/>
        <v/>
      </c>
      <c r="AB79" s="54" t="s">
        <v>183</v>
      </c>
      <c r="AC79" t="str">
        <f t="shared" si="19"/>
        <v/>
      </c>
      <c r="AD79" t="s">
        <v>183</v>
      </c>
      <c r="AE79" s="66" t="str">
        <f t="shared" si="20"/>
        <v/>
      </c>
      <c r="AF79">
        <f t="shared" si="21"/>
        <v>0</v>
      </c>
      <c r="AG79">
        <f t="shared" si="22"/>
        <v>1</v>
      </c>
      <c r="AH79">
        <f t="shared" si="23"/>
        <v>0</v>
      </c>
      <c r="AI79">
        <f t="shared" si="24"/>
        <v>0</v>
      </c>
      <c r="AJ79">
        <f t="shared" si="25"/>
        <v>0</v>
      </c>
      <c r="AK79">
        <f t="shared" si="26"/>
        <v>0</v>
      </c>
      <c r="AL79" s="58">
        <f t="shared" si="27"/>
        <v>0</v>
      </c>
      <c r="AM79">
        <f t="shared" si="28"/>
        <v>1</v>
      </c>
      <c r="AN79" s="279"/>
    </row>
    <row r="80" spans="1:42" x14ac:dyDescent="0.35">
      <c r="A80" s="65">
        <v>58</v>
      </c>
      <c r="B80" t="s">
        <v>54</v>
      </c>
      <c r="C80" s="276">
        <v>40936</v>
      </c>
      <c r="D80" s="54"/>
      <c r="E80" t="str">
        <f t="shared" si="7"/>
        <v/>
      </c>
      <c r="F80" t="s">
        <v>183</v>
      </c>
      <c r="G80" s="58" t="str">
        <f t="shared" si="8"/>
        <v/>
      </c>
      <c r="H80" s="54"/>
      <c r="I80" t="str">
        <f t="shared" si="9"/>
        <v/>
      </c>
      <c r="J80" t="s">
        <v>183</v>
      </c>
      <c r="K80" s="58" t="str">
        <f t="shared" si="10"/>
        <v/>
      </c>
      <c r="L80" s="54"/>
      <c r="M80" t="str">
        <f t="shared" si="11"/>
        <v/>
      </c>
      <c r="N80" t="s">
        <v>183</v>
      </c>
      <c r="O80" s="58" t="str">
        <f t="shared" si="12"/>
        <v/>
      </c>
      <c r="P80" s="54" t="s">
        <v>183</v>
      </c>
      <c r="Q80" t="str">
        <f t="shared" si="13"/>
        <v/>
      </c>
      <c r="R80" t="s">
        <v>183</v>
      </c>
      <c r="S80" s="58" t="str">
        <f t="shared" si="14"/>
        <v/>
      </c>
      <c r="T80" s="54" t="s">
        <v>183</v>
      </c>
      <c r="U80" t="str">
        <f t="shared" si="15"/>
        <v/>
      </c>
      <c r="V80" t="s">
        <v>183</v>
      </c>
      <c r="W80" s="58" t="str">
        <f t="shared" si="16"/>
        <v/>
      </c>
      <c r="X80" s="54" t="s">
        <v>183</v>
      </c>
      <c r="Y80" t="str">
        <f t="shared" si="17"/>
        <v/>
      </c>
      <c r="Z80" t="s">
        <v>183</v>
      </c>
      <c r="AA80" s="58" t="str">
        <f t="shared" si="18"/>
        <v/>
      </c>
      <c r="AB80" s="54" t="s">
        <v>183</v>
      </c>
      <c r="AC80" t="str">
        <f t="shared" si="19"/>
        <v/>
      </c>
      <c r="AD80" t="s">
        <v>183</v>
      </c>
      <c r="AE80" s="66" t="str">
        <f t="shared" si="20"/>
        <v/>
      </c>
      <c r="AF80">
        <f t="shared" si="21"/>
        <v>0</v>
      </c>
      <c r="AG80">
        <f t="shared" si="22"/>
        <v>0</v>
      </c>
      <c r="AH80">
        <f t="shared" si="23"/>
        <v>0</v>
      </c>
      <c r="AI80">
        <f t="shared" si="24"/>
        <v>0</v>
      </c>
      <c r="AJ80">
        <f t="shared" si="25"/>
        <v>0</v>
      </c>
      <c r="AK80">
        <f t="shared" si="26"/>
        <v>0</v>
      </c>
      <c r="AL80" s="58">
        <f t="shared" si="27"/>
        <v>0</v>
      </c>
      <c r="AM80">
        <f t="shared" si="28"/>
        <v>0</v>
      </c>
      <c r="AN80" s="279"/>
    </row>
    <row r="81" spans="1:40" x14ac:dyDescent="0.35">
      <c r="A81" s="65">
        <v>59</v>
      </c>
      <c r="B81" t="s">
        <v>55</v>
      </c>
      <c r="C81" s="276">
        <v>40937</v>
      </c>
      <c r="D81" s="54"/>
      <c r="E81" t="str">
        <f t="shared" si="7"/>
        <v/>
      </c>
      <c r="F81" t="s">
        <v>183</v>
      </c>
      <c r="G81" s="58" t="str">
        <f t="shared" si="8"/>
        <v/>
      </c>
      <c r="H81" s="54"/>
      <c r="I81" t="str">
        <f t="shared" si="9"/>
        <v/>
      </c>
      <c r="J81" t="s">
        <v>183</v>
      </c>
      <c r="K81" s="58" t="str">
        <f t="shared" si="10"/>
        <v/>
      </c>
      <c r="L81" s="54"/>
      <c r="M81" t="str">
        <f t="shared" si="11"/>
        <v/>
      </c>
      <c r="N81" t="s">
        <v>183</v>
      </c>
      <c r="O81" s="58" t="str">
        <f t="shared" si="12"/>
        <v/>
      </c>
      <c r="P81" s="54" t="s">
        <v>183</v>
      </c>
      <c r="Q81" t="str">
        <f t="shared" si="13"/>
        <v/>
      </c>
      <c r="R81" t="s">
        <v>183</v>
      </c>
      <c r="S81" s="58" t="str">
        <f t="shared" si="14"/>
        <v/>
      </c>
      <c r="T81" s="54" t="s">
        <v>183</v>
      </c>
      <c r="U81" t="str">
        <f t="shared" si="15"/>
        <v/>
      </c>
      <c r="V81" t="s">
        <v>183</v>
      </c>
      <c r="W81" s="58" t="str">
        <f t="shared" si="16"/>
        <v/>
      </c>
      <c r="X81" s="54" t="s">
        <v>183</v>
      </c>
      <c r="Y81" t="str">
        <f t="shared" si="17"/>
        <v/>
      </c>
      <c r="Z81" t="s">
        <v>183</v>
      </c>
      <c r="AA81" s="58" t="str">
        <f t="shared" si="18"/>
        <v/>
      </c>
      <c r="AB81" s="54" t="s">
        <v>183</v>
      </c>
      <c r="AC81" t="str">
        <f t="shared" si="19"/>
        <v/>
      </c>
      <c r="AD81" t="s">
        <v>183</v>
      </c>
      <c r="AE81" s="66" t="str">
        <f t="shared" si="20"/>
        <v/>
      </c>
      <c r="AF81">
        <f t="shared" si="21"/>
        <v>0</v>
      </c>
      <c r="AG81">
        <f t="shared" si="22"/>
        <v>0</v>
      </c>
      <c r="AH81">
        <f t="shared" si="23"/>
        <v>0</v>
      </c>
      <c r="AI81">
        <f t="shared" si="24"/>
        <v>0</v>
      </c>
      <c r="AJ81">
        <f t="shared" si="25"/>
        <v>0</v>
      </c>
      <c r="AK81">
        <f t="shared" si="26"/>
        <v>0</v>
      </c>
      <c r="AL81" s="58">
        <f t="shared" si="27"/>
        <v>0</v>
      </c>
      <c r="AM81">
        <f t="shared" si="28"/>
        <v>0</v>
      </c>
      <c r="AN81" s="279"/>
    </row>
    <row r="82" spans="1:40" x14ac:dyDescent="0.35">
      <c r="A82" s="65">
        <v>60</v>
      </c>
      <c r="B82" t="s">
        <v>56</v>
      </c>
      <c r="C82" s="276">
        <v>40938</v>
      </c>
      <c r="D82" s="54">
        <v>9</v>
      </c>
      <c r="E82">
        <f t="shared" si="7"/>
        <v>1935</v>
      </c>
      <c r="F82">
        <v>9</v>
      </c>
      <c r="G82" s="58">
        <f t="shared" si="8"/>
        <v>1320</v>
      </c>
      <c r="H82" s="54"/>
      <c r="I82" t="str">
        <f t="shared" si="9"/>
        <v/>
      </c>
      <c r="J82" t="s">
        <v>183</v>
      </c>
      <c r="K82" s="58" t="str">
        <f t="shared" si="10"/>
        <v/>
      </c>
      <c r="L82" s="54"/>
      <c r="M82" t="str">
        <f t="shared" si="11"/>
        <v/>
      </c>
      <c r="N82" t="s">
        <v>183</v>
      </c>
      <c r="O82" s="58" t="str">
        <f t="shared" si="12"/>
        <v/>
      </c>
      <c r="P82" s="54" t="s">
        <v>183</v>
      </c>
      <c r="Q82" t="str">
        <f t="shared" si="13"/>
        <v/>
      </c>
      <c r="R82" t="s">
        <v>183</v>
      </c>
      <c r="S82" s="58" t="str">
        <f t="shared" si="14"/>
        <v/>
      </c>
      <c r="T82" s="54" t="s">
        <v>183</v>
      </c>
      <c r="U82" t="str">
        <f t="shared" si="15"/>
        <v/>
      </c>
      <c r="V82" t="s">
        <v>183</v>
      </c>
      <c r="W82" s="58" t="str">
        <f t="shared" si="16"/>
        <v/>
      </c>
      <c r="X82" s="54" t="s">
        <v>183</v>
      </c>
      <c r="Y82" t="str">
        <f t="shared" si="17"/>
        <v/>
      </c>
      <c r="Z82">
        <v>10</v>
      </c>
      <c r="AA82" s="58">
        <f t="shared" si="18"/>
        <v>1275</v>
      </c>
      <c r="AB82" s="54" t="s">
        <v>183</v>
      </c>
      <c r="AC82" t="str">
        <f t="shared" si="19"/>
        <v/>
      </c>
      <c r="AD82" t="s">
        <v>183</v>
      </c>
      <c r="AE82" s="66" t="str">
        <f t="shared" si="20"/>
        <v/>
      </c>
      <c r="AF82">
        <f t="shared" si="21"/>
        <v>1</v>
      </c>
      <c r="AG82">
        <f t="shared" si="22"/>
        <v>0</v>
      </c>
      <c r="AH82">
        <f t="shared" si="23"/>
        <v>0</v>
      </c>
      <c r="AI82">
        <f t="shared" si="24"/>
        <v>0</v>
      </c>
      <c r="AJ82">
        <f t="shared" si="25"/>
        <v>0</v>
      </c>
      <c r="AK82">
        <f t="shared" si="26"/>
        <v>0</v>
      </c>
      <c r="AL82" s="58">
        <f t="shared" si="27"/>
        <v>0</v>
      </c>
      <c r="AM82">
        <f t="shared" si="28"/>
        <v>1</v>
      </c>
      <c r="AN82" s="279"/>
    </row>
    <row r="83" spans="1:40" x14ac:dyDescent="0.35">
      <c r="A83" s="65">
        <v>61</v>
      </c>
      <c r="B83" t="s">
        <v>57</v>
      </c>
      <c r="C83" s="276">
        <v>40939</v>
      </c>
      <c r="D83" s="54"/>
      <c r="E83" t="str">
        <f t="shared" si="7"/>
        <v/>
      </c>
      <c r="F83" t="s">
        <v>183</v>
      </c>
      <c r="G83" s="58" t="str">
        <f t="shared" si="8"/>
        <v/>
      </c>
      <c r="H83" s="54"/>
      <c r="I83" t="str">
        <f t="shared" si="9"/>
        <v/>
      </c>
      <c r="J83" t="s">
        <v>183</v>
      </c>
      <c r="K83" s="58" t="str">
        <f t="shared" si="10"/>
        <v/>
      </c>
      <c r="L83" s="54"/>
      <c r="M83" t="str">
        <f t="shared" si="11"/>
        <v/>
      </c>
      <c r="N83" t="s">
        <v>183</v>
      </c>
      <c r="O83" s="58" t="str">
        <f t="shared" si="12"/>
        <v/>
      </c>
      <c r="P83" s="54" t="s">
        <v>183</v>
      </c>
      <c r="Q83" t="str">
        <f t="shared" si="13"/>
        <v/>
      </c>
      <c r="R83" t="s">
        <v>183</v>
      </c>
      <c r="S83" s="58" t="str">
        <f t="shared" si="14"/>
        <v/>
      </c>
      <c r="T83" s="54" t="s">
        <v>183</v>
      </c>
      <c r="U83" t="str">
        <f t="shared" si="15"/>
        <v/>
      </c>
      <c r="V83" t="s">
        <v>183</v>
      </c>
      <c r="W83" s="58" t="str">
        <f t="shared" si="16"/>
        <v/>
      </c>
      <c r="X83" s="54" t="s">
        <v>183</v>
      </c>
      <c r="Y83" t="str">
        <f t="shared" si="17"/>
        <v/>
      </c>
      <c r="Z83" t="s">
        <v>183</v>
      </c>
      <c r="AA83" s="58" t="str">
        <f t="shared" si="18"/>
        <v/>
      </c>
      <c r="AB83" s="54" t="s">
        <v>183</v>
      </c>
      <c r="AC83" t="str">
        <f t="shared" si="19"/>
        <v/>
      </c>
      <c r="AD83" t="s">
        <v>183</v>
      </c>
      <c r="AE83" s="66" t="str">
        <f t="shared" si="20"/>
        <v/>
      </c>
      <c r="AF83">
        <f t="shared" si="21"/>
        <v>0</v>
      </c>
      <c r="AG83">
        <f t="shared" si="22"/>
        <v>0</v>
      </c>
      <c r="AH83">
        <f t="shared" si="23"/>
        <v>0</v>
      </c>
      <c r="AI83">
        <f t="shared" si="24"/>
        <v>0</v>
      </c>
      <c r="AJ83">
        <f t="shared" si="25"/>
        <v>0</v>
      </c>
      <c r="AK83">
        <f t="shared" si="26"/>
        <v>0</v>
      </c>
      <c r="AL83" s="58">
        <f t="shared" si="27"/>
        <v>0</v>
      </c>
      <c r="AM83">
        <f t="shared" si="28"/>
        <v>0</v>
      </c>
      <c r="AN83" s="279"/>
    </row>
    <row r="84" spans="1:40" x14ac:dyDescent="0.35">
      <c r="A84" s="65">
        <v>62</v>
      </c>
      <c r="B84" t="s">
        <v>58</v>
      </c>
      <c r="C84" s="276">
        <v>40940</v>
      </c>
      <c r="D84" s="54"/>
      <c r="E84" t="str">
        <f t="shared" si="7"/>
        <v/>
      </c>
      <c r="F84" t="s">
        <v>183</v>
      </c>
      <c r="G84" s="58" t="str">
        <f t="shared" si="8"/>
        <v/>
      </c>
      <c r="H84" s="54"/>
      <c r="I84" t="str">
        <f t="shared" si="9"/>
        <v/>
      </c>
      <c r="J84" t="s">
        <v>183</v>
      </c>
      <c r="K84" s="58" t="str">
        <f t="shared" si="10"/>
        <v/>
      </c>
      <c r="L84" s="54"/>
      <c r="M84" t="str">
        <f t="shared" si="11"/>
        <v/>
      </c>
      <c r="N84" t="s">
        <v>183</v>
      </c>
      <c r="O84" s="58" t="str">
        <f t="shared" si="12"/>
        <v/>
      </c>
      <c r="P84" s="54" t="s">
        <v>183</v>
      </c>
      <c r="Q84" t="str">
        <f t="shared" si="13"/>
        <v/>
      </c>
      <c r="R84" t="s">
        <v>183</v>
      </c>
      <c r="S84" s="58" t="str">
        <f t="shared" si="14"/>
        <v/>
      </c>
      <c r="T84" s="54" t="s">
        <v>183</v>
      </c>
      <c r="U84" t="str">
        <f t="shared" si="15"/>
        <v/>
      </c>
      <c r="V84" t="s">
        <v>183</v>
      </c>
      <c r="W84" s="58" t="str">
        <f t="shared" si="16"/>
        <v/>
      </c>
      <c r="X84" s="54" t="s">
        <v>183</v>
      </c>
      <c r="Y84" t="str">
        <f t="shared" si="17"/>
        <v/>
      </c>
      <c r="Z84" t="s">
        <v>183</v>
      </c>
      <c r="AA84" s="58" t="str">
        <f t="shared" si="18"/>
        <v/>
      </c>
      <c r="AB84" s="54" t="s">
        <v>183</v>
      </c>
      <c r="AC84" t="str">
        <f t="shared" si="19"/>
        <v/>
      </c>
      <c r="AD84" t="s">
        <v>183</v>
      </c>
      <c r="AE84" s="66" t="str">
        <f t="shared" si="20"/>
        <v/>
      </c>
      <c r="AF84">
        <f t="shared" si="21"/>
        <v>0</v>
      </c>
      <c r="AG84">
        <f t="shared" si="22"/>
        <v>0</v>
      </c>
      <c r="AH84">
        <f t="shared" si="23"/>
        <v>0</v>
      </c>
      <c r="AI84">
        <f t="shared" si="24"/>
        <v>0</v>
      </c>
      <c r="AJ84">
        <f t="shared" si="25"/>
        <v>0</v>
      </c>
      <c r="AK84">
        <f t="shared" si="26"/>
        <v>0</v>
      </c>
      <c r="AL84" s="58">
        <f t="shared" si="27"/>
        <v>0</v>
      </c>
      <c r="AM84">
        <f t="shared" si="28"/>
        <v>0</v>
      </c>
      <c r="AN84" s="279"/>
    </row>
    <row r="85" spans="1:40" x14ac:dyDescent="0.35">
      <c r="A85" s="65">
        <v>63</v>
      </c>
      <c r="B85" t="s">
        <v>52</v>
      </c>
      <c r="C85" s="276">
        <v>40941</v>
      </c>
      <c r="D85" s="54"/>
      <c r="E85" t="str">
        <f t="shared" si="7"/>
        <v/>
      </c>
      <c r="F85" t="s">
        <v>183</v>
      </c>
      <c r="G85" s="58" t="str">
        <f t="shared" si="8"/>
        <v/>
      </c>
      <c r="H85" s="54"/>
      <c r="I85" t="str">
        <f t="shared" si="9"/>
        <v/>
      </c>
      <c r="J85" t="s">
        <v>183</v>
      </c>
      <c r="K85" s="58" t="str">
        <f t="shared" si="10"/>
        <v/>
      </c>
      <c r="L85" s="54"/>
      <c r="M85" t="str">
        <f t="shared" si="11"/>
        <v/>
      </c>
      <c r="N85" t="s">
        <v>183</v>
      </c>
      <c r="O85" s="58" t="str">
        <f t="shared" si="12"/>
        <v/>
      </c>
      <c r="P85" s="54" t="s">
        <v>183</v>
      </c>
      <c r="Q85" t="str">
        <f t="shared" si="13"/>
        <v/>
      </c>
      <c r="R85" t="s">
        <v>183</v>
      </c>
      <c r="S85" s="58" t="str">
        <f t="shared" si="14"/>
        <v/>
      </c>
      <c r="T85" s="54" t="s">
        <v>183</v>
      </c>
      <c r="U85" t="str">
        <f t="shared" si="15"/>
        <v/>
      </c>
      <c r="V85" t="s">
        <v>183</v>
      </c>
      <c r="W85" s="58" t="str">
        <f t="shared" si="16"/>
        <v/>
      </c>
      <c r="X85" s="54" t="s">
        <v>183</v>
      </c>
      <c r="Y85" t="str">
        <f t="shared" si="17"/>
        <v/>
      </c>
      <c r="Z85" t="s">
        <v>183</v>
      </c>
      <c r="AA85" s="58" t="str">
        <f t="shared" si="18"/>
        <v/>
      </c>
      <c r="AB85" s="54" t="s">
        <v>183</v>
      </c>
      <c r="AC85" t="str">
        <f t="shared" si="19"/>
        <v/>
      </c>
      <c r="AD85" t="s">
        <v>183</v>
      </c>
      <c r="AE85" s="66" t="str">
        <f t="shared" si="20"/>
        <v/>
      </c>
      <c r="AF85">
        <f t="shared" si="21"/>
        <v>0</v>
      </c>
      <c r="AG85">
        <f t="shared" si="22"/>
        <v>0</v>
      </c>
      <c r="AH85">
        <f t="shared" si="23"/>
        <v>0</v>
      </c>
      <c r="AI85">
        <f t="shared" si="24"/>
        <v>0</v>
      </c>
      <c r="AJ85">
        <f t="shared" si="25"/>
        <v>0</v>
      </c>
      <c r="AK85">
        <f t="shared" si="26"/>
        <v>0</v>
      </c>
      <c r="AL85" s="58">
        <f t="shared" si="27"/>
        <v>0</v>
      </c>
      <c r="AM85">
        <f t="shared" si="28"/>
        <v>0</v>
      </c>
      <c r="AN85" s="279"/>
    </row>
    <row r="86" spans="1:40" x14ac:dyDescent="0.35">
      <c r="A86" s="65">
        <v>64</v>
      </c>
      <c r="B86" t="s">
        <v>53</v>
      </c>
      <c r="C86" s="276">
        <v>40942</v>
      </c>
      <c r="D86" s="54"/>
      <c r="E86" t="str">
        <f t="shared" ref="E86:E96" si="29">IF(OR(ISBLANK(D86),ISTEXT(D86)),"",LOOKUP(D86,$C$2:$C$11,E$2:E$11))</f>
        <v/>
      </c>
      <c r="F86" t="s">
        <v>183</v>
      </c>
      <c r="G86" s="58" t="str">
        <f t="shared" ref="G86:G96" si="30">IF(OR(ISBLANK(F86),ISTEXT(F86)),"",LOOKUP(F86,$C$2:$C$11,G$2:G$11))</f>
        <v/>
      </c>
      <c r="H86" s="54"/>
      <c r="I86" t="str">
        <f t="shared" ref="I86:I96" si="31">IF(OR(ISBLANK(H86),ISTEXT(H86)),"",LOOKUP(H86,$C$2:$C$11,I$2:I$11))</f>
        <v/>
      </c>
      <c r="J86" t="s">
        <v>183</v>
      </c>
      <c r="K86" s="58" t="str">
        <f t="shared" ref="K86:K96" si="32">IF(OR(ISBLANK(J86),ISTEXT(J86)),"",LOOKUP(J86,$C$2:$C$11,K$2:K$11))</f>
        <v/>
      </c>
      <c r="L86" s="54"/>
      <c r="M86" t="str">
        <f t="shared" ref="M86:M96" si="33">IF(OR(ISBLANK(L86),ISTEXT(L86)),"",LOOKUP(L86,$C$2:$C$11,M$2:M$11))</f>
        <v/>
      </c>
      <c r="N86" t="s">
        <v>183</v>
      </c>
      <c r="O86" s="58" t="str">
        <f t="shared" ref="O86:O96" si="34">IF(OR(ISBLANK(N86),ISTEXT(N86)),"",LOOKUP(N86,$C$2:$C$11,O$2:O$11))</f>
        <v/>
      </c>
      <c r="P86" s="54" t="s">
        <v>183</v>
      </c>
      <c r="Q86" t="str">
        <f t="shared" ref="Q86:Q96" si="35">IF(OR(ISBLANK(P86),ISTEXT(P86)),"",LOOKUP(P86,$C$2:$C$11,Q$2:Q$11))</f>
        <v/>
      </c>
      <c r="R86" t="s">
        <v>183</v>
      </c>
      <c r="S86" s="58" t="str">
        <f t="shared" ref="S86:S96" si="36">IF(OR(ISBLANK(R86),ISTEXT(R86)),"",LOOKUP(R86,$C$2:$C$11,S$2:S$11))</f>
        <v/>
      </c>
      <c r="T86" s="54">
        <v>8</v>
      </c>
      <c r="U86">
        <f t="shared" ref="U86:U96" si="37">IF(OR(ISBLANK(T86),ISTEXT(T86)),"",LOOKUP(T86,$C$2:$C$11,U$2:U$11))</f>
        <v>2085</v>
      </c>
      <c r="V86" t="s">
        <v>183</v>
      </c>
      <c r="W86" s="58" t="str">
        <f t="shared" ref="W86:W96" si="38">IF(OR(ISBLANK(V86),ISTEXT(V86)),"",LOOKUP(V86,$C$2:$C$11,W$2:W$11))</f>
        <v/>
      </c>
      <c r="X86" s="54" t="s">
        <v>183</v>
      </c>
      <c r="Y86" t="str">
        <f t="shared" ref="Y86:Y96" si="39">IF(OR(ISBLANK(X86),ISTEXT(X86)),"",LOOKUP(X86,$C$2:$C$11,Y$2:Y$11))</f>
        <v/>
      </c>
      <c r="Z86" t="s">
        <v>183</v>
      </c>
      <c r="AA86" s="58" t="str">
        <f t="shared" ref="AA86:AA96" si="40">IF(OR(ISBLANK(Z86),ISTEXT(Z86)),"",LOOKUP(Z86,$C$2:$C$11,AA$2:AA$11))</f>
        <v/>
      </c>
      <c r="AB86" s="54" t="s">
        <v>183</v>
      </c>
      <c r="AC86" t="str">
        <f t="shared" ref="AC86:AC96" si="41">IF(OR(ISBLANK(AB86),ISTEXT(AB86)),"",LOOKUP(AB86,$C$2:$C$11,AC$2:AC$11))</f>
        <v/>
      </c>
      <c r="AD86" t="s">
        <v>183</v>
      </c>
      <c r="AE86" s="66" t="str">
        <f t="shared" ref="AE86:AE96" si="42">IF(OR(ISBLANK(AD86),ISTEXT(AD86)),"",LOOKUP(AD86,$C$2:$C$11,AE$2:AE$11))</f>
        <v/>
      </c>
      <c r="AF86">
        <f t="shared" si="21"/>
        <v>0</v>
      </c>
      <c r="AG86">
        <f t="shared" si="22"/>
        <v>0</v>
      </c>
      <c r="AH86">
        <f t="shared" si="23"/>
        <v>0</v>
      </c>
      <c r="AI86">
        <f t="shared" si="24"/>
        <v>0</v>
      </c>
      <c r="AJ86">
        <f t="shared" si="25"/>
        <v>1</v>
      </c>
      <c r="AK86">
        <f t="shared" si="26"/>
        <v>0</v>
      </c>
      <c r="AL86" s="58">
        <f t="shared" si="27"/>
        <v>0</v>
      </c>
      <c r="AM86">
        <f t="shared" si="28"/>
        <v>1</v>
      </c>
      <c r="AN86" s="279"/>
    </row>
    <row r="87" spans="1:40" x14ac:dyDescent="0.35">
      <c r="A87" s="65">
        <v>65</v>
      </c>
      <c r="B87" t="s">
        <v>54</v>
      </c>
      <c r="C87" s="276">
        <v>40943</v>
      </c>
      <c r="D87" s="54"/>
      <c r="E87" t="str">
        <f t="shared" si="29"/>
        <v/>
      </c>
      <c r="F87" t="s">
        <v>183</v>
      </c>
      <c r="G87" s="58" t="str">
        <f t="shared" si="30"/>
        <v/>
      </c>
      <c r="H87" s="54"/>
      <c r="I87" t="str">
        <f t="shared" si="31"/>
        <v/>
      </c>
      <c r="J87" t="s">
        <v>183</v>
      </c>
      <c r="K87" s="58" t="str">
        <f t="shared" si="32"/>
        <v/>
      </c>
      <c r="L87" s="54"/>
      <c r="M87" t="str">
        <f t="shared" si="33"/>
        <v/>
      </c>
      <c r="N87" t="s">
        <v>183</v>
      </c>
      <c r="O87" s="58" t="str">
        <f t="shared" si="34"/>
        <v/>
      </c>
      <c r="P87" s="54" t="s">
        <v>183</v>
      </c>
      <c r="Q87" t="str">
        <f t="shared" si="35"/>
        <v/>
      </c>
      <c r="R87" t="s">
        <v>183</v>
      </c>
      <c r="S87" s="58" t="str">
        <f t="shared" si="36"/>
        <v/>
      </c>
      <c r="T87" s="54" t="s">
        <v>183</v>
      </c>
      <c r="U87" t="str">
        <f t="shared" si="37"/>
        <v/>
      </c>
      <c r="V87" t="s">
        <v>183</v>
      </c>
      <c r="W87" s="58" t="str">
        <f t="shared" si="38"/>
        <v/>
      </c>
      <c r="X87" s="54" t="s">
        <v>183</v>
      </c>
      <c r="Y87" t="str">
        <f t="shared" si="39"/>
        <v/>
      </c>
      <c r="Z87" t="s">
        <v>183</v>
      </c>
      <c r="AA87" s="58" t="str">
        <f t="shared" si="40"/>
        <v/>
      </c>
      <c r="AB87" s="54" t="s">
        <v>183</v>
      </c>
      <c r="AC87" t="str">
        <f t="shared" si="41"/>
        <v/>
      </c>
      <c r="AD87" t="s">
        <v>183</v>
      </c>
      <c r="AE87" s="66" t="str">
        <f t="shared" si="42"/>
        <v/>
      </c>
      <c r="AF87">
        <f t="shared" ref="AF87:AF96" si="43">IF(AND(D87&lt;&gt;"",D87&gt;0),1,0)</f>
        <v>0</v>
      </c>
      <c r="AG87">
        <f t="shared" ref="AG87:AG96" si="44">IF(AND(H87&lt;&gt;"",H87&gt;0),1,0)</f>
        <v>0</v>
      </c>
      <c r="AH87">
        <f t="shared" ref="AH87:AH96" si="45">IF(AND(L87&lt;&gt;"",L87&gt;0),1,0)</f>
        <v>0</v>
      </c>
      <c r="AI87">
        <f t="shared" ref="AI87:AI96" si="46">IF(AND(P87&lt;&gt;"",P87&gt;0),1,0)</f>
        <v>0</v>
      </c>
      <c r="AJ87">
        <f t="shared" ref="AJ87:AJ96" si="47">IF(AND(T87&lt;&gt;"",T87&gt;0),1,0)</f>
        <v>0</v>
      </c>
      <c r="AK87">
        <f t="shared" ref="AK87:AK96" si="48">IF(AND(X87&lt;&gt;"",X87&gt;0),1,0)</f>
        <v>0</v>
      </c>
      <c r="AL87" s="58">
        <f t="shared" ref="AL87:AL96" si="49">IF(AND(AB87&lt;&gt;"",AB87&gt;0),1,0)</f>
        <v>0</v>
      </c>
      <c r="AM87">
        <f t="shared" ref="AM87:AM96" si="50">SUM(AF87:AL87)</f>
        <v>0</v>
      </c>
      <c r="AN87" s="279"/>
    </row>
    <row r="88" spans="1:40" x14ac:dyDescent="0.35">
      <c r="A88" s="65">
        <v>66</v>
      </c>
      <c r="B88" t="s">
        <v>55</v>
      </c>
      <c r="C88" s="276">
        <v>40944</v>
      </c>
      <c r="D88" s="54"/>
      <c r="E88" t="str">
        <f t="shared" si="29"/>
        <v/>
      </c>
      <c r="F88" t="s">
        <v>183</v>
      </c>
      <c r="G88" s="58" t="str">
        <f t="shared" si="30"/>
        <v/>
      </c>
      <c r="H88" s="54"/>
      <c r="I88" t="str">
        <f t="shared" si="31"/>
        <v/>
      </c>
      <c r="J88" t="s">
        <v>183</v>
      </c>
      <c r="K88" s="58" t="str">
        <f t="shared" si="32"/>
        <v/>
      </c>
      <c r="L88" s="54"/>
      <c r="M88" t="str">
        <f t="shared" si="33"/>
        <v/>
      </c>
      <c r="N88" t="s">
        <v>183</v>
      </c>
      <c r="O88" s="58" t="str">
        <f t="shared" si="34"/>
        <v/>
      </c>
      <c r="P88" s="54" t="s">
        <v>183</v>
      </c>
      <c r="Q88" t="str">
        <f t="shared" si="35"/>
        <v/>
      </c>
      <c r="R88" t="s">
        <v>183</v>
      </c>
      <c r="S88" s="58" t="str">
        <f t="shared" si="36"/>
        <v/>
      </c>
      <c r="T88" s="54">
        <v>9</v>
      </c>
      <c r="U88">
        <f t="shared" si="37"/>
        <v>1740</v>
      </c>
      <c r="V88">
        <v>8</v>
      </c>
      <c r="W88" s="58">
        <f t="shared" si="38"/>
        <v>1460</v>
      </c>
      <c r="X88" s="54" t="s">
        <v>183</v>
      </c>
      <c r="Y88" t="str">
        <f t="shared" si="39"/>
        <v/>
      </c>
      <c r="Z88" t="s">
        <v>183</v>
      </c>
      <c r="AA88" s="58" t="str">
        <f t="shared" si="40"/>
        <v/>
      </c>
      <c r="AB88" s="54" t="s">
        <v>183</v>
      </c>
      <c r="AC88" t="str">
        <f t="shared" si="41"/>
        <v/>
      </c>
      <c r="AD88" t="s">
        <v>183</v>
      </c>
      <c r="AE88" s="66" t="str">
        <f t="shared" si="42"/>
        <v/>
      </c>
      <c r="AF88">
        <f t="shared" si="43"/>
        <v>0</v>
      </c>
      <c r="AG88">
        <f t="shared" si="44"/>
        <v>0</v>
      </c>
      <c r="AH88">
        <f t="shared" si="45"/>
        <v>0</v>
      </c>
      <c r="AI88">
        <f t="shared" si="46"/>
        <v>0</v>
      </c>
      <c r="AJ88">
        <f t="shared" si="47"/>
        <v>1</v>
      </c>
      <c r="AK88">
        <f t="shared" si="48"/>
        <v>0</v>
      </c>
      <c r="AL88" s="58">
        <f t="shared" si="49"/>
        <v>0</v>
      </c>
      <c r="AM88">
        <f t="shared" si="50"/>
        <v>1</v>
      </c>
      <c r="AN88" s="279"/>
    </row>
    <row r="89" spans="1:40" x14ac:dyDescent="0.35">
      <c r="A89" s="65">
        <v>67</v>
      </c>
      <c r="B89" t="s">
        <v>56</v>
      </c>
      <c r="C89" s="276">
        <v>40945</v>
      </c>
      <c r="D89" s="54"/>
      <c r="E89" t="str">
        <f t="shared" si="29"/>
        <v/>
      </c>
      <c r="F89" t="s">
        <v>183</v>
      </c>
      <c r="G89" s="58" t="str">
        <f t="shared" si="30"/>
        <v/>
      </c>
      <c r="H89" s="54"/>
      <c r="I89" t="str">
        <f t="shared" si="31"/>
        <v/>
      </c>
      <c r="J89" t="s">
        <v>183</v>
      </c>
      <c r="K89" s="58" t="str">
        <f t="shared" si="32"/>
        <v/>
      </c>
      <c r="L89" s="54"/>
      <c r="M89" t="str">
        <f t="shared" si="33"/>
        <v/>
      </c>
      <c r="N89" t="s">
        <v>183</v>
      </c>
      <c r="O89" s="58" t="str">
        <f t="shared" si="34"/>
        <v/>
      </c>
      <c r="P89" s="54" t="s">
        <v>183</v>
      </c>
      <c r="Q89" t="str">
        <f t="shared" si="35"/>
        <v/>
      </c>
      <c r="R89" t="s">
        <v>183</v>
      </c>
      <c r="S89" s="58" t="str">
        <f t="shared" si="36"/>
        <v/>
      </c>
      <c r="T89" s="54" t="s">
        <v>183</v>
      </c>
      <c r="U89" t="str">
        <f t="shared" si="37"/>
        <v/>
      </c>
      <c r="V89" t="s">
        <v>183</v>
      </c>
      <c r="W89" s="58" t="str">
        <f t="shared" si="38"/>
        <v/>
      </c>
      <c r="X89" s="54" t="s">
        <v>183</v>
      </c>
      <c r="Y89" t="str">
        <f t="shared" si="39"/>
        <v/>
      </c>
      <c r="Z89" t="s">
        <v>183</v>
      </c>
      <c r="AA89" s="58" t="str">
        <f t="shared" si="40"/>
        <v/>
      </c>
      <c r="AB89" s="54" t="s">
        <v>183</v>
      </c>
      <c r="AC89" t="str">
        <f t="shared" si="41"/>
        <v/>
      </c>
      <c r="AD89" t="s">
        <v>183</v>
      </c>
      <c r="AE89" s="66" t="str">
        <f t="shared" si="42"/>
        <v/>
      </c>
      <c r="AF89">
        <f t="shared" si="43"/>
        <v>0</v>
      </c>
      <c r="AG89">
        <f t="shared" si="44"/>
        <v>0</v>
      </c>
      <c r="AH89">
        <f t="shared" si="45"/>
        <v>0</v>
      </c>
      <c r="AI89">
        <f t="shared" si="46"/>
        <v>0</v>
      </c>
      <c r="AJ89">
        <f t="shared" si="47"/>
        <v>0</v>
      </c>
      <c r="AK89">
        <f t="shared" si="48"/>
        <v>0</v>
      </c>
      <c r="AL89" s="58">
        <f t="shared" si="49"/>
        <v>0</v>
      </c>
      <c r="AM89">
        <f t="shared" si="50"/>
        <v>0</v>
      </c>
      <c r="AN89" s="279"/>
    </row>
    <row r="90" spans="1:40" x14ac:dyDescent="0.35">
      <c r="A90" s="65">
        <v>68</v>
      </c>
      <c r="B90" t="s">
        <v>57</v>
      </c>
      <c r="C90" s="276">
        <v>40946</v>
      </c>
      <c r="D90" s="54"/>
      <c r="E90" t="str">
        <f t="shared" si="29"/>
        <v/>
      </c>
      <c r="F90" t="s">
        <v>183</v>
      </c>
      <c r="G90" s="58" t="str">
        <f t="shared" si="30"/>
        <v/>
      </c>
      <c r="H90" s="54"/>
      <c r="I90" t="str">
        <f t="shared" si="31"/>
        <v/>
      </c>
      <c r="J90" t="s">
        <v>183</v>
      </c>
      <c r="K90" s="58" t="str">
        <f t="shared" si="32"/>
        <v/>
      </c>
      <c r="L90" s="54"/>
      <c r="M90" t="str">
        <f t="shared" si="33"/>
        <v/>
      </c>
      <c r="N90" t="s">
        <v>183</v>
      </c>
      <c r="O90" s="58" t="str">
        <f t="shared" si="34"/>
        <v/>
      </c>
      <c r="P90" s="54">
        <v>8</v>
      </c>
      <c r="Q90">
        <f t="shared" si="35"/>
        <v>2095</v>
      </c>
      <c r="R90" t="s">
        <v>183</v>
      </c>
      <c r="S90" s="58" t="str">
        <f t="shared" si="36"/>
        <v/>
      </c>
      <c r="T90" s="54" t="s">
        <v>183</v>
      </c>
      <c r="U90" t="str">
        <f t="shared" si="37"/>
        <v/>
      </c>
      <c r="V90">
        <v>9</v>
      </c>
      <c r="W90" s="58">
        <f t="shared" si="38"/>
        <v>1335</v>
      </c>
      <c r="X90" s="54" t="s">
        <v>183</v>
      </c>
      <c r="Y90" t="str">
        <f t="shared" si="39"/>
        <v/>
      </c>
      <c r="Z90" t="s">
        <v>183</v>
      </c>
      <c r="AA90" s="58" t="str">
        <f t="shared" si="40"/>
        <v/>
      </c>
      <c r="AB90" s="54" t="s">
        <v>183</v>
      </c>
      <c r="AC90" t="str">
        <f t="shared" si="41"/>
        <v/>
      </c>
      <c r="AD90" t="s">
        <v>183</v>
      </c>
      <c r="AE90" s="66" t="str">
        <f t="shared" si="42"/>
        <v/>
      </c>
      <c r="AF90">
        <f t="shared" si="43"/>
        <v>0</v>
      </c>
      <c r="AG90">
        <f t="shared" si="44"/>
        <v>0</v>
      </c>
      <c r="AH90">
        <f t="shared" si="45"/>
        <v>0</v>
      </c>
      <c r="AI90">
        <f t="shared" si="46"/>
        <v>1</v>
      </c>
      <c r="AJ90">
        <f t="shared" si="47"/>
        <v>0</v>
      </c>
      <c r="AK90">
        <f t="shared" si="48"/>
        <v>0</v>
      </c>
      <c r="AL90" s="58">
        <f t="shared" si="49"/>
        <v>0</v>
      </c>
      <c r="AM90">
        <f t="shared" si="50"/>
        <v>1</v>
      </c>
      <c r="AN90" s="279"/>
    </row>
    <row r="91" spans="1:40" x14ac:dyDescent="0.35">
      <c r="A91" s="65">
        <v>69</v>
      </c>
      <c r="B91" t="s">
        <v>58</v>
      </c>
      <c r="C91" s="276">
        <v>40947</v>
      </c>
      <c r="D91" s="54"/>
      <c r="E91" t="str">
        <f t="shared" si="29"/>
        <v/>
      </c>
      <c r="F91" t="s">
        <v>183</v>
      </c>
      <c r="G91" s="58" t="str">
        <f t="shared" si="30"/>
        <v/>
      </c>
      <c r="H91" s="54"/>
      <c r="I91" t="str">
        <f t="shared" si="31"/>
        <v/>
      </c>
      <c r="J91" t="s">
        <v>183</v>
      </c>
      <c r="K91" s="58" t="str">
        <f t="shared" si="32"/>
        <v/>
      </c>
      <c r="L91" s="54"/>
      <c r="M91" t="str">
        <f t="shared" si="33"/>
        <v/>
      </c>
      <c r="N91" t="s">
        <v>183</v>
      </c>
      <c r="O91" s="58" t="str">
        <f t="shared" si="34"/>
        <v/>
      </c>
      <c r="P91" s="54">
        <v>9</v>
      </c>
      <c r="Q91">
        <f t="shared" si="35"/>
        <v>1860</v>
      </c>
      <c r="R91">
        <v>8</v>
      </c>
      <c r="S91" s="58">
        <f t="shared" si="36"/>
        <v>1235</v>
      </c>
      <c r="T91" s="54" t="s">
        <v>183</v>
      </c>
      <c r="U91" t="str">
        <f t="shared" si="37"/>
        <v/>
      </c>
      <c r="V91" t="s">
        <v>183</v>
      </c>
      <c r="W91" s="58" t="str">
        <f t="shared" si="38"/>
        <v/>
      </c>
      <c r="X91" s="54" t="s">
        <v>183</v>
      </c>
      <c r="Y91" t="str">
        <f t="shared" si="39"/>
        <v/>
      </c>
      <c r="Z91" t="s">
        <v>183</v>
      </c>
      <c r="AA91" s="58" t="str">
        <f t="shared" si="40"/>
        <v/>
      </c>
      <c r="AB91" s="54" t="s">
        <v>183</v>
      </c>
      <c r="AC91" t="str">
        <f t="shared" si="41"/>
        <v/>
      </c>
      <c r="AD91" t="s">
        <v>183</v>
      </c>
      <c r="AE91" s="66" t="str">
        <f t="shared" si="42"/>
        <v/>
      </c>
      <c r="AF91">
        <f t="shared" si="43"/>
        <v>0</v>
      </c>
      <c r="AG91">
        <f t="shared" si="44"/>
        <v>0</v>
      </c>
      <c r="AH91">
        <f t="shared" si="45"/>
        <v>0</v>
      </c>
      <c r="AI91">
        <f t="shared" si="46"/>
        <v>1</v>
      </c>
      <c r="AJ91">
        <f t="shared" si="47"/>
        <v>0</v>
      </c>
      <c r="AK91">
        <f t="shared" si="48"/>
        <v>0</v>
      </c>
      <c r="AL91" s="58">
        <f t="shared" si="49"/>
        <v>0</v>
      </c>
      <c r="AM91">
        <f t="shared" si="50"/>
        <v>1</v>
      </c>
      <c r="AN91" s="279"/>
    </row>
    <row r="92" spans="1:40" x14ac:dyDescent="0.35">
      <c r="A92" s="65">
        <v>70</v>
      </c>
      <c r="B92" t="s">
        <v>52</v>
      </c>
      <c r="C92" s="276">
        <v>40948</v>
      </c>
      <c r="D92" s="54"/>
      <c r="E92" t="str">
        <f t="shared" si="29"/>
        <v/>
      </c>
      <c r="F92" t="s">
        <v>183</v>
      </c>
      <c r="G92" s="58" t="str">
        <f t="shared" si="30"/>
        <v/>
      </c>
      <c r="H92" s="54"/>
      <c r="I92" t="str">
        <f t="shared" si="31"/>
        <v/>
      </c>
      <c r="J92" t="s">
        <v>183</v>
      </c>
      <c r="K92" s="58" t="str">
        <f t="shared" si="32"/>
        <v/>
      </c>
      <c r="L92" s="54">
        <v>8</v>
      </c>
      <c r="M92">
        <f t="shared" si="33"/>
        <v>1845</v>
      </c>
      <c r="N92">
        <v>8</v>
      </c>
      <c r="O92" s="58">
        <f t="shared" si="34"/>
        <v>1380</v>
      </c>
      <c r="P92" s="54" t="s">
        <v>183</v>
      </c>
      <c r="Q92" t="str">
        <f t="shared" si="35"/>
        <v/>
      </c>
      <c r="R92">
        <v>9</v>
      </c>
      <c r="S92" s="58">
        <f t="shared" si="36"/>
        <v>1290</v>
      </c>
      <c r="T92" s="54" t="s">
        <v>183</v>
      </c>
      <c r="U92" t="str">
        <f t="shared" si="37"/>
        <v/>
      </c>
      <c r="V92" t="s">
        <v>183</v>
      </c>
      <c r="W92" s="58" t="str">
        <f t="shared" si="38"/>
        <v/>
      </c>
      <c r="X92" s="54" t="s">
        <v>183</v>
      </c>
      <c r="Y92" t="str">
        <f t="shared" si="39"/>
        <v/>
      </c>
      <c r="Z92" t="s">
        <v>183</v>
      </c>
      <c r="AA92" s="58" t="str">
        <f t="shared" si="40"/>
        <v/>
      </c>
      <c r="AB92" s="54" t="s">
        <v>183</v>
      </c>
      <c r="AC92" t="str">
        <f t="shared" si="41"/>
        <v/>
      </c>
      <c r="AD92" t="s">
        <v>183</v>
      </c>
      <c r="AE92" s="66" t="str">
        <f t="shared" si="42"/>
        <v/>
      </c>
      <c r="AF92">
        <f t="shared" si="43"/>
        <v>0</v>
      </c>
      <c r="AG92">
        <f t="shared" si="44"/>
        <v>0</v>
      </c>
      <c r="AH92">
        <f t="shared" si="45"/>
        <v>1</v>
      </c>
      <c r="AI92">
        <f t="shared" si="46"/>
        <v>0</v>
      </c>
      <c r="AJ92">
        <f t="shared" si="47"/>
        <v>0</v>
      </c>
      <c r="AK92">
        <f t="shared" si="48"/>
        <v>0</v>
      </c>
      <c r="AL92" s="58">
        <f t="shared" si="49"/>
        <v>0</v>
      </c>
      <c r="AM92">
        <f t="shared" si="50"/>
        <v>1</v>
      </c>
      <c r="AN92" s="279"/>
    </row>
    <row r="93" spans="1:40" x14ac:dyDescent="0.35">
      <c r="A93" s="65">
        <v>71</v>
      </c>
      <c r="B93" t="s">
        <v>53</v>
      </c>
      <c r="C93" s="276">
        <v>40949</v>
      </c>
      <c r="D93" s="54"/>
      <c r="E93" t="str">
        <f t="shared" si="29"/>
        <v/>
      </c>
      <c r="F93" t="s">
        <v>183</v>
      </c>
      <c r="G93" s="58" t="str">
        <f t="shared" si="30"/>
        <v/>
      </c>
      <c r="H93" s="54">
        <v>10</v>
      </c>
      <c r="I93">
        <f t="shared" si="31"/>
        <v>2065</v>
      </c>
      <c r="J93">
        <v>10</v>
      </c>
      <c r="K93" s="58">
        <f t="shared" si="32"/>
        <v>1325</v>
      </c>
      <c r="L93" s="54"/>
      <c r="M93" t="str">
        <f t="shared" si="33"/>
        <v/>
      </c>
      <c r="N93" t="s">
        <v>183</v>
      </c>
      <c r="O93" s="58" t="str">
        <f t="shared" si="34"/>
        <v/>
      </c>
      <c r="P93" s="54">
        <v>10</v>
      </c>
      <c r="Q93">
        <f t="shared" si="35"/>
        <v>1980</v>
      </c>
      <c r="R93" t="s">
        <v>183</v>
      </c>
      <c r="S93" s="58" t="str">
        <f t="shared" si="36"/>
        <v/>
      </c>
      <c r="T93" s="54">
        <v>10</v>
      </c>
      <c r="U93">
        <f t="shared" si="37"/>
        <v>1695</v>
      </c>
      <c r="V93" t="s">
        <v>183</v>
      </c>
      <c r="W93" s="58" t="str">
        <f t="shared" si="38"/>
        <v/>
      </c>
      <c r="X93" s="54" t="s">
        <v>183</v>
      </c>
      <c r="Y93" t="str">
        <f t="shared" si="39"/>
        <v/>
      </c>
      <c r="Z93" t="s">
        <v>183</v>
      </c>
      <c r="AA93" s="58" t="str">
        <f t="shared" si="40"/>
        <v/>
      </c>
      <c r="AB93" s="54" t="s">
        <v>183</v>
      </c>
      <c r="AC93" t="str">
        <f t="shared" si="41"/>
        <v/>
      </c>
      <c r="AD93" t="s">
        <v>183</v>
      </c>
      <c r="AE93" s="66" t="str">
        <f t="shared" si="42"/>
        <v/>
      </c>
      <c r="AF93">
        <f t="shared" si="43"/>
        <v>0</v>
      </c>
      <c r="AG93">
        <f t="shared" si="44"/>
        <v>1</v>
      </c>
      <c r="AH93">
        <f t="shared" si="45"/>
        <v>0</v>
      </c>
      <c r="AI93">
        <f t="shared" si="46"/>
        <v>1</v>
      </c>
      <c r="AJ93">
        <f t="shared" si="47"/>
        <v>1</v>
      </c>
      <c r="AK93">
        <f t="shared" si="48"/>
        <v>0</v>
      </c>
      <c r="AL93" s="58">
        <f t="shared" si="49"/>
        <v>0</v>
      </c>
      <c r="AM93">
        <f t="shared" si="50"/>
        <v>3</v>
      </c>
      <c r="AN93" s="279"/>
    </row>
    <row r="94" spans="1:40" x14ac:dyDescent="0.35">
      <c r="A94" s="65">
        <v>72</v>
      </c>
      <c r="B94" t="s">
        <v>54</v>
      </c>
      <c r="C94" s="276">
        <v>40950</v>
      </c>
      <c r="D94" s="54"/>
      <c r="E94" t="str">
        <f t="shared" si="29"/>
        <v/>
      </c>
      <c r="F94" t="s">
        <v>183</v>
      </c>
      <c r="G94" s="58" t="str">
        <f t="shared" si="30"/>
        <v/>
      </c>
      <c r="H94" s="54"/>
      <c r="I94" t="str">
        <f t="shared" si="31"/>
        <v/>
      </c>
      <c r="J94" t="s">
        <v>183</v>
      </c>
      <c r="K94" s="58" t="str">
        <f t="shared" si="32"/>
        <v/>
      </c>
      <c r="L94" s="54"/>
      <c r="M94" t="str">
        <f t="shared" si="33"/>
        <v/>
      </c>
      <c r="N94" t="s">
        <v>183</v>
      </c>
      <c r="O94" s="58" t="str">
        <f t="shared" si="34"/>
        <v/>
      </c>
      <c r="P94" s="54" t="s">
        <v>183</v>
      </c>
      <c r="Q94" t="str">
        <f t="shared" si="35"/>
        <v/>
      </c>
      <c r="R94">
        <v>10</v>
      </c>
      <c r="S94" s="58">
        <f t="shared" si="36"/>
        <v>1275</v>
      </c>
      <c r="T94" s="54" t="s">
        <v>183</v>
      </c>
      <c r="U94" t="str">
        <f t="shared" si="37"/>
        <v/>
      </c>
      <c r="V94" t="s">
        <v>183</v>
      </c>
      <c r="W94" s="58" t="str">
        <f t="shared" si="38"/>
        <v/>
      </c>
      <c r="X94" s="54" t="s">
        <v>183</v>
      </c>
      <c r="Y94" t="str">
        <f t="shared" si="39"/>
        <v/>
      </c>
      <c r="Z94" t="s">
        <v>183</v>
      </c>
      <c r="AA94" s="58" t="str">
        <f t="shared" si="40"/>
        <v/>
      </c>
      <c r="AB94" s="54" t="s">
        <v>183</v>
      </c>
      <c r="AC94" t="str">
        <f t="shared" si="41"/>
        <v/>
      </c>
      <c r="AD94" t="s">
        <v>183</v>
      </c>
      <c r="AE94" s="66" t="str">
        <f t="shared" si="42"/>
        <v/>
      </c>
      <c r="AF94">
        <f t="shared" si="43"/>
        <v>0</v>
      </c>
      <c r="AG94">
        <f t="shared" si="44"/>
        <v>0</v>
      </c>
      <c r="AH94">
        <f t="shared" si="45"/>
        <v>0</v>
      </c>
      <c r="AI94">
        <f t="shared" si="46"/>
        <v>0</v>
      </c>
      <c r="AJ94">
        <f t="shared" si="47"/>
        <v>0</v>
      </c>
      <c r="AK94">
        <f t="shared" si="48"/>
        <v>0</v>
      </c>
      <c r="AL94" s="58">
        <f t="shared" si="49"/>
        <v>0</v>
      </c>
      <c r="AM94">
        <f t="shared" si="50"/>
        <v>0</v>
      </c>
      <c r="AN94" s="279"/>
    </row>
    <row r="95" spans="1:40" x14ac:dyDescent="0.35">
      <c r="A95" s="65">
        <v>73</v>
      </c>
      <c r="B95" t="s">
        <v>55</v>
      </c>
      <c r="C95" s="276">
        <v>40951</v>
      </c>
      <c r="D95" s="54">
        <v>10</v>
      </c>
      <c r="E95">
        <f t="shared" si="29"/>
        <v>1830</v>
      </c>
      <c r="F95">
        <v>10</v>
      </c>
      <c r="G95" s="58">
        <f t="shared" si="30"/>
        <v>1235</v>
      </c>
      <c r="H95" s="54"/>
      <c r="I95" t="str">
        <f t="shared" si="31"/>
        <v/>
      </c>
      <c r="J95" t="s">
        <v>183</v>
      </c>
      <c r="K95" s="58" t="str">
        <f t="shared" si="32"/>
        <v/>
      </c>
      <c r="L95" s="54"/>
      <c r="M95" t="str">
        <f t="shared" si="33"/>
        <v/>
      </c>
      <c r="N95" t="s">
        <v>183</v>
      </c>
      <c r="O95" s="58" t="str">
        <f t="shared" si="34"/>
        <v/>
      </c>
      <c r="P95" s="54" t="s">
        <v>183</v>
      </c>
      <c r="Q95" t="str">
        <f t="shared" si="35"/>
        <v/>
      </c>
      <c r="R95" t="s">
        <v>183</v>
      </c>
      <c r="S95" s="58" t="str">
        <f t="shared" si="36"/>
        <v/>
      </c>
      <c r="T95" s="54" t="s">
        <v>183</v>
      </c>
      <c r="U95" t="str">
        <f t="shared" si="37"/>
        <v/>
      </c>
      <c r="V95">
        <v>10</v>
      </c>
      <c r="W95" s="58">
        <f t="shared" si="38"/>
        <v>1375</v>
      </c>
      <c r="X95" s="54" t="s">
        <v>183</v>
      </c>
      <c r="Y95" t="str">
        <f t="shared" si="39"/>
        <v/>
      </c>
      <c r="Z95" t="s">
        <v>183</v>
      </c>
      <c r="AA95" s="58" t="str">
        <f t="shared" si="40"/>
        <v/>
      </c>
      <c r="AB95" s="54" t="s">
        <v>183</v>
      </c>
      <c r="AC95" t="str">
        <f t="shared" si="41"/>
        <v/>
      </c>
      <c r="AD95" t="s">
        <v>183</v>
      </c>
      <c r="AE95" s="66" t="str">
        <f t="shared" si="42"/>
        <v/>
      </c>
      <c r="AF95">
        <f t="shared" si="43"/>
        <v>1</v>
      </c>
      <c r="AG95">
        <f t="shared" si="44"/>
        <v>0</v>
      </c>
      <c r="AH95">
        <f t="shared" si="45"/>
        <v>0</v>
      </c>
      <c r="AI95">
        <f t="shared" si="46"/>
        <v>0</v>
      </c>
      <c r="AJ95">
        <f t="shared" si="47"/>
        <v>0</v>
      </c>
      <c r="AK95">
        <f t="shared" si="48"/>
        <v>0</v>
      </c>
      <c r="AL95" s="58">
        <f t="shared" si="49"/>
        <v>0</v>
      </c>
      <c r="AM95">
        <f t="shared" si="50"/>
        <v>1</v>
      </c>
      <c r="AN95" s="279"/>
    </row>
    <row r="96" spans="1:40" ht="15" thickBot="1" x14ac:dyDescent="0.4">
      <c r="A96" s="67">
        <v>74</v>
      </c>
      <c r="B96" s="74" t="s">
        <v>56</v>
      </c>
      <c r="C96" s="291">
        <v>40952</v>
      </c>
      <c r="D96" s="292"/>
      <c r="E96" s="74" t="str">
        <f t="shared" si="29"/>
        <v/>
      </c>
      <c r="F96" s="74" t="s">
        <v>183</v>
      </c>
      <c r="G96" s="293" t="str">
        <f t="shared" si="30"/>
        <v/>
      </c>
      <c r="H96" s="292"/>
      <c r="I96" s="74" t="str">
        <f t="shared" si="31"/>
        <v/>
      </c>
      <c r="J96" s="74" t="s">
        <v>183</v>
      </c>
      <c r="K96" s="293" t="str">
        <f t="shared" si="32"/>
        <v/>
      </c>
      <c r="L96" s="292">
        <v>9</v>
      </c>
      <c r="M96" s="74">
        <f t="shared" si="33"/>
        <v>1950</v>
      </c>
      <c r="N96" s="74">
        <v>9</v>
      </c>
      <c r="O96" s="293">
        <f t="shared" si="34"/>
        <v>1585</v>
      </c>
      <c r="P96" s="292" t="s">
        <v>183</v>
      </c>
      <c r="Q96" s="74" t="str">
        <f t="shared" si="35"/>
        <v/>
      </c>
      <c r="R96" s="74" t="s">
        <v>183</v>
      </c>
      <c r="S96" s="293" t="str">
        <f t="shared" si="36"/>
        <v/>
      </c>
      <c r="T96" s="292" t="s">
        <v>183</v>
      </c>
      <c r="U96" s="74" t="str">
        <f t="shared" si="37"/>
        <v/>
      </c>
      <c r="V96" s="74" t="s">
        <v>183</v>
      </c>
      <c r="W96" s="293" t="str">
        <f t="shared" si="38"/>
        <v/>
      </c>
      <c r="X96" s="292" t="s">
        <v>183</v>
      </c>
      <c r="Y96" s="74" t="str">
        <f t="shared" si="39"/>
        <v/>
      </c>
      <c r="Z96" s="74" t="s">
        <v>183</v>
      </c>
      <c r="AA96" s="293" t="str">
        <f t="shared" si="40"/>
        <v/>
      </c>
      <c r="AB96" s="292" t="s">
        <v>183</v>
      </c>
      <c r="AC96" s="74" t="str">
        <f t="shared" si="41"/>
        <v/>
      </c>
      <c r="AD96" s="74" t="s">
        <v>183</v>
      </c>
      <c r="AE96" s="68" t="str">
        <f t="shared" si="42"/>
        <v/>
      </c>
      <c r="AF96">
        <f t="shared" si="43"/>
        <v>0</v>
      </c>
      <c r="AG96">
        <f t="shared" si="44"/>
        <v>0</v>
      </c>
      <c r="AH96">
        <f t="shared" si="45"/>
        <v>1</v>
      </c>
      <c r="AI96">
        <f t="shared" si="46"/>
        <v>0</v>
      </c>
      <c r="AJ96">
        <f t="shared" si="47"/>
        <v>0</v>
      </c>
      <c r="AK96">
        <f t="shared" si="48"/>
        <v>0</v>
      </c>
      <c r="AL96" s="58">
        <f t="shared" si="49"/>
        <v>0</v>
      </c>
      <c r="AM96">
        <f t="shared" si="50"/>
        <v>1</v>
      </c>
      <c r="AN96" s="279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</sheetData>
  <mergeCells count="23">
    <mergeCell ref="AB19:AE19"/>
    <mergeCell ref="A20:C20"/>
    <mergeCell ref="D20:E20"/>
    <mergeCell ref="F20:G20"/>
    <mergeCell ref="H20:I20"/>
    <mergeCell ref="J20:K20"/>
    <mergeCell ref="L20:M20"/>
    <mergeCell ref="N20:O20"/>
    <mergeCell ref="P20:Q20"/>
    <mergeCell ref="R20:S20"/>
    <mergeCell ref="D19:G19"/>
    <mergeCell ref="H19:K19"/>
    <mergeCell ref="L19:O19"/>
    <mergeCell ref="P19:S19"/>
    <mergeCell ref="T19:W19"/>
    <mergeCell ref="X19:AA19"/>
    <mergeCell ref="AF20:AL20"/>
    <mergeCell ref="T20:U20"/>
    <mergeCell ref="V20:W20"/>
    <mergeCell ref="X20:Y20"/>
    <mergeCell ref="Z20:AA20"/>
    <mergeCell ref="AB20:AC20"/>
    <mergeCell ref="AD20:AE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V221"/>
  <sheetViews>
    <sheetView topLeftCell="A78" zoomScale="80" zoomScaleNormal="80" workbookViewId="0">
      <selection activeCell="AQ37" sqref="AQ37"/>
    </sheetView>
  </sheetViews>
  <sheetFormatPr defaultRowHeight="14.5" x14ac:dyDescent="0.35"/>
  <cols>
    <col min="1" max="1" width="7" customWidth="1"/>
    <col min="2" max="2" width="10.90625" customWidth="1"/>
    <col min="3" max="4" width="9.08984375" style="1" customWidth="1"/>
    <col min="5" max="31" width="12.6328125" customWidth="1"/>
    <col min="34" max="34" width="3.54296875" customWidth="1"/>
    <col min="35" max="35" width="9.54296875" customWidth="1"/>
    <col min="36" max="36" width="10.90625" customWidth="1"/>
    <col min="37" max="37" width="11.54296875" customWidth="1"/>
    <col min="38" max="38" width="14.90625" customWidth="1"/>
    <col min="39" max="39" width="11.6328125" customWidth="1"/>
    <col min="42" max="42" width="13.36328125" bestFit="1" customWidth="1"/>
    <col min="43" max="43" width="13.36328125" customWidth="1"/>
    <col min="44" max="44" width="20.1796875" bestFit="1" customWidth="1"/>
  </cols>
  <sheetData>
    <row r="1" spans="3:33" x14ac:dyDescent="0.35">
      <c r="D1" s="61" t="s">
        <v>186</v>
      </c>
      <c r="F1" s="61" t="s">
        <v>74</v>
      </c>
      <c r="G1" s="61"/>
      <c r="H1" s="61" t="s">
        <v>75</v>
      </c>
      <c r="I1" s="61" t="s">
        <v>162</v>
      </c>
      <c r="J1" s="61" t="s">
        <v>76</v>
      </c>
      <c r="L1" s="61" t="s">
        <v>77</v>
      </c>
      <c r="M1" s="61" t="s">
        <v>162</v>
      </c>
      <c r="N1" s="61" t="s">
        <v>78</v>
      </c>
      <c r="P1" s="61" t="s">
        <v>79</v>
      </c>
      <c r="Q1" s="61" t="s">
        <v>162</v>
      </c>
      <c r="R1" s="61" t="s">
        <v>80</v>
      </c>
      <c r="T1" s="61" t="s">
        <v>81</v>
      </c>
      <c r="U1" s="61" t="s">
        <v>162</v>
      </c>
      <c r="V1" s="61" t="s">
        <v>82</v>
      </c>
      <c r="X1" s="61" t="s">
        <v>83</v>
      </c>
      <c r="Y1" s="61" t="s">
        <v>162</v>
      </c>
      <c r="Z1" s="61" t="s">
        <v>84</v>
      </c>
      <c r="AB1" s="61" t="s">
        <v>85</v>
      </c>
      <c r="AC1" s="61" t="s">
        <v>162</v>
      </c>
      <c r="AD1" s="61" t="s">
        <v>86</v>
      </c>
      <c r="AF1" s="61" t="s">
        <v>87</v>
      </c>
      <c r="AG1" s="61" t="s">
        <v>162</v>
      </c>
    </row>
    <row r="2" spans="3:33" x14ac:dyDescent="0.35">
      <c r="D2" s="61">
        <v>1</v>
      </c>
      <c r="F2">
        <v>1405</v>
      </c>
      <c r="H2">
        <v>670</v>
      </c>
      <c r="I2">
        <f>(F2-H2)/F2</f>
        <v>0.52313167259786475</v>
      </c>
      <c r="J2">
        <v>1690</v>
      </c>
      <c r="L2">
        <v>1280</v>
      </c>
      <c r="M2">
        <f>(J2-L2)/J2</f>
        <v>0.24260355029585798</v>
      </c>
      <c r="N2">
        <v>1815</v>
      </c>
      <c r="P2">
        <v>1240</v>
      </c>
      <c r="Q2">
        <f>(N2-P2)/N2</f>
        <v>0.3168044077134986</v>
      </c>
      <c r="R2">
        <v>1670</v>
      </c>
      <c r="T2">
        <v>1105</v>
      </c>
      <c r="U2">
        <f>(R2-T2)/R2</f>
        <v>0.33832335329341318</v>
      </c>
      <c r="V2">
        <v>1710</v>
      </c>
      <c r="X2">
        <v>1195</v>
      </c>
      <c r="Y2">
        <f>(V2-X2)/V2</f>
        <v>0.30116959064327486</v>
      </c>
      <c r="Z2">
        <v>1780</v>
      </c>
      <c r="AB2">
        <v>1370</v>
      </c>
      <c r="AC2">
        <f>(Z2-AB2)/Z2</f>
        <v>0.2303370786516854</v>
      </c>
      <c r="AD2">
        <v>1480</v>
      </c>
      <c r="AF2">
        <v>1380</v>
      </c>
      <c r="AG2">
        <f>(AD2-AF2)/AD2</f>
        <v>6.7567567567567571E-2</v>
      </c>
    </row>
    <row r="3" spans="3:33" x14ac:dyDescent="0.35">
      <c r="D3" s="61">
        <v>2</v>
      </c>
      <c r="F3">
        <v>1840</v>
      </c>
      <c r="H3">
        <v>1210</v>
      </c>
      <c r="I3">
        <f t="shared" ref="I3:I12" si="0">(F3-H3)/F3</f>
        <v>0.34239130434782611</v>
      </c>
      <c r="J3">
        <v>1790</v>
      </c>
      <c r="L3">
        <v>1330</v>
      </c>
      <c r="M3">
        <f t="shared" ref="M3:M12" si="1">(J3-L3)/J3</f>
        <v>0.25698324022346369</v>
      </c>
      <c r="N3">
        <v>1780</v>
      </c>
      <c r="P3">
        <v>1350</v>
      </c>
      <c r="Q3">
        <f t="shared" ref="Q3:Q12" si="2">(N3-P3)/N3</f>
        <v>0.24157303370786518</v>
      </c>
      <c r="R3">
        <v>1840</v>
      </c>
      <c r="T3">
        <v>1325</v>
      </c>
      <c r="U3">
        <f t="shared" ref="U3:U12" si="3">(R3-T3)/R3</f>
        <v>0.27989130434782611</v>
      </c>
      <c r="V3">
        <v>1635</v>
      </c>
      <c r="X3">
        <v>1340</v>
      </c>
      <c r="Y3">
        <f t="shared" ref="Y3:Y12" si="4">(V3-X3)/V3</f>
        <v>0.18042813455657492</v>
      </c>
      <c r="Z3">
        <v>1605</v>
      </c>
      <c r="AB3">
        <v>1560</v>
      </c>
      <c r="AC3">
        <f t="shared" ref="AC3:AC11" si="5">(Z3-AB3)/Z3</f>
        <v>2.8037383177570093E-2</v>
      </c>
      <c r="AD3">
        <v>1680</v>
      </c>
      <c r="AF3">
        <v>1450</v>
      </c>
      <c r="AG3">
        <f t="shared" ref="AG3:AG12" si="6">(AD3-AF3)/AD3</f>
        <v>0.13690476190476192</v>
      </c>
    </row>
    <row r="4" spans="3:33" x14ac:dyDescent="0.35">
      <c r="D4" s="61">
        <v>3</v>
      </c>
      <c r="F4">
        <v>1830</v>
      </c>
      <c r="H4">
        <v>1100</v>
      </c>
      <c r="I4">
        <f t="shared" si="0"/>
        <v>0.39890710382513661</v>
      </c>
      <c r="J4">
        <v>2070</v>
      </c>
      <c r="L4">
        <v>1235</v>
      </c>
      <c r="M4">
        <f t="shared" si="1"/>
        <v>0.40338164251207731</v>
      </c>
      <c r="N4">
        <v>1935</v>
      </c>
      <c r="P4">
        <v>1350</v>
      </c>
      <c r="Q4">
        <f t="shared" si="2"/>
        <v>0.30232558139534882</v>
      </c>
      <c r="R4">
        <v>1930</v>
      </c>
      <c r="T4">
        <v>1205</v>
      </c>
      <c r="U4">
        <f t="shared" si="3"/>
        <v>0.37564766839378239</v>
      </c>
      <c r="V4">
        <v>1950</v>
      </c>
      <c r="X4">
        <v>1580</v>
      </c>
      <c r="Y4">
        <f t="shared" si="4"/>
        <v>0.18974358974358974</v>
      </c>
      <c r="Z4">
        <v>1870</v>
      </c>
      <c r="AB4">
        <v>1545</v>
      </c>
      <c r="AC4">
        <f t="shared" si="5"/>
        <v>0.17379679144385027</v>
      </c>
      <c r="AD4">
        <v>1770</v>
      </c>
      <c r="AF4">
        <v>1530</v>
      </c>
      <c r="AG4">
        <f t="shared" si="6"/>
        <v>0.13559322033898305</v>
      </c>
    </row>
    <row r="5" spans="3:33" x14ac:dyDescent="0.35">
      <c r="D5" s="61">
        <v>4</v>
      </c>
      <c r="F5">
        <v>2180</v>
      </c>
      <c r="H5">
        <v>960</v>
      </c>
      <c r="I5">
        <f t="shared" si="0"/>
        <v>0.55963302752293576</v>
      </c>
      <c r="J5">
        <v>1875</v>
      </c>
      <c r="L5">
        <v>1130</v>
      </c>
      <c r="M5">
        <f t="shared" si="1"/>
        <v>0.39733333333333332</v>
      </c>
      <c r="N5">
        <v>1525</v>
      </c>
      <c r="P5">
        <v>975</v>
      </c>
      <c r="Q5">
        <f t="shared" si="2"/>
        <v>0.36065573770491804</v>
      </c>
      <c r="R5">
        <v>1740</v>
      </c>
      <c r="T5">
        <v>1365</v>
      </c>
      <c r="U5">
        <f t="shared" si="3"/>
        <v>0.21551724137931033</v>
      </c>
      <c r="V5">
        <v>1935</v>
      </c>
      <c r="X5">
        <v>1440</v>
      </c>
      <c r="Y5">
        <f t="shared" si="4"/>
        <v>0.2558139534883721</v>
      </c>
      <c r="Z5">
        <v>2020</v>
      </c>
      <c r="AB5">
        <v>1805</v>
      </c>
      <c r="AC5">
        <f t="shared" si="5"/>
        <v>0.10643564356435643</v>
      </c>
      <c r="AD5">
        <v>1440</v>
      </c>
      <c r="AF5">
        <v>1510</v>
      </c>
      <c r="AG5">
        <f t="shared" si="6"/>
        <v>-4.8611111111111112E-2</v>
      </c>
    </row>
    <row r="6" spans="3:33" x14ac:dyDescent="0.35">
      <c r="D6" s="61">
        <v>5</v>
      </c>
      <c r="F6">
        <v>1800</v>
      </c>
      <c r="H6">
        <v>840</v>
      </c>
      <c r="I6">
        <f t="shared" si="0"/>
        <v>0.53333333333333333</v>
      </c>
      <c r="J6">
        <v>1775</v>
      </c>
      <c r="L6">
        <v>1245</v>
      </c>
      <c r="M6">
        <f t="shared" si="1"/>
        <v>0.29859154929577464</v>
      </c>
      <c r="N6">
        <v>1770</v>
      </c>
      <c r="P6">
        <v>1275</v>
      </c>
      <c r="Q6">
        <f t="shared" si="2"/>
        <v>0.27966101694915252</v>
      </c>
      <c r="R6">
        <v>1875</v>
      </c>
      <c r="T6">
        <v>1410</v>
      </c>
      <c r="U6">
        <f t="shared" si="3"/>
        <v>0.248</v>
      </c>
      <c r="V6">
        <v>1830</v>
      </c>
      <c r="X6">
        <v>1500</v>
      </c>
      <c r="Y6">
        <f t="shared" si="4"/>
        <v>0.18032786885245902</v>
      </c>
      <c r="Z6">
        <v>2090</v>
      </c>
      <c r="AB6">
        <v>1785</v>
      </c>
      <c r="AC6">
        <f t="shared" si="5"/>
        <v>0.145933014354067</v>
      </c>
      <c r="AD6">
        <v>1650</v>
      </c>
      <c r="AF6">
        <v>1760</v>
      </c>
      <c r="AG6">
        <f t="shared" si="6"/>
        <v>-6.6666666666666666E-2</v>
      </c>
    </row>
    <row r="7" spans="3:33" x14ac:dyDescent="0.35">
      <c r="D7" s="61">
        <v>6</v>
      </c>
      <c r="F7">
        <v>1815</v>
      </c>
      <c r="H7">
        <v>1345</v>
      </c>
      <c r="I7">
        <f t="shared" si="0"/>
        <v>0.25895316804407714</v>
      </c>
      <c r="J7">
        <v>1765</v>
      </c>
      <c r="L7">
        <v>1170</v>
      </c>
      <c r="M7">
        <f t="shared" si="1"/>
        <v>0.33711048158640228</v>
      </c>
      <c r="N7">
        <v>1815</v>
      </c>
      <c r="P7">
        <v>1335</v>
      </c>
      <c r="Q7">
        <f t="shared" si="2"/>
        <v>0.26446280991735538</v>
      </c>
      <c r="R7">
        <v>1710</v>
      </c>
      <c r="T7">
        <v>1215</v>
      </c>
      <c r="U7">
        <f t="shared" si="3"/>
        <v>0.28947368421052633</v>
      </c>
      <c r="V7">
        <v>2130</v>
      </c>
      <c r="X7">
        <v>1485</v>
      </c>
      <c r="Y7">
        <f t="shared" si="4"/>
        <v>0.30281690140845069</v>
      </c>
      <c r="Z7">
        <v>1740</v>
      </c>
      <c r="AB7">
        <v>1585</v>
      </c>
      <c r="AC7">
        <f t="shared" si="5"/>
        <v>8.9080459770114945E-2</v>
      </c>
      <c r="AD7">
        <v>1890</v>
      </c>
      <c r="AF7">
        <v>1785</v>
      </c>
      <c r="AG7">
        <f t="shared" si="6"/>
        <v>5.5555555555555552E-2</v>
      </c>
    </row>
    <row r="8" spans="3:33" x14ac:dyDescent="0.35">
      <c r="D8" s="61">
        <v>7</v>
      </c>
      <c r="F8">
        <v>2040</v>
      </c>
      <c r="H8">
        <v>1110</v>
      </c>
      <c r="I8">
        <f t="shared" si="0"/>
        <v>0.45588235294117646</v>
      </c>
      <c r="J8">
        <v>1680</v>
      </c>
      <c r="L8">
        <v>1125</v>
      </c>
      <c r="M8">
        <f t="shared" si="1"/>
        <v>0.33035714285714285</v>
      </c>
      <c r="N8">
        <v>1635</v>
      </c>
      <c r="P8">
        <v>1220</v>
      </c>
      <c r="Q8">
        <f t="shared" si="2"/>
        <v>0.25382262996941896</v>
      </c>
      <c r="R8">
        <v>1905</v>
      </c>
      <c r="T8">
        <v>1325</v>
      </c>
      <c r="U8">
        <f t="shared" si="3"/>
        <v>0.30446194225721784</v>
      </c>
      <c r="V8">
        <v>1890</v>
      </c>
      <c r="X8">
        <v>1440</v>
      </c>
      <c r="Y8">
        <f t="shared" si="4"/>
        <v>0.23809523809523808</v>
      </c>
      <c r="Z8">
        <v>1710</v>
      </c>
      <c r="AB8">
        <v>1350</v>
      </c>
      <c r="AC8">
        <f t="shared" si="5"/>
        <v>0.21052631578947367</v>
      </c>
      <c r="AD8">
        <v>1815</v>
      </c>
      <c r="AF8">
        <v>1745</v>
      </c>
      <c r="AG8">
        <f t="shared" si="6"/>
        <v>3.8567493112947659E-2</v>
      </c>
    </row>
    <row r="9" spans="3:33" x14ac:dyDescent="0.35">
      <c r="D9" s="61">
        <v>8</v>
      </c>
      <c r="F9">
        <v>1725</v>
      </c>
      <c r="H9">
        <v>865</v>
      </c>
      <c r="I9">
        <f t="shared" si="0"/>
        <v>0.49855072463768119</v>
      </c>
      <c r="J9">
        <v>1905</v>
      </c>
      <c r="L9">
        <v>1250</v>
      </c>
      <c r="M9">
        <f t="shared" si="1"/>
        <v>0.34383202099737531</v>
      </c>
      <c r="N9">
        <v>1845</v>
      </c>
      <c r="P9">
        <v>1380</v>
      </c>
      <c r="Q9">
        <f t="shared" si="2"/>
        <v>0.25203252032520324</v>
      </c>
      <c r="R9">
        <v>2095</v>
      </c>
      <c r="T9">
        <v>1235</v>
      </c>
      <c r="U9">
        <f t="shared" si="3"/>
        <v>0.41050119331742241</v>
      </c>
      <c r="V9">
        <v>2085</v>
      </c>
      <c r="X9">
        <v>1460</v>
      </c>
      <c r="Y9">
        <f t="shared" si="4"/>
        <v>0.29976019184652281</v>
      </c>
      <c r="Z9">
        <v>2025</v>
      </c>
      <c r="AB9">
        <v>1665</v>
      </c>
      <c r="AC9">
        <f t="shared" si="5"/>
        <v>0.17777777777777778</v>
      </c>
      <c r="AD9">
        <v>1910</v>
      </c>
      <c r="AF9">
        <v>1505</v>
      </c>
      <c r="AG9">
        <f t="shared" si="6"/>
        <v>0.21204188481675393</v>
      </c>
    </row>
    <row r="10" spans="3:33" x14ac:dyDescent="0.35">
      <c r="D10" s="61">
        <v>9</v>
      </c>
      <c r="F10">
        <v>1935</v>
      </c>
      <c r="H10">
        <v>1320</v>
      </c>
      <c r="I10">
        <f t="shared" si="0"/>
        <v>0.31782945736434109</v>
      </c>
      <c r="J10">
        <v>1805</v>
      </c>
      <c r="L10">
        <v>1155</v>
      </c>
      <c r="M10">
        <f t="shared" si="1"/>
        <v>0.36011080332409973</v>
      </c>
      <c r="N10">
        <v>1950</v>
      </c>
      <c r="P10">
        <v>1585</v>
      </c>
      <c r="Q10">
        <f t="shared" si="2"/>
        <v>0.18717948717948718</v>
      </c>
      <c r="R10">
        <v>1860</v>
      </c>
      <c r="T10">
        <v>1290</v>
      </c>
      <c r="U10">
        <f t="shared" si="3"/>
        <v>0.30645161290322581</v>
      </c>
      <c r="V10">
        <v>1740</v>
      </c>
      <c r="X10">
        <v>1335</v>
      </c>
      <c r="Y10">
        <f t="shared" si="4"/>
        <v>0.23275862068965517</v>
      </c>
      <c r="Z10">
        <v>2100</v>
      </c>
      <c r="AB10">
        <v>1415</v>
      </c>
      <c r="AC10">
        <f t="shared" si="5"/>
        <v>0.3261904761904762</v>
      </c>
      <c r="AD10">
        <v>1490</v>
      </c>
      <c r="AF10">
        <v>1260</v>
      </c>
      <c r="AG10">
        <f t="shared" si="6"/>
        <v>0.15436241610738255</v>
      </c>
    </row>
    <row r="11" spans="3:33" x14ac:dyDescent="0.35">
      <c r="D11" s="61">
        <v>10</v>
      </c>
      <c r="F11">
        <v>1830</v>
      </c>
      <c r="H11">
        <v>1235</v>
      </c>
      <c r="I11">
        <f t="shared" si="0"/>
        <v>0.3251366120218579</v>
      </c>
      <c r="J11">
        <v>2065</v>
      </c>
      <c r="L11">
        <v>1325</v>
      </c>
      <c r="M11">
        <f t="shared" si="1"/>
        <v>0.3583535108958838</v>
      </c>
      <c r="R11">
        <v>1980</v>
      </c>
      <c r="T11">
        <v>1275</v>
      </c>
      <c r="U11">
        <f t="shared" si="3"/>
        <v>0.35606060606060608</v>
      </c>
      <c r="V11">
        <v>1695</v>
      </c>
      <c r="X11">
        <v>1375</v>
      </c>
      <c r="Y11">
        <f t="shared" si="4"/>
        <v>0.1887905604719764</v>
      </c>
      <c r="Z11">
        <v>1890</v>
      </c>
      <c r="AB11">
        <v>1275</v>
      </c>
      <c r="AC11">
        <f t="shared" si="5"/>
        <v>0.32539682539682541</v>
      </c>
      <c r="AD11">
        <v>1710</v>
      </c>
      <c r="AF11">
        <v>1395</v>
      </c>
      <c r="AG11">
        <f t="shared" si="6"/>
        <v>0.18421052631578946</v>
      </c>
    </row>
    <row r="12" spans="3:33" x14ac:dyDescent="0.35">
      <c r="D12" t="s">
        <v>60</v>
      </c>
      <c r="F12">
        <f>AVERAGE(F2:F11)</f>
        <v>1840</v>
      </c>
      <c r="H12">
        <f>AVERAGE(H2:H11)</f>
        <v>1065.5</v>
      </c>
      <c r="I12">
        <f t="shared" si="0"/>
        <v>0.42092391304347826</v>
      </c>
      <c r="J12">
        <f>AVERAGE(J2:J11)</f>
        <v>1842</v>
      </c>
      <c r="L12">
        <f>AVERAGE(L2:L11)</f>
        <v>1224.5</v>
      </c>
      <c r="M12">
        <f t="shared" si="1"/>
        <v>0.33523344191096632</v>
      </c>
      <c r="N12">
        <f>AVERAGE(N2:N11)</f>
        <v>1785.5555555555557</v>
      </c>
      <c r="P12">
        <f>AVERAGE(P2:P11)</f>
        <v>1301.1111111111111</v>
      </c>
      <c r="Q12">
        <f t="shared" si="2"/>
        <v>0.27131300560049787</v>
      </c>
      <c r="R12">
        <f>AVERAGE(R2:R11)</f>
        <v>1860.5</v>
      </c>
      <c r="T12">
        <f>AVERAGE(T2:T11)</f>
        <v>1275</v>
      </c>
      <c r="U12">
        <f t="shared" si="3"/>
        <v>0.31470034936844932</v>
      </c>
      <c r="V12">
        <f>AVERAGE(V2:V11)</f>
        <v>1860</v>
      </c>
      <c r="X12">
        <f>AVERAGE(X2:X11)</f>
        <v>1415</v>
      </c>
      <c r="Y12">
        <f t="shared" si="4"/>
        <v>0.239247311827957</v>
      </c>
      <c r="Z12">
        <f>AVERAGE(Z2:Z11)</f>
        <v>1883</v>
      </c>
      <c r="AB12">
        <f>AVERAGE(AB2:AB11)</f>
        <v>1535.5</v>
      </c>
      <c r="AC12">
        <f>(Z12-AB12)/Z12</f>
        <v>0.18454593733404143</v>
      </c>
      <c r="AD12">
        <f>AVERAGE(AD2:AD11)</f>
        <v>1683.5</v>
      </c>
      <c r="AF12">
        <f>AVERAGE(AF2:AF11)</f>
        <v>1532</v>
      </c>
      <c r="AG12">
        <f t="shared" si="6"/>
        <v>8.9991089991089984E-2</v>
      </c>
    </row>
    <row r="13" spans="3:33" x14ac:dyDescent="0.35">
      <c r="D13" t="s">
        <v>22</v>
      </c>
      <c r="F13">
        <f>((F12-H12)/F12)</f>
        <v>0.42092391304347826</v>
      </c>
      <c r="J13">
        <f>((J12-L12)/J12)</f>
        <v>0.33523344191096632</v>
      </c>
      <c r="N13">
        <f>((N12-P12)/N12)</f>
        <v>0.27131300560049787</v>
      </c>
      <c r="R13">
        <f>((R12-T12)/R12)</f>
        <v>0.31470034936844932</v>
      </c>
      <c r="V13">
        <f>((V12-X12)/V12)</f>
        <v>0.239247311827957</v>
      </c>
      <c r="Z13">
        <f>((Z12-AB12)/Z12)</f>
        <v>0.18454593733404143</v>
      </c>
      <c r="AD13">
        <f>((AD12-AF12)/AD12)</f>
        <v>8.9991089991089984E-2</v>
      </c>
    </row>
    <row r="14" spans="3:33" x14ac:dyDescent="0.35">
      <c r="D14"/>
    </row>
    <row r="15" spans="3:33" x14ac:dyDescent="0.35">
      <c r="D15"/>
    </row>
    <row r="16" spans="3:33" x14ac:dyDescent="0.35">
      <c r="C16" s="262" t="s">
        <v>199</v>
      </c>
      <c r="D16"/>
      <c r="E16" s="52">
        <f>COUNT(F22:F49)</f>
        <v>5</v>
      </c>
      <c r="F16" s="53">
        <f>AVERAGE(F22:F49)</f>
        <v>1811</v>
      </c>
      <c r="G16" s="53">
        <f>COUNT(H22:H49)</f>
        <v>5</v>
      </c>
      <c r="H16" s="57">
        <f>AVERAGE(H22:H49)</f>
        <v>956</v>
      </c>
      <c r="I16" s="52">
        <f>COUNT(J22:J49)</f>
        <v>4</v>
      </c>
      <c r="J16" s="53">
        <f>AVERAGE(J22:J49)</f>
        <v>1856.25</v>
      </c>
      <c r="K16" s="53">
        <f>COUNT(L22:L49)</f>
        <v>4</v>
      </c>
      <c r="L16" s="57">
        <f>AVERAGE(L22:L49)</f>
        <v>1243.75</v>
      </c>
      <c r="M16" s="52">
        <f>COUNT(N22:N49)</f>
        <v>3</v>
      </c>
      <c r="N16" s="53">
        <f>AVERAGE(N22:N49)</f>
        <v>1843.3333333333333</v>
      </c>
      <c r="O16" s="53">
        <f>COUNT(P22:P49)</f>
        <v>3</v>
      </c>
      <c r="P16" s="57">
        <f>AVERAGE(P22:P49)</f>
        <v>1313.3333333333333</v>
      </c>
      <c r="Q16" s="52">
        <f>COUNT(R22:R49)</f>
        <v>4</v>
      </c>
      <c r="R16" s="53">
        <f>AVERAGE(R22:R49)</f>
        <v>1795</v>
      </c>
      <c r="S16" s="53">
        <f>COUNT(T22:T49)</f>
        <v>4</v>
      </c>
      <c r="T16" s="57">
        <f>AVERAGE(T22:T49)</f>
        <v>1250</v>
      </c>
      <c r="U16" s="52">
        <f>COUNT(V22:V49)</f>
        <v>4</v>
      </c>
      <c r="V16" s="53">
        <f>AVERAGE(V22:V49)</f>
        <v>1807.5</v>
      </c>
      <c r="W16" s="53">
        <f>COUNT(X22:X49)</f>
        <v>3</v>
      </c>
      <c r="X16" s="57">
        <f>AVERAGE(X22:X49)</f>
        <v>1371.6666666666667</v>
      </c>
      <c r="Y16" s="52">
        <f>COUNT(Z22:Z49)</f>
        <v>5</v>
      </c>
      <c r="Z16" s="53">
        <f>AVERAGE(Z22:Z49)</f>
        <v>1873</v>
      </c>
      <c r="AA16" s="53">
        <f>COUNT(AB22:AB49)</f>
        <v>4</v>
      </c>
      <c r="AB16" s="57">
        <f>AVERAGE(AB22:AB49)</f>
        <v>1570</v>
      </c>
      <c r="AC16" s="52">
        <f>COUNT(AD22:AD49)</f>
        <v>10</v>
      </c>
      <c r="AD16" s="53">
        <f>AVERAGE(AD22:AD49)</f>
        <v>1683.5</v>
      </c>
      <c r="AE16" s="53">
        <v>0</v>
      </c>
      <c r="AF16" s="57"/>
    </row>
    <row r="17" spans="1:48" x14ac:dyDescent="0.35">
      <c r="C17" s="262" t="s">
        <v>200</v>
      </c>
      <c r="D17"/>
      <c r="E17" s="54">
        <f>COUNT(F50:F96)</f>
        <v>5</v>
      </c>
      <c r="F17">
        <f>AVERAGE(F50:F96)</f>
        <v>1869</v>
      </c>
      <c r="G17">
        <f>COUNT(H50:H96)</f>
        <v>5</v>
      </c>
      <c r="H17" s="58">
        <f>AVERAGE(H50:H96)</f>
        <v>1175</v>
      </c>
      <c r="I17" s="54">
        <f>COUNT(J50:J96)</f>
        <v>6</v>
      </c>
      <c r="J17">
        <f>AVERAGE(J50:J96)</f>
        <v>1832.5</v>
      </c>
      <c r="K17">
        <f>COUNT(L50:L96)</f>
        <v>6</v>
      </c>
      <c r="L17" s="58">
        <f>AVERAGE(L50:L96)</f>
        <v>1211.6666666666667</v>
      </c>
      <c r="M17" s="54">
        <f>COUNT(N50:N96)</f>
        <v>6</v>
      </c>
      <c r="N17">
        <f>AVERAGE(N50:N96)</f>
        <v>1756.6666666666667</v>
      </c>
      <c r="O17">
        <f>COUNT(P50:P96)</f>
        <v>6</v>
      </c>
      <c r="P17" s="58">
        <f>AVERAGE(P50:P96)</f>
        <v>1295</v>
      </c>
      <c r="Q17" s="54">
        <f>COUNT(R50:R96)</f>
        <v>6</v>
      </c>
      <c r="R17">
        <f>AVERAGE(R50:R96)</f>
        <v>1904.1666666666667</v>
      </c>
      <c r="S17">
        <f>COUNT(T50:T96)</f>
        <v>6</v>
      </c>
      <c r="T17" s="58">
        <f>AVERAGE(T50:T96)</f>
        <v>1291.6666666666667</v>
      </c>
      <c r="U17" s="54">
        <f>COUNT(V50:V96)</f>
        <v>6</v>
      </c>
      <c r="V17">
        <f>AVERAGE(V50:V96)</f>
        <v>1895</v>
      </c>
      <c r="W17">
        <f>COUNT(X50:X96)</f>
        <v>7</v>
      </c>
      <c r="X17" s="58">
        <f>AVERAGE(X50:X96)</f>
        <v>1433.5714285714287</v>
      </c>
      <c r="Y17" s="54">
        <f>COUNT(Z50:Z96)</f>
        <v>5</v>
      </c>
      <c r="Z17">
        <f>AVERAGE(Z50:Z96)</f>
        <v>1893</v>
      </c>
      <c r="AA17">
        <f>COUNT(AB50:AB96)</f>
        <v>6</v>
      </c>
      <c r="AB17" s="58">
        <f>AVERAGE(AB50:AB96)</f>
        <v>1512.5</v>
      </c>
      <c r="AC17" s="54">
        <v>0</v>
      </c>
      <c r="AE17">
        <f>COUNT(AF50:AF96)</f>
        <v>10</v>
      </c>
      <c r="AF17" s="58">
        <f>AVERAGE(AF50:AF96)</f>
        <v>1532</v>
      </c>
    </row>
    <row r="18" spans="1:48" x14ac:dyDescent="0.35">
      <c r="C18" s="1" t="s">
        <v>201</v>
      </c>
      <c r="E18" s="280"/>
      <c r="F18" s="281">
        <f>(F17-F16)/F16</f>
        <v>3.202650469353948E-2</v>
      </c>
      <c r="G18" s="281"/>
      <c r="H18" s="282">
        <f>(H17-H16)/H16</f>
        <v>0.22907949790794979</v>
      </c>
      <c r="I18" s="283"/>
      <c r="J18" s="281">
        <f>(J17-J16)/J16</f>
        <v>-1.2794612794612794E-2</v>
      </c>
      <c r="K18" s="281"/>
      <c r="L18" s="282">
        <f>(L17-L16)/L16</f>
        <v>-2.5795644891122217E-2</v>
      </c>
      <c r="M18" s="283"/>
      <c r="N18" s="281">
        <f>(N17-N16)/N16</f>
        <v>-4.7016274864376047E-2</v>
      </c>
      <c r="O18" s="281"/>
      <c r="P18" s="282">
        <f>(P17-P16)/P16</f>
        <v>-1.3959390862944105E-2</v>
      </c>
      <c r="Q18" s="283"/>
      <c r="R18" s="281">
        <f>(R17-R16)/R16</f>
        <v>6.0817084493964758E-2</v>
      </c>
      <c r="S18" s="281"/>
      <c r="T18" s="282">
        <f>(T17-T16)/T16</f>
        <v>3.3333333333333395E-2</v>
      </c>
      <c r="U18" s="283"/>
      <c r="V18" s="281">
        <f>(V17-V16)/V16</f>
        <v>4.8409405255878286E-2</v>
      </c>
      <c r="W18" s="281"/>
      <c r="X18" s="282">
        <f>(X17-X16)/X16</f>
        <v>4.5131053636521451E-2</v>
      </c>
      <c r="Y18" s="283"/>
      <c r="Z18" s="281">
        <f>(Z17-Z16)/Z16</f>
        <v>1.0678056593699947E-2</v>
      </c>
      <c r="AA18" s="281"/>
      <c r="AB18" s="282">
        <f>(AB17-AB16)/AB16</f>
        <v>-3.662420382165605E-2</v>
      </c>
      <c r="AC18" s="283"/>
      <c r="AD18" s="281"/>
      <c r="AE18" s="281"/>
      <c r="AF18" s="282"/>
    </row>
    <row r="19" spans="1:48" x14ac:dyDescent="0.35">
      <c r="A19" s="61"/>
      <c r="B19" s="61"/>
      <c r="C19" s="124"/>
      <c r="D19" s="124"/>
      <c r="E19" s="358" t="s">
        <v>133</v>
      </c>
      <c r="F19" s="358"/>
      <c r="G19" s="358"/>
      <c r="H19" s="358"/>
      <c r="I19" s="358" t="s">
        <v>43</v>
      </c>
      <c r="J19" s="358"/>
      <c r="K19" s="358"/>
      <c r="L19" s="358"/>
      <c r="M19" s="358" t="s">
        <v>44</v>
      </c>
      <c r="N19" s="358"/>
      <c r="O19" s="358"/>
      <c r="P19" s="358"/>
      <c r="Q19" s="358" t="s">
        <v>45</v>
      </c>
      <c r="R19" s="358"/>
      <c r="S19" s="358"/>
      <c r="T19" s="358"/>
      <c r="U19" s="358" t="s">
        <v>46</v>
      </c>
      <c r="V19" s="358"/>
      <c r="W19" s="358"/>
      <c r="X19" s="358"/>
      <c r="Y19" s="358" t="s">
        <v>48</v>
      </c>
      <c r="Z19" s="358"/>
      <c r="AA19" s="358"/>
      <c r="AB19" s="358"/>
      <c r="AC19" s="358" t="s">
        <v>49</v>
      </c>
      <c r="AD19" s="358"/>
      <c r="AE19" s="358"/>
      <c r="AF19" s="358"/>
    </row>
    <row r="20" spans="1:48" x14ac:dyDescent="0.35">
      <c r="A20" s="61"/>
      <c r="B20" s="61"/>
      <c r="C20" s="124"/>
      <c r="D20" s="124"/>
      <c r="E20" s="362" t="s">
        <v>184</v>
      </c>
      <c r="F20" s="371"/>
      <c r="G20" s="362" t="s">
        <v>185</v>
      </c>
      <c r="H20" s="371"/>
      <c r="I20" s="362" t="s">
        <v>184</v>
      </c>
      <c r="J20" s="371"/>
      <c r="K20" s="362" t="s">
        <v>185</v>
      </c>
      <c r="L20" s="371"/>
      <c r="M20" s="362" t="s">
        <v>184</v>
      </c>
      <c r="N20" s="371"/>
      <c r="O20" s="362" t="s">
        <v>185</v>
      </c>
      <c r="P20" s="371"/>
      <c r="Q20" s="362" t="s">
        <v>184</v>
      </c>
      <c r="R20" s="371"/>
      <c r="S20" s="362" t="s">
        <v>185</v>
      </c>
      <c r="T20" s="371"/>
      <c r="U20" s="362" t="s">
        <v>184</v>
      </c>
      <c r="V20" s="371"/>
      <c r="W20" s="362" t="s">
        <v>185</v>
      </c>
      <c r="X20" s="371"/>
      <c r="Y20" s="362" t="s">
        <v>184</v>
      </c>
      <c r="Z20" s="371"/>
      <c r="AA20" s="362" t="s">
        <v>185</v>
      </c>
      <c r="AB20" s="371"/>
      <c r="AC20" s="362" t="s">
        <v>184</v>
      </c>
      <c r="AD20" s="371"/>
      <c r="AE20" s="362" t="s">
        <v>185</v>
      </c>
      <c r="AF20" s="371"/>
      <c r="AI20" s="358" t="s">
        <v>187</v>
      </c>
      <c r="AJ20" s="358"/>
      <c r="AK20" s="358" t="s">
        <v>190</v>
      </c>
      <c r="AL20" s="358"/>
    </row>
    <row r="21" spans="1:48" x14ac:dyDescent="0.35">
      <c r="A21" s="61" t="s">
        <v>169</v>
      </c>
      <c r="B21" s="61" t="s">
        <v>202</v>
      </c>
      <c r="C21" s="61" t="s">
        <v>50</v>
      </c>
      <c r="D21" s="124"/>
      <c r="E21" s="277" t="s">
        <v>186</v>
      </c>
      <c r="F21" s="278" t="s">
        <v>29</v>
      </c>
      <c r="G21" s="277" t="s">
        <v>186</v>
      </c>
      <c r="H21" s="278" t="s">
        <v>29</v>
      </c>
      <c r="I21" s="277" t="s">
        <v>186</v>
      </c>
      <c r="J21" s="278" t="s">
        <v>29</v>
      </c>
      <c r="K21" s="277" t="s">
        <v>186</v>
      </c>
      <c r="L21" s="278" t="s">
        <v>29</v>
      </c>
      <c r="M21" s="277" t="s">
        <v>186</v>
      </c>
      <c r="N21" s="278" t="s">
        <v>29</v>
      </c>
      <c r="O21" s="277" t="s">
        <v>186</v>
      </c>
      <c r="P21" s="278" t="s">
        <v>29</v>
      </c>
      <c r="Q21" s="277" t="s">
        <v>186</v>
      </c>
      <c r="R21" s="278" t="s">
        <v>29</v>
      </c>
      <c r="S21" s="277" t="s">
        <v>186</v>
      </c>
      <c r="T21" s="278" t="s">
        <v>29</v>
      </c>
      <c r="U21" s="277" t="s">
        <v>186</v>
      </c>
      <c r="V21" s="278" t="s">
        <v>29</v>
      </c>
      <c r="W21" s="277" t="s">
        <v>186</v>
      </c>
      <c r="X21" s="278" t="s">
        <v>29</v>
      </c>
      <c r="Y21" s="277" t="s">
        <v>186</v>
      </c>
      <c r="Z21" s="278" t="s">
        <v>29</v>
      </c>
      <c r="AA21" s="277" t="s">
        <v>186</v>
      </c>
      <c r="AB21" s="278" t="s">
        <v>29</v>
      </c>
      <c r="AC21" s="277" t="s">
        <v>186</v>
      </c>
      <c r="AD21" s="278" t="s">
        <v>29</v>
      </c>
      <c r="AE21" s="277" t="s">
        <v>186</v>
      </c>
      <c r="AF21" s="278" t="s">
        <v>29</v>
      </c>
      <c r="AH21" s="61" t="s">
        <v>193</v>
      </c>
      <c r="AI21" s="61" t="s">
        <v>188</v>
      </c>
      <c r="AJ21" s="61" t="s">
        <v>189</v>
      </c>
      <c r="AK21" s="61" t="s">
        <v>194</v>
      </c>
      <c r="AL21" s="61" t="s">
        <v>195</v>
      </c>
      <c r="AM21" s="61" t="s">
        <v>191</v>
      </c>
      <c r="AN21" s="61" t="s">
        <v>192</v>
      </c>
      <c r="AO21" s="61"/>
      <c r="AQ21" s="274" t="s">
        <v>170</v>
      </c>
      <c r="AR21" t="s">
        <v>196</v>
      </c>
      <c r="AS21" t="s">
        <v>197</v>
      </c>
      <c r="AT21" t="s">
        <v>197</v>
      </c>
      <c r="AV21" t="s">
        <v>198</v>
      </c>
    </row>
    <row r="22" spans="1:48" x14ac:dyDescent="0.35">
      <c r="A22">
        <v>0</v>
      </c>
      <c r="B22" t="s">
        <v>52</v>
      </c>
      <c r="C22" s="276">
        <v>40878</v>
      </c>
      <c r="F22" t="str">
        <f>IF(OR(ISBLANK(E22),ISTEXT(E22)),"",LOOKUP(E22,$D$2:$D$11,F$2:F$11))</f>
        <v/>
      </c>
      <c r="H22" t="str">
        <f>IF(OR(ISBLANK(G22),ISTEXT(G22)),"",LOOKUP(G22,$D$2:$D$11,H$2:H$11))</f>
        <v/>
      </c>
      <c r="J22" t="str">
        <f t="shared" ref="J22:J53" si="7">IF(OR(ISBLANK(I22),ISTEXT(I22)),"",LOOKUP(I22,$D$2:$D$11,J$2:J$11))</f>
        <v/>
      </c>
      <c r="L22" t="str">
        <f t="shared" ref="L22:L53" si="8">IF(OR(ISBLANK(K22),ISTEXT(K22)),"",LOOKUP(K22,$D$2:$D$11,L$2:L$11))</f>
        <v/>
      </c>
      <c r="N22" t="str">
        <f t="shared" ref="N22:N53" si="9">IF(OR(ISBLANK(M22),ISTEXT(M22)),"",LOOKUP(M22,$D$2:$D$11,N$2:N$11))</f>
        <v/>
      </c>
      <c r="P22" t="str">
        <f t="shared" ref="P22:P53" si="10">IF(OR(ISBLANK(O22),ISTEXT(O22)),"",LOOKUP(O22,$D$2:$D$11,P$2:P$11))</f>
        <v/>
      </c>
      <c r="Q22">
        <v>1</v>
      </c>
      <c r="R22">
        <f t="shared" ref="R22:R53" si="11">IF(OR(ISBLANK(Q22),ISTEXT(Q22)),"",LOOKUP(Q22,$D$2:$D$11,R$2:R$11))</f>
        <v>1670</v>
      </c>
      <c r="T22" t="str">
        <f t="shared" ref="T22:T53" si="12">IF(OR(ISBLANK(S22),ISTEXT(S22)),"",LOOKUP(S22,$D$2:$D$11,T$2:T$11))</f>
        <v/>
      </c>
      <c r="V22" t="str">
        <f t="shared" ref="V22:V53" si="13">IF(OR(ISBLANK(U22),ISTEXT(U22)),"",LOOKUP(U22,$D$2:$D$11,V$2:V$11))</f>
        <v/>
      </c>
      <c r="X22" t="str">
        <f t="shared" ref="X22:X53" si="14">IF(OR(ISBLANK(W22),ISTEXT(W22)),"",LOOKUP(W22,$D$2:$D$11,X$2:X$11))</f>
        <v/>
      </c>
      <c r="Y22">
        <v>1</v>
      </c>
      <c r="Z22">
        <f t="shared" ref="Z22:Z53" si="15">IF(OR(ISBLANK(Y22),ISTEXT(Y22)),"",LOOKUP(Y22,$D$2:$D$11,Z$2:Z$11))</f>
        <v>1780</v>
      </c>
      <c r="AB22" t="str">
        <f t="shared" ref="AB22:AB53" si="16">IF(OR(ISBLANK(AA22),ISTEXT(AA22)),"",LOOKUP(AA22,$D$2:$D$11,AB$2:AB$11))</f>
        <v/>
      </c>
      <c r="AD22" t="str">
        <f t="shared" ref="AD22:AD53" si="17">IF(OR(ISBLANK(AC22),ISTEXT(AC22)),"",LOOKUP(AC22,$D$2:$D$11,AD$2:AD$11))</f>
        <v/>
      </c>
      <c r="AF22" t="str">
        <f t="shared" ref="AF22:AF53" si="18">IF(OR(ISBLANK(AE22),ISTEXT(AE22)),"",LOOKUP(AE22,$D$2:$D$11,AF$2:AF$11))</f>
        <v/>
      </c>
      <c r="AH22">
        <f>CEILING((A22+1)/10,1)</f>
        <v>1</v>
      </c>
      <c r="AI22">
        <f>COUNT(F22,J22,N22,R22,V22,Z22,AD22)</f>
        <v>2</v>
      </c>
      <c r="AJ22">
        <f>COUNT(H22,L22,P22,T22,X22,AC22,AF22)</f>
        <v>0</v>
      </c>
      <c r="AK22">
        <f>AI22</f>
        <v>2</v>
      </c>
      <c r="AL22">
        <f>AJ22</f>
        <v>0</v>
      </c>
      <c r="AM22" s="279">
        <f>IFERROR(AVERAGE(F22,J22,N22,R22,V22,Z22,AD22),"")</f>
        <v>1725</v>
      </c>
      <c r="AN22" t="str">
        <f>IFERROR(AVERAGE(H22,L22,P22,T22,X22,AB22,AF22),"")</f>
        <v/>
      </c>
      <c r="AO22" s="279"/>
      <c r="AQ22" s="1">
        <v>1</v>
      </c>
      <c r="AR22">
        <v>1668.6111111111111</v>
      </c>
      <c r="AS22">
        <f>AQ22</f>
        <v>1</v>
      </c>
      <c r="AT22">
        <f>AS22*10</f>
        <v>10</v>
      </c>
      <c r="AV22">
        <f t="shared" ref="AV22:AV29" si="19">AR22</f>
        <v>1668.6111111111111</v>
      </c>
    </row>
    <row r="23" spans="1:48" x14ac:dyDescent="0.35">
      <c r="A23">
        <v>1</v>
      </c>
      <c r="B23" t="s">
        <v>53</v>
      </c>
      <c r="C23" s="276">
        <v>40879</v>
      </c>
      <c r="E23">
        <v>1</v>
      </c>
      <c r="F23">
        <f t="shared" ref="F23:H86" si="20">IF(OR(ISBLANK(E23),ISTEXT(E23)),"",LOOKUP(E23,$D$2:$D$11,F$2:F$11))</f>
        <v>1405</v>
      </c>
      <c r="G23">
        <v>1</v>
      </c>
      <c r="H23">
        <f t="shared" si="20"/>
        <v>670</v>
      </c>
      <c r="I23" t="s">
        <v>183</v>
      </c>
      <c r="J23" t="str">
        <f t="shared" si="7"/>
        <v/>
      </c>
      <c r="K23" t="s">
        <v>183</v>
      </c>
      <c r="L23" t="str">
        <f t="shared" si="8"/>
        <v/>
      </c>
      <c r="M23" t="s">
        <v>183</v>
      </c>
      <c r="N23" t="str">
        <f t="shared" si="9"/>
        <v/>
      </c>
      <c r="O23" t="s">
        <v>183</v>
      </c>
      <c r="P23" t="str">
        <f t="shared" si="10"/>
        <v/>
      </c>
      <c r="Q23" t="s">
        <v>183</v>
      </c>
      <c r="R23" t="str">
        <f t="shared" si="11"/>
        <v/>
      </c>
      <c r="S23">
        <v>1</v>
      </c>
      <c r="T23">
        <f t="shared" si="12"/>
        <v>1105</v>
      </c>
      <c r="U23">
        <v>1</v>
      </c>
      <c r="V23">
        <f t="shared" si="13"/>
        <v>1710</v>
      </c>
      <c r="W23" t="s">
        <v>183</v>
      </c>
      <c r="X23" t="str">
        <f t="shared" si="14"/>
        <v/>
      </c>
      <c r="Y23" t="s">
        <v>183</v>
      </c>
      <c r="Z23" t="str">
        <f t="shared" si="15"/>
        <v/>
      </c>
      <c r="AA23" t="s">
        <v>183</v>
      </c>
      <c r="AB23" t="str">
        <f t="shared" si="16"/>
        <v/>
      </c>
      <c r="AC23" t="s">
        <v>183</v>
      </c>
      <c r="AD23" t="str">
        <f t="shared" si="17"/>
        <v/>
      </c>
      <c r="AE23" t="s">
        <v>183</v>
      </c>
      <c r="AF23" t="str">
        <f t="shared" si="18"/>
        <v/>
      </c>
      <c r="AH23">
        <f t="shared" ref="AH23:AH86" si="21">CEILING((A23+1)/10,1)</f>
        <v>1</v>
      </c>
      <c r="AI23">
        <f t="shared" ref="AI23:AI28" si="22">COUNT(F23,J23,N23,R23,V23,Z23,AD23)</f>
        <v>2</v>
      </c>
      <c r="AJ23">
        <f t="shared" ref="AJ23:AJ28" si="23">COUNT(H23,L23,P23,T23,X23,AC23,AF23)</f>
        <v>2</v>
      </c>
      <c r="AK23">
        <f>SUM(AI$22:AI23)</f>
        <v>4</v>
      </c>
      <c r="AL23">
        <f>SUM(AJ$22:AJ23)</f>
        <v>2</v>
      </c>
      <c r="AM23" s="279">
        <f t="shared" ref="AM23:AM86" si="24">IFERROR(AVERAGE(F23,J23,N23,R23,V23,Z23,AD23),"")</f>
        <v>1557.5</v>
      </c>
      <c r="AN23">
        <f t="shared" ref="AN23:AN86" si="25">IFERROR(AVERAGE(H23,L23,P23,T23,X23,AB23,AF23),"")</f>
        <v>887.5</v>
      </c>
      <c r="AO23" s="279"/>
      <c r="AQ23" s="1">
        <v>2</v>
      </c>
      <c r="AR23">
        <v>1851.5740740740741</v>
      </c>
      <c r="AS23">
        <f t="shared" ref="AS23:AS29" si="26">AQ23</f>
        <v>2</v>
      </c>
      <c r="AT23">
        <f t="shared" ref="AT23:AT29" si="27">AS23*10</f>
        <v>20</v>
      </c>
      <c r="AV23">
        <f t="shared" si="19"/>
        <v>1851.5740740740741</v>
      </c>
    </row>
    <row r="24" spans="1:48" x14ac:dyDescent="0.35">
      <c r="A24">
        <v>2</v>
      </c>
      <c r="B24" t="s">
        <v>54</v>
      </c>
      <c r="C24" s="276">
        <v>40880</v>
      </c>
      <c r="F24" t="str">
        <f t="shared" si="20"/>
        <v/>
      </c>
      <c r="H24" t="str">
        <f t="shared" si="20"/>
        <v/>
      </c>
      <c r="I24" t="s">
        <v>183</v>
      </c>
      <c r="J24" t="str">
        <f t="shared" si="7"/>
        <v/>
      </c>
      <c r="K24" t="s">
        <v>183</v>
      </c>
      <c r="L24" t="str">
        <f t="shared" si="8"/>
        <v/>
      </c>
      <c r="M24" t="s">
        <v>183</v>
      </c>
      <c r="N24" t="str">
        <f t="shared" si="9"/>
        <v/>
      </c>
      <c r="O24" t="s">
        <v>183</v>
      </c>
      <c r="P24" t="str">
        <f t="shared" si="10"/>
        <v/>
      </c>
      <c r="Q24" t="s">
        <v>183</v>
      </c>
      <c r="R24" t="str">
        <f t="shared" si="11"/>
        <v/>
      </c>
      <c r="S24" t="s">
        <v>183</v>
      </c>
      <c r="T24" t="str">
        <f t="shared" si="12"/>
        <v/>
      </c>
      <c r="U24" t="s">
        <v>183</v>
      </c>
      <c r="V24" t="str">
        <f t="shared" si="13"/>
        <v/>
      </c>
      <c r="W24" t="s">
        <v>183</v>
      </c>
      <c r="X24" t="str">
        <f t="shared" si="14"/>
        <v/>
      </c>
      <c r="Y24" t="s">
        <v>183</v>
      </c>
      <c r="Z24" t="str">
        <f t="shared" si="15"/>
        <v/>
      </c>
      <c r="AA24" t="s">
        <v>183</v>
      </c>
      <c r="AB24" t="str">
        <f t="shared" si="16"/>
        <v/>
      </c>
      <c r="AC24">
        <v>1</v>
      </c>
      <c r="AD24">
        <f t="shared" si="17"/>
        <v>1480</v>
      </c>
      <c r="AE24" t="s">
        <v>183</v>
      </c>
      <c r="AF24" t="str">
        <f t="shared" si="18"/>
        <v/>
      </c>
      <c r="AH24">
        <f t="shared" si="21"/>
        <v>1</v>
      </c>
      <c r="AI24">
        <f t="shared" si="22"/>
        <v>1</v>
      </c>
      <c r="AJ24">
        <f t="shared" si="23"/>
        <v>1</v>
      </c>
      <c r="AK24">
        <f>SUM(AI$22:AI24)</f>
        <v>5</v>
      </c>
      <c r="AL24">
        <f>SUM(AJ$22:AJ24)</f>
        <v>3</v>
      </c>
      <c r="AM24" s="279">
        <f t="shared" si="24"/>
        <v>1480</v>
      </c>
      <c r="AN24" t="str">
        <f t="shared" si="25"/>
        <v/>
      </c>
      <c r="AO24" s="279"/>
      <c r="AQ24" s="1">
        <v>3</v>
      </c>
      <c r="AR24">
        <v>1779.5833333333333</v>
      </c>
      <c r="AS24">
        <f t="shared" si="26"/>
        <v>3</v>
      </c>
      <c r="AT24">
        <f t="shared" si="27"/>
        <v>30</v>
      </c>
      <c r="AV24">
        <f t="shared" si="19"/>
        <v>1779.5833333333333</v>
      </c>
    </row>
    <row r="25" spans="1:48" x14ac:dyDescent="0.35">
      <c r="A25">
        <v>3</v>
      </c>
      <c r="B25" t="s">
        <v>55</v>
      </c>
      <c r="C25" s="276">
        <v>40881</v>
      </c>
      <c r="F25" t="str">
        <f t="shared" si="20"/>
        <v/>
      </c>
      <c r="G25" t="s">
        <v>183</v>
      </c>
      <c r="H25" t="str">
        <f t="shared" si="20"/>
        <v/>
      </c>
      <c r="I25" t="s">
        <v>183</v>
      </c>
      <c r="J25" t="str">
        <f t="shared" si="7"/>
        <v/>
      </c>
      <c r="K25" t="s">
        <v>183</v>
      </c>
      <c r="L25" t="str">
        <f t="shared" si="8"/>
        <v/>
      </c>
      <c r="M25" t="s">
        <v>183</v>
      </c>
      <c r="N25" t="str">
        <f t="shared" si="9"/>
        <v/>
      </c>
      <c r="O25" t="s">
        <v>183</v>
      </c>
      <c r="P25" t="str">
        <f t="shared" si="10"/>
        <v/>
      </c>
      <c r="Q25" t="s">
        <v>183</v>
      </c>
      <c r="R25" t="str">
        <f t="shared" si="11"/>
        <v/>
      </c>
      <c r="S25" t="s">
        <v>183</v>
      </c>
      <c r="T25" t="str">
        <f t="shared" si="12"/>
        <v/>
      </c>
      <c r="U25" t="s">
        <v>183</v>
      </c>
      <c r="V25" t="str">
        <f t="shared" si="13"/>
        <v/>
      </c>
      <c r="W25">
        <v>1</v>
      </c>
      <c r="X25">
        <f t="shared" si="14"/>
        <v>1195</v>
      </c>
      <c r="Y25" t="s">
        <v>183</v>
      </c>
      <c r="Z25" t="str">
        <f t="shared" si="15"/>
        <v/>
      </c>
      <c r="AA25" t="s">
        <v>183</v>
      </c>
      <c r="AB25" t="str">
        <f t="shared" si="16"/>
        <v/>
      </c>
      <c r="AC25" t="s">
        <v>183</v>
      </c>
      <c r="AD25" t="str">
        <f t="shared" si="17"/>
        <v/>
      </c>
      <c r="AE25" t="s">
        <v>183</v>
      </c>
      <c r="AF25" t="str">
        <f t="shared" si="18"/>
        <v/>
      </c>
      <c r="AH25">
        <f t="shared" si="21"/>
        <v>1</v>
      </c>
      <c r="AI25">
        <f t="shared" si="22"/>
        <v>0</v>
      </c>
      <c r="AJ25">
        <f t="shared" si="23"/>
        <v>1</v>
      </c>
      <c r="AK25">
        <f>SUM(AI$22:AI25)</f>
        <v>5</v>
      </c>
      <c r="AL25">
        <f>SUM(AJ$22:AJ25)</f>
        <v>4</v>
      </c>
      <c r="AM25" s="279" t="str">
        <f t="shared" si="24"/>
        <v/>
      </c>
      <c r="AN25">
        <f t="shared" si="25"/>
        <v>1195</v>
      </c>
      <c r="AO25" s="279"/>
      <c r="AQ25" s="1">
        <v>4</v>
      </c>
      <c r="AR25">
        <v>1736</v>
      </c>
      <c r="AS25">
        <f t="shared" si="26"/>
        <v>4</v>
      </c>
      <c r="AT25">
        <f t="shared" si="27"/>
        <v>40</v>
      </c>
      <c r="AV25">
        <f t="shared" si="19"/>
        <v>1736</v>
      </c>
    </row>
    <row r="26" spans="1:48" x14ac:dyDescent="0.35">
      <c r="A26">
        <v>4</v>
      </c>
      <c r="B26" t="s">
        <v>56</v>
      </c>
      <c r="C26" s="276">
        <v>40882</v>
      </c>
      <c r="E26" t="s">
        <v>183</v>
      </c>
      <c r="F26" t="str">
        <f t="shared" si="20"/>
        <v/>
      </c>
      <c r="G26" t="s">
        <v>183</v>
      </c>
      <c r="H26" t="str">
        <f t="shared" si="20"/>
        <v/>
      </c>
      <c r="I26" t="s">
        <v>183</v>
      </c>
      <c r="J26" t="str">
        <f t="shared" si="7"/>
        <v/>
      </c>
      <c r="K26" t="s">
        <v>183</v>
      </c>
      <c r="L26" t="str">
        <f t="shared" si="8"/>
        <v/>
      </c>
      <c r="M26" t="s">
        <v>183</v>
      </c>
      <c r="N26" t="str">
        <f t="shared" si="9"/>
        <v/>
      </c>
      <c r="O26" t="s">
        <v>183</v>
      </c>
      <c r="P26" t="str">
        <f t="shared" si="10"/>
        <v/>
      </c>
      <c r="Q26" t="s">
        <v>183</v>
      </c>
      <c r="R26" t="str">
        <f t="shared" si="11"/>
        <v/>
      </c>
      <c r="S26" t="s">
        <v>183</v>
      </c>
      <c r="T26" t="str">
        <f t="shared" si="12"/>
        <v/>
      </c>
      <c r="U26" t="s">
        <v>183</v>
      </c>
      <c r="V26" t="str">
        <f t="shared" si="13"/>
        <v/>
      </c>
      <c r="W26" t="s">
        <v>183</v>
      </c>
      <c r="X26" t="str">
        <f t="shared" si="14"/>
        <v/>
      </c>
      <c r="Y26" t="s">
        <v>183</v>
      </c>
      <c r="Z26" t="str">
        <f t="shared" si="15"/>
        <v/>
      </c>
      <c r="AA26" t="s">
        <v>183</v>
      </c>
      <c r="AB26" t="str">
        <f t="shared" si="16"/>
        <v/>
      </c>
      <c r="AC26" t="s">
        <v>183</v>
      </c>
      <c r="AD26" t="str">
        <f t="shared" si="17"/>
        <v/>
      </c>
      <c r="AE26" t="s">
        <v>183</v>
      </c>
      <c r="AF26" t="str">
        <f t="shared" si="18"/>
        <v/>
      </c>
      <c r="AH26">
        <f t="shared" si="21"/>
        <v>1</v>
      </c>
      <c r="AI26">
        <f t="shared" si="22"/>
        <v>0</v>
      </c>
      <c r="AJ26">
        <f t="shared" si="23"/>
        <v>0</v>
      </c>
      <c r="AK26">
        <f>SUM(AI$22:AI26)</f>
        <v>5</v>
      </c>
      <c r="AL26">
        <f>SUM(AJ$22:AJ26)</f>
        <v>4</v>
      </c>
      <c r="AM26" s="279" t="str">
        <f t="shared" si="24"/>
        <v/>
      </c>
      <c r="AN26" t="str">
        <f t="shared" si="25"/>
        <v/>
      </c>
      <c r="AO26" s="279"/>
      <c r="AQ26" s="1">
        <v>5</v>
      </c>
      <c r="AR26">
        <v>1857.1428571428571</v>
      </c>
      <c r="AS26">
        <f t="shared" si="26"/>
        <v>5</v>
      </c>
      <c r="AT26">
        <f t="shared" si="27"/>
        <v>50</v>
      </c>
      <c r="AV26">
        <f t="shared" si="19"/>
        <v>1857.1428571428571</v>
      </c>
    </row>
    <row r="27" spans="1:48" x14ac:dyDescent="0.35">
      <c r="A27">
        <v>5</v>
      </c>
      <c r="B27" t="s">
        <v>57</v>
      </c>
      <c r="C27" s="276">
        <v>40883</v>
      </c>
      <c r="E27" t="s">
        <v>183</v>
      </c>
      <c r="F27" t="str">
        <f t="shared" si="20"/>
        <v/>
      </c>
      <c r="G27" t="s">
        <v>183</v>
      </c>
      <c r="H27" t="str">
        <f t="shared" si="20"/>
        <v/>
      </c>
      <c r="I27" t="s">
        <v>183</v>
      </c>
      <c r="J27" t="str">
        <f t="shared" si="7"/>
        <v/>
      </c>
      <c r="K27" t="s">
        <v>183</v>
      </c>
      <c r="L27" t="str">
        <f t="shared" si="8"/>
        <v/>
      </c>
      <c r="M27" t="s">
        <v>183</v>
      </c>
      <c r="N27" t="str">
        <f t="shared" si="9"/>
        <v/>
      </c>
      <c r="O27" t="s">
        <v>183</v>
      </c>
      <c r="P27" t="str">
        <f t="shared" si="10"/>
        <v/>
      </c>
      <c r="Q27" t="s">
        <v>183</v>
      </c>
      <c r="R27" t="str">
        <f t="shared" si="11"/>
        <v/>
      </c>
      <c r="S27" t="s">
        <v>183</v>
      </c>
      <c r="T27" t="str">
        <f t="shared" si="12"/>
        <v/>
      </c>
      <c r="U27" t="s">
        <v>183</v>
      </c>
      <c r="V27" t="str">
        <f t="shared" si="13"/>
        <v/>
      </c>
      <c r="W27" t="s">
        <v>183</v>
      </c>
      <c r="X27" t="str">
        <f t="shared" si="14"/>
        <v/>
      </c>
      <c r="Y27" t="s">
        <v>183</v>
      </c>
      <c r="Z27" t="str">
        <f t="shared" si="15"/>
        <v/>
      </c>
      <c r="AA27" t="s">
        <v>183</v>
      </c>
      <c r="AB27" t="str">
        <f t="shared" si="16"/>
        <v/>
      </c>
      <c r="AC27" t="s">
        <v>183</v>
      </c>
      <c r="AD27" t="str">
        <f t="shared" si="17"/>
        <v/>
      </c>
      <c r="AE27" t="s">
        <v>183</v>
      </c>
      <c r="AF27" t="str">
        <f t="shared" si="18"/>
        <v/>
      </c>
      <c r="AH27">
        <f t="shared" si="21"/>
        <v>1</v>
      </c>
      <c r="AI27">
        <f t="shared" si="22"/>
        <v>0</v>
      </c>
      <c r="AJ27">
        <f t="shared" si="23"/>
        <v>0</v>
      </c>
      <c r="AK27">
        <f>SUM(AI$22:AI27)</f>
        <v>5</v>
      </c>
      <c r="AL27">
        <f>SUM(AJ$22:AJ27)</f>
        <v>4</v>
      </c>
      <c r="AM27" s="279" t="str">
        <f t="shared" si="24"/>
        <v/>
      </c>
      <c r="AN27" t="str">
        <f t="shared" si="25"/>
        <v/>
      </c>
      <c r="AO27" s="279"/>
      <c r="AQ27" s="1">
        <v>6</v>
      </c>
      <c r="AR27">
        <v>1831.25</v>
      </c>
      <c r="AS27">
        <f t="shared" si="26"/>
        <v>6</v>
      </c>
      <c r="AT27">
        <f t="shared" si="27"/>
        <v>60</v>
      </c>
      <c r="AV27">
        <f t="shared" si="19"/>
        <v>1831.25</v>
      </c>
    </row>
    <row r="28" spans="1:48" x14ac:dyDescent="0.35">
      <c r="A28">
        <v>6</v>
      </c>
      <c r="B28" t="s">
        <v>58</v>
      </c>
      <c r="C28" s="276">
        <v>40884</v>
      </c>
      <c r="E28">
        <v>2</v>
      </c>
      <c r="F28">
        <f t="shared" si="20"/>
        <v>1840</v>
      </c>
      <c r="G28">
        <v>2</v>
      </c>
      <c r="H28">
        <f t="shared" si="20"/>
        <v>1210</v>
      </c>
      <c r="I28">
        <v>1</v>
      </c>
      <c r="J28">
        <f t="shared" si="7"/>
        <v>1690</v>
      </c>
      <c r="K28">
        <v>1</v>
      </c>
      <c r="L28">
        <f t="shared" si="8"/>
        <v>1280</v>
      </c>
      <c r="M28" t="s">
        <v>183</v>
      </c>
      <c r="N28" t="str">
        <f t="shared" si="9"/>
        <v/>
      </c>
      <c r="O28" t="s">
        <v>183</v>
      </c>
      <c r="P28" t="str">
        <f t="shared" si="10"/>
        <v/>
      </c>
      <c r="Q28" t="s">
        <v>183</v>
      </c>
      <c r="R28" t="str">
        <f t="shared" si="11"/>
        <v/>
      </c>
      <c r="S28" t="s">
        <v>183</v>
      </c>
      <c r="T28" t="str">
        <f t="shared" si="12"/>
        <v/>
      </c>
      <c r="U28" t="s">
        <v>183</v>
      </c>
      <c r="V28" t="str">
        <f t="shared" si="13"/>
        <v/>
      </c>
      <c r="W28" t="s">
        <v>183</v>
      </c>
      <c r="X28" t="str">
        <f t="shared" si="14"/>
        <v/>
      </c>
      <c r="Y28" t="s">
        <v>183</v>
      </c>
      <c r="Z28" t="str">
        <f t="shared" si="15"/>
        <v/>
      </c>
      <c r="AA28">
        <v>1</v>
      </c>
      <c r="AB28">
        <f t="shared" si="16"/>
        <v>1370</v>
      </c>
      <c r="AC28" t="s">
        <v>183</v>
      </c>
      <c r="AD28" t="str">
        <f t="shared" si="17"/>
        <v/>
      </c>
      <c r="AE28" t="s">
        <v>183</v>
      </c>
      <c r="AF28" t="str">
        <f t="shared" si="18"/>
        <v/>
      </c>
      <c r="AH28">
        <f t="shared" si="21"/>
        <v>1</v>
      </c>
      <c r="AI28">
        <f t="shared" si="22"/>
        <v>2</v>
      </c>
      <c r="AJ28">
        <f t="shared" si="23"/>
        <v>2</v>
      </c>
      <c r="AK28">
        <f>SUM(AI$22:AI28)</f>
        <v>7</v>
      </c>
      <c r="AL28">
        <f>SUM(AJ$22:AJ28)</f>
        <v>6</v>
      </c>
      <c r="AM28" s="279">
        <f t="shared" si="24"/>
        <v>1765</v>
      </c>
      <c r="AN28">
        <f t="shared" si="25"/>
        <v>1286.6666666666667</v>
      </c>
      <c r="AO28" s="279"/>
      <c r="AQ28" s="1">
        <v>7</v>
      </c>
      <c r="AR28">
        <v>1943</v>
      </c>
      <c r="AS28">
        <f t="shared" si="26"/>
        <v>7</v>
      </c>
      <c r="AT28">
        <f t="shared" si="27"/>
        <v>70</v>
      </c>
      <c r="AV28">
        <f t="shared" si="19"/>
        <v>1943</v>
      </c>
    </row>
    <row r="29" spans="1:48" x14ac:dyDescent="0.35">
      <c r="A29">
        <v>7</v>
      </c>
      <c r="B29" t="s">
        <v>52</v>
      </c>
      <c r="C29" s="276">
        <v>40885</v>
      </c>
      <c r="E29" t="s">
        <v>183</v>
      </c>
      <c r="F29" t="str">
        <f t="shared" si="20"/>
        <v/>
      </c>
      <c r="G29" t="s">
        <v>183</v>
      </c>
      <c r="H29" t="str">
        <f t="shared" si="20"/>
        <v/>
      </c>
      <c r="I29" t="s">
        <v>183</v>
      </c>
      <c r="J29" t="str">
        <f t="shared" si="7"/>
        <v/>
      </c>
      <c r="K29" t="s">
        <v>183</v>
      </c>
      <c r="L29" t="str">
        <f t="shared" si="8"/>
        <v/>
      </c>
      <c r="M29" t="s">
        <v>183</v>
      </c>
      <c r="N29" t="str">
        <f t="shared" si="9"/>
        <v/>
      </c>
      <c r="O29" t="s">
        <v>183</v>
      </c>
      <c r="P29" t="str">
        <f t="shared" si="10"/>
        <v/>
      </c>
      <c r="Q29" t="s">
        <v>183</v>
      </c>
      <c r="R29" t="str">
        <f t="shared" si="11"/>
        <v/>
      </c>
      <c r="S29" t="s">
        <v>183</v>
      </c>
      <c r="T29" t="str">
        <f t="shared" si="12"/>
        <v/>
      </c>
      <c r="U29" t="s">
        <v>183</v>
      </c>
      <c r="V29" t="str">
        <f t="shared" si="13"/>
        <v/>
      </c>
      <c r="W29" t="s">
        <v>183</v>
      </c>
      <c r="X29" t="str">
        <f t="shared" si="14"/>
        <v/>
      </c>
      <c r="Y29" t="s">
        <v>183</v>
      </c>
      <c r="Z29" t="str">
        <f t="shared" si="15"/>
        <v/>
      </c>
      <c r="AA29" t="s">
        <v>183</v>
      </c>
      <c r="AB29" t="str">
        <f t="shared" si="16"/>
        <v/>
      </c>
      <c r="AC29" t="s">
        <v>183</v>
      </c>
      <c r="AD29" t="str">
        <f t="shared" si="17"/>
        <v/>
      </c>
      <c r="AE29" t="s">
        <v>183</v>
      </c>
      <c r="AF29" t="str">
        <f t="shared" si="18"/>
        <v/>
      </c>
      <c r="AH29">
        <f t="shared" si="21"/>
        <v>1</v>
      </c>
      <c r="AI29">
        <f t="shared" ref="AI29:AI92" si="28">COUNT(F29,J29,N29,R29,V29,Z29,AD29)</f>
        <v>0</v>
      </c>
      <c r="AJ29">
        <f t="shared" ref="AJ29:AJ92" si="29">COUNT(H29,L29,P29,T29,X29,AC29,AF29)</f>
        <v>0</v>
      </c>
      <c r="AK29">
        <f>SUM(AI$22:AI29)</f>
        <v>7</v>
      </c>
      <c r="AL29">
        <f>SUM(AJ$22:AJ29)</f>
        <v>6</v>
      </c>
      <c r="AM29" s="279" t="str">
        <f t="shared" si="24"/>
        <v/>
      </c>
      <c r="AN29" t="str">
        <f t="shared" si="25"/>
        <v/>
      </c>
      <c r="AO29" s="279"/>
      <c r="AQ29" s="1">
        <v>8</v>
      </c>
      <c r="AR29">
        <v>1884.5833333333333</v>
      </c>
      <c r="AS29">
        <f t="shared" si="26"/>
        <v>8</v>
      </c>
      <c r="AT29">
        <f t="shared" si="27"/>
        <v>80</v>
      </c>
      <c r="AV29">
        <f t="shared" si="19"/>
        <v>1884.5833333333333</v>
      </c>
    </row>
    <row r="30" spans="1:48" x14ac:dyDescent="0.35">
      <c r="A30">
        <v>8</v>
      </c>
      <c r="B30" t="s">
        <v>53</v>
      </c>
      <c r="C30" s="276">
        <v>40886</v>
      </c>
      <c r="E30" t="s">
        <v>183</v>
      </c>
      <c r="F30" t="str">
        <f t="shared" si="20"/>
        <v/>
      </c>
      <c r="G30" t="s">
        <v>183</v>
      </c>
      <c r="H30" t="str">
        <f t="shared" si="20"/>
        <v/>
      </c>
      <c r="I30">
        <v>2</v>
      </c>
      <c r="J30">
        <f t="shared" si="7"/>
        <v>1790</v>
      </c>
      <c r="K30">
        <v>2</v>
      </c>
      <c r="L30">
        <f t="shared" si="8"/>
        <v>1330</v>
      </c>
      <c r="M30" t="s">
        <v>183</v>
      </c>
      <c r="N30" t="str">
        <f t="shared" si="9"/>
        <v/>
      </c>
      <c r="O30" t="s">
        <v>183</v>
      </c>
      <c r="P30" t="str">
        <f t="shared" si="10"/>
        <v/>
      </c>
      <c r="Q30" t="s">
        <v>183</v>
      </c>
      <c r="R30" t="str">
        <f t="shared" si="11"/>
        <v/>
      </c>
      <c r="S30" t="s">
        <v>183</v>
      </c>
      <c r="T30" t="str">
        <f t="shared" si="12"/>
        <v/>
      </c>
      <c r="U30" t="s">
        <v>183</v>
      </c>
      <c r="V30" t="str">
        <f t="shared" si="13"/>
        <v/>
      </c>
      <c r="W30" t="s">
        <v>183</v>
      </c>
      <c r="X30" t="str">
        <f t="shared" si="14"/>
        <v/>
      </c>
      <c r="Y30">
        <v>2</v>
      </c>
      <c r="Z30">
        <f t="shared" si="15"/>
        <v>1605</v>
      </c>
      <c r="AA30" t="s">
        <v>183</v>
      </c>
      <c r="AB30" t="str">
        <f t="shared" si="16"/>
        <v/>
      </c>
      <c r="AC30">
        <v>2</v>
      </c>
      <c r="AD30">
        <f t="shared" si="17"/>
        <v>1680</v>
      </c>
      <c r="AE30" t="s">
        <v>183</v>
      </c>
      <c r="AF30" t="str">
        <f t="shared" si="18"/>
        <v/>
      </c>
      <c r="AH30">
        <f t="shared" si="21"/>
        <v>1</v>
      </c>
      <c r="AI30">
        <f t="shared" si="28"/>
        <v>3</v>
      </c>
      <c r="AJ30">
        <f t="shared" si="29"/>
        <v>2</v>
      </c>
      <c r="AK30">
        <f>SUM(AI$22:AI30)</f>
        <v>10</v>
      </c>
      <c r="AL30">
        <f>SUM(AJ$22:AJ30)</f>
        <v>8</v>
      </c>
      <c r="AM30" s="279">
        <f t="shared" si="24"/>
        <v>1691.6666666666667</v>
      </c>
      <c r="AN30">
        <f t="shared" si="25"/>
        <v>1330</v>
      </c>
      <c r="AO30" s="279"/>
      <c r="AQ30" s="1" t="s">
        <v>172</v>
      </c>
      <c r="AR30">
        <v>1817.6449275362318</v>
      </c>
    </row>
    <row r="31" spans="1:48" x14ac:dyDescent="0.35">
      <c r="A31">
        <v>9</v>
      </c>
      <c r="B31" t="s">
        <v>54</v>
      </c>
      <c r="C31" s="276">
        <v>40887</v>
      </c>
      <c r="E31" t="s">
        <v>183</v>
      </c>
      <c r="F31" t="str">
        <f t="shared" si="20"/>
        <v/>
      </c>
      <c r="G31" t="s">
        <v>183</v>
      </c>
      <c r="H31" t="str">
        <f t="shared" si="20"/>
        <v/>
      </c>
      <c r="I31" t="s">
        <v>183</v>
      </c>
      <c r="J31" t="str">
        <f t="shared" si="7"/>
        <v/>
      </c>
      <c r="K31" t="s">
        <v>183</v>
      </c>
      <c r="L31" t="str">
        <f t="shared" si="8"/>
        <v/>
      </c>
      <c r="M31">
        <v>1</v>
      </c>
      <c r="N31">
        <f t="shared" si="9"/>
        <v>1815</v>
      </c>
      <c r="O31">
        <v>1</v>
      </c>
      <c r="P31">
        <f t="shared" si="10"/>
        <v>1240</v>
      </c>
      <c r="Q31" t="s">
        <v>183</v>
      </c>
      <c r="R31" t="str">
        <f t="shared" si="11"/>
        <v/>
      </c>
      <c r="S31" t="s">
        <v>183</v>
      </c>
      <c r="T31" t="str">
        <f t="shared" si="12"/>
        <v/>
      </c>
      <c r="U31" t="s">
        <v>183</v>
      </c>
      <c r="V31" t="str">
        <f t="shared" si="13"/>
        <v/>
      </c>
      <c r="W31" t="s">
        <v>183</v>
      </c>
      <c r="X31" t="str">
        <f t="shared" si="14"/>
        <v/>
      </c>
      <c r="Y31" t="s">
        <v>183</v>
      </c>
      <c r="Z31" t="str">
        <f t="shared" si="15"/>
        <v/>
      </c>
      <c r="AA31" t="s">
        <v>183</v>
      </c>
      <c r="AB31" t="str">
        <f t="shared" si="16"/>
        <v/>
      </c>
      <c r="AC31">
        <v>3</v>
      </c>
      <c r="AD31">
        <f t="shared" si="17"/>
        <v>1770</v>
      </c>
      <c r="AE31" t="s">
        <v>183</v>
      </c>
      <c r="AF31" t="str">
        <f t="shared" si="18"/>
        <v/>
      </c>
      <c r="AH31">
        <f t="shared" si="21"/>
        <v>1</v>
      </c>
      <c r="AI31">
        <f t="shared" si="28"/>
        <v>2</v>
      </c>
      <c r="AJ31">
        <f t="shared" si="29"/>
        <v>2</v>
      </c>
      <c r="AK31">
        <f>SUM(AI$22:AI31)</f>
        <v>12</v>
      </c>
      <c r="AL31">
        <f>SUM(AJ$22:AJ31)</f>
        <v>10</v>
      </c>
      <c r="AM31" s="279">
        <f t="shared" si="24"/>
        <v>1792.5</v>
      </c>
      <c r="AN31">
        <f t="shared" si="25"/>
        <v>1240</v>
      </c>
      <c r="AO31" s="279"/>
    </row>
    <row r="32" spans="1:48" ht="15" thickBot="1" x14ac:dyDescent="0.4">
      <c r="A32">
        <v>10</v>
      </c>
      <c r="B32" t="s">
        <v>55</v>
      </c>
      <c r="C32" s="276">
        <v>40888</v>
      </c>
      <c r="E32" t="s">
        <v>183</v>
      </c>
      <c r="F32" t="str">
        <f t="shared" si="20"/>
        <v/>
      </c>
      <c r="G32" t="s">
        <v>183</v>
      </c>
      <c r="H32" t="str">
        <f t="shared" si="20"/>
        <v/>
      </c>
      <c r="I32" t="s">
        <v>183</v>
      </c>
      <c r="J32" t="str">
        <f t="shared" si="7"/>
        <v/>
      </c>
      <c r="K32" t="s">
        <v>183</v>
      </c>
      <c r="L32" t="str">
        <f t="shared" si="8"/>
        <v/>
      </c>
      <c r="M32" t="s">
        <v>183</v>
      </c>
      <c r="N32" t="str">
        <f t="shared" si="9"/>
        <v/>
      </c>
      <c r="O32" t="s">
        <v>183</v>
      </c>
      <c r="P32" t="str">
        <f t="shared" si="10"/>
        <v/>
      </c>
      <c r="Q32">
        <v>2</v>
      </c>
      <c r="R32">
        <f t="shared" si="11"/>
        <v>1840</v>
      </c>
      <c r="S32" t="s">
        <v>183</v>
      </c>
      <c r="T32" t="str">
        <f t="shared" si="12"/>
        <v/>
      </c>
      <c r="U32" t="s">
        <v>183</v>
      </c>
      <c r="V32" t="str">
        <f t="shared" si="13"/>
        <v/>
      </c>
      <c r="W32" t="s">
        <v>183</v>
      </c>
      <c r="X32" t="str">
        <f t="shared" si="14"/>
        <v/>
      </c>
      <c r="Y32" t="s">
        <v>183</v>
      </c>
      <c r="Z32" t="str">
        <f t="shared" si="15"/>
        <v/>
      </c>
      <c r="AA32" t="s">
        <v>183</v>
      </c>
      <c r="AB32" t="str">
        <f t="shared" si="16"/>
        <v/>
      </c>
      <c r="AC32">
        <v>4</v>
      </c>
      <c r="AD32">
        <f t="shared" si="17"/>
        <v>1440</v>
      </c>
      <c r="AE32" t="s">
        <v>183</v>
      </c>
      <c r="AF32" t="str">
        <f t="shared" si="18"/>
        <v/>
      </c>
      <c r="AH32">
        <f t="shared" si="21"/>
        <v>2</v>
      </c>
      <c r="AI32">
        <f t="shared" si="28"/>
        <v>2</v>
      </c>
      <c r="AJ32">
        <f t="shared" si="29"/>
        <v>1</v>
      </c>
      <c r="AK32">
        <f>SUM(AI$22:AI32)</f>
        <v>14</v>
      </c>
      <c r="AL32">
        <f>SUM(AJ$22:AJ32)</f>
        <v>11</v>
      </c>
      <c r="AM32" s="279">
        <f t="shared" si="24"/>
        <v>1640</v>
      </c>
      <c r="AN32" t="str">
        <f t="shared" si="25"/>
        <v/>
      </c>
      <c r="AO32" s="279"/>
    </row>
    <row r="33" spans="1:48" x14ac:dyDescent="0.35">
      <c r="A33">
        <v>11</v>
      </c>
      <c r="B33" t="s">
        <v>56</v>
      </c>
      <c r="C33" s="276">
        <v>40889</v>
      </c>
      <c r="E33" t="s">
        <v>183</v>
      </c>
      <c r="F33" t="str">
        <f t="shared" si="20"/>
        <v/>
      </c>
      <c r="G33" t="s">
        <v>183</v>
      </c>
      <c r="H33" t="str">
        <f t="shared" si="20"/>
        <v/>
      </c>
      <c r="I33" t="s">
        <v>183</v>
      </c>
      <c r="J33" t="str">
        <f t="shared" si="7"/>
        <v/>
      </c>
      <c r="K33" t="s">
        <v>183</v>
      </c>
      <c r="L33" t="str">
        <f t="shared" si="8"/>
        <v/>
      </c>
      <c r="M33" t="s">
        <v>183</v>
      </c>
      <c r="N33" t="str">
        <f t="shared" si="9"/>
        <v/>
      </c>
      <c r="O33" t="s">
        <v>183</v>
      </c>
      <c r="P33" t="str">
        <f t="shared" si="10"/>
        <v/>
      </c>
      <c r="Q33" t="s">
        <v>183</v>
      </c>
      <c r="R33" t="str">
        <f t="shared" si="11"/>
        <v/>
      </c>
      <c r="S33">
        <v>2</v>
      </c>
      <c r="T33">
        <f t="shared" si="12"/>
        <v>1325</v>
      </c>
      <c r="U33">
        <v>2</v>
      </c>
      <c r="V33">
        <f t="shared" si="13"/>
        <v>1635</v>
      </c>
      <c r="W33" t="s">
        <v>183</v>
      </c>
      <c r="X33" t="str">
        <f t="shared" si="14"/>
        <v/>
      </c>
      <c r="Y33">
        <v>3</v>
      </c>
      <c r="Z33">
        <f t="shared" si="15"/>
        <v>1870</v>
      </c>
      <c r="AA33" t="s">
        <v>183</v>
      </c>
      <c r="AB33" t="str">
        <f t="shared" si="16"/>
        <v/>
      </c>
      <c r="AC33" t="s">
        <v>183</v>
      </c>
      <c r="AD33" t="str">
        <f t="shared" si="17"/>
        <v/>
      </c>
      <c r="AE33" t="s">
        <v>183</v>
      </c>
      <c r="AF33" t="str">
        <f t="shared" si="18"/>
        <v/>
      </c>
      <c r="AH33">
        <f t="shared" si="21"/>
        <v>2</v>
      </c>
      <c r="AI33">
        <f t="shared" si="28"/>
        <v>2</v>
      </c>
      <c r="AJ33">
        <f t="shared" si="29"/>
        <v>1</v>
      </c>
      <c r="AK33">
        <f>SUM(AI$22:AI33)</f>
        <v>16</v>
      </c>
      <c r="AL33">
        <f>SUM(AJ$22:AJ33)</f>
        <v>12</v>
      </c>
      <c r="AM33" s="279">
        <f t="shared" si="24"/>
        <v>1752.5</v>
      </c>
      <c r="AN33">
        <f t="shared" si="25"/>
        <v>1325</v>
      </c>
      <c r="AO33" s="279"/>
      <c r="AQ33" s="308" t="s">
        <v>231</v>
      </c>
      <c r="AR33" s="309"/>
      <c r="AS33" s="309">
        <f>31*2.6727</f>
        <v>82.853699999999989</v>
      </c>
      <c r="AT33" s="309"/>
      <c r="AU33" s="309"/>
      <c r="AV33" s="310"/>
    </row>
    <row r="34" spans="1:48" x14ac:dyDescent="0.35">
      <c r="A34">
        <v>12</v>
      </c>
      <c r="B34" t="s">
        <v>57</v>
      </c>
      <c r="C34" s="276">
        <v>40890</v>
      </c>
      <c r="E34" t="s">
        <v>183</v>
      </c>
      <c r="F34" t="str">
        <f t="shared" si="20"/>
        <v/>
      </c>
      <c r="G34" t="s">
        <v>183</v>
      </c>
      <c r="H34" t="str">
        <f t="shared" si="20"/>
        <v/>
      </c>
      <c r="I34" t="s">
        <v>183</v>
      </c>
      <c r="J34" t="str">
        <f t="shared" si="7"/>
        <v/>
      </c>
      <c r="K34" t="s">
        <v>183</v>
      </c>
      <c r="L34" t="str">
        <f t="shared" si="8"/>
        <v/>
      </c>
      <c r="M34">
        <v>2</v>
      </c>
      <c r="N34">
        <f t="shared" si="9"/>
        <v>1780</v>
      </c>
      <c r="O34">
        <v>2</v>
      </c>
      <c r="P34">
        <f t="shared" si="10"/>
        <v>1350</v>
      </c>
      <c r="Q34" t="s">
        <v>183</v>
      </c>
      <c r="R34" t="str">
        <f t="shared" si="11"/>
        <v/>
      </c>
      <c r="S34" t="s">
        <v>183</v>
      </c>
      <c r="T34" t="str">
        <f t="shared" si="12"/>
        <v/>
      </c>
      <c r="U34" t="s">
        <v>183</v>
      </c>
      <c r="V34" t="str">
        <f t="shared" si="13"/>
        <v/>
      </c>
      <c r="W34" t="s">
        <v>183</v>
      </c>
      <c r="X34" t="str">
        <f t="shared" si="14"/>
        <v/>
      </c>
      <c r="Y34" t="s">
        <v>183</v>
      </c>
      <c r="Z34" t="str">
        <f t="shared" si="15"/>
        <v/>
      </c>
      <c r="AA34" t="s">
        <v>183</v>
      </c>
      <c r="AB34" t="str">
        <f t="shared" si="16"/>
        <v/>
      </c>
      <c r="AC34" t="s">
        <v>183</v>
      </c>
      <c r="AD34" t="str">
        <f t="shared" si="17"/>
        <v/>
      </c>
      <c r="AE34" t="s">
        <v>183</v>
      </c>
      <c r="AF34" t="str">
        <f t="shared" si="18"/>
        <v/>
      </c>
      <c r="AH34">
        <f t="shared" si="21"/>
        <v>2</v>
      </c>
      <c r="AI34">
        <f t="shared" si="28"/>
        <v>1</v>
      </c>
      <c r="AJ34">
        <f t="shared" si="29"/>
        <v>1</v>
      </c>
      <c r="AK34">
        <f>SUM(AI$22:AI34)</f>
        <v>17</v>
      </c>
      <c r="AL34">
        <f>SUM(AJ$22:AJ34)</f>
        <v>13</v>
      </c>
      <c r="AM34" s="279">
        <f t="shared" si="24"/>
        <v>1780</v>
      </c>
      <c r="AN34">
        <f t="shared" si="25"/>
        <v>1350</v>
      </c>
      <c r="AO34" s="279"/>
      <c r="AQ34" s="311"/>
      <c r="AR34" s="79"/>
      <c r="AS34" s="79"/>
      <c r="AT34" s="79"/>
      <c r="AU34" s="79"/>
      <c r="AV34" s="312"/>
    </row>
    <row r="35" spans="1:48" x14ac:dyDescent="0.35">
      <c r="A35">
        <v>13</v>
      </c>
      <c r="B35" t="s">
        <v>58</v>
      </c>
      <c r="C35" s="276">
        <v>40891</v>
      </c>
      <c r="E35">
        <v>3</v>
      </c>
      <c r="F35">
        <f t="shared" si="20"/>
        <v>1830</v>
      </c>
      <c r="G35">
        <v>3</v>
      </c>
      <c r="H35">
        <f t="shared" si="20"/>
        <v>1100</v>
      </c>
      <c r="I35" t="s">
        <v>183</v>
      </c>
      <c r="J35" t="str">
        <f t="shared" si="7"/>
        <v/>
      </c>
      <c r="K35" t="s">
        <v>183</v>
      </c>
      <c r="L35" t="str">
        <f t="shared" si="8"/>
        <v/>
      </c>
      <c r="M35" t="s">
        <v>183</v>
      </c>
      <c r="N35" t="str">
        <f t="shared" si="9"/>
        <v/>
      </c>
      <c r="O35" t="s">
        <v>183</v>
      </c>
      <c r="P35" t="str">
        <f t="shared" si="10"/>
        <v/>
      </c>
      <c r="Q35" t="s">
        <v>183</v>
      </c>
      <c r="R35" t="str">
        <f t="shared" si="11"/>
        <v/>
      </c>
      <c r="S35" t="s">
        <v>183</v>
      </c>
      <c r="T35" t="str">
        <f t="shared" si="12"/>
        <v/>
      </c>
      <c r="U35" t="s">
        <v>183</v>
      </c>
      <c r="V35" t="str">
        <f t="shared" si="13"/>
        <v/>
      </c>
      <c r="W35">
        <v>2</v>
      </c>
      <c r="X35">
        <f t="shared" si="14"/>
        <v>1340</v>
      </c>
      <c r="Y35" t="s">
        <v>183</v>
      </c>
      <c r="Z35" t="str">
        <f t="shared" si="15"/>
        <v/>
      </c>
      <c r="AA35" t="s">
        <v>183</v>
      </c>
      <c r="AB35" t="str">
        <f t="shared" si="16"/>
        <v/>
      </c>
      <c r="AC35">
        <v>5</v>
      </c>
      <c r="AD35">
        <f t="shared" si="17"/>
        <v>1650</v>
      </c>
      <c r="AE35" t="s">
        <v>183</v>
      </c>
      <c r="AF35" t="str">
        <f t="shared" si="18"/>
        <v/>
      </c>
      <c r="AH35">
        <f t="shared" si="21"/>
        <v>2</v>
      </c>
      <c r="AI35">
        <f t="shared" si="28"/>
        <v>2</v>
      </c>
      <c r="AJ35">
        <f t="shared" si="29"/>
        <v>3</v>
      </c>
      <c r="AK35">
        <f>SUM(AI$22:AI35)</f>
        <v>19</v>
      </c>
      <c r="AL35">
        <f>SUM(AJ$22:AJ35)</f>
        <v>16</v>
      </c>
      <c r="AM35" s="279">
        <f t="shared" si="24"/>
        <v>1740</v>
      </c>
      <c r="AN35">
        <f t="shared" si="25"/>
        <v>1220</v>
      </c>
      <c r="AO35" s="279"/>
      <c r="AQ35" s="311"/>
      <c r="AR35" s="79"/>
      <c r="AS35" s="79">
        <f>1683.5+AS33</f>
        <v>1766.3536999999999</v>
      </c>
      <c r="AT35" s="79"/>
      <c r="AU35" s="79">
        <v>1532</v>
      </c>
      <c r="AV35" s="312">
        <v>8.9991089991089984E-2</v>
      </c>
    </row>
    <row r="36" spans="1:48" ht="15" thickBot="1" x14ac:dyDescent="0.4">
      <c r="A36">
        <v>14</v>
      </c>
      <c r="B36" t="s">
        <v>52</v>
      </c>
      <c r="C36" s="276">
        <v>40892</v>
      </c>
      <c r="E36">
        <v>4</v>
      </c>
      <c r="F36">
        <f t="shared" si="20"/>
        <v>2180</v>
      </c>
      <c r="G36">
        <v>4</v>
      </c>
      <c r="H36">
        <f t="shared" si="20"/>
        <v>960</v>
      </c>
      <c r="I36" t="s">
        <v>183</v>
      </c>
      <c r="J36" t="str">
        <f t="shared" si="7"/>
        <v/>
      </c>
      <c r="K36" t="s">
        <v>183</v>
      </c>
      <c r="L36" t="str">
        <f t="shared" si="8"/>
        <v/>
      </c>
      <c r="M36" t="s">
        <v>183</v>
      </c>
      <c r="N36" t="str">
        <f t="shared" si="9"/>
        <v/>
      </c>
      <c r="O36" t="s">
        <v>183</v>
      </c>
      <c r="P36" t="str">
        <f t="shared" si="10"/>
        <v/>
      </c>
      <c r="Q36" t="s">
        <v>183</v>
      </c>
      <c r="R36" t="str">
        <f t="shared" si="11"/>
        <v/>
      </c>
      <c r="S36" t="s">
        <v>183</v>
      </c>
      <c r="T36" t="str">
        <f t="shared" si="12"/>
        <v/>
      </c>
      <c r="U36" t="s">
        <v>183</v>
      </c>
      <c r="V36" t="str">
        <f t="shared" si="13"/>
        <v/>
      </c>
      <c r="W36" t="s">
        <v>183</v>
      </c>
      <c r="X36" t="str">
        <f t="shared" si="14"/>
        <v/>
      </c>
      <c r="Y36" t="s">
        <v>183</v>
      </c>
      <c r="Z36" t="str">
        <f t="shared" si="15"/>
        <v/>
      </c>
      <c r="AA36">
        <v>2</v>
      </c>
      <c r="AB36">
        <f t="shared" si="16"/>
        <v>1560</v>
      </c>
      <c r="AC36">
        <v>6</v>
      </c>
      <c r="AD36">
        <f t="shared" si="17"/>
        <v>1890</v>
      </c>
      <c r="AE36" t="s">
        <v>183</v>
      </c>
      <c r="AF36" t="str">
        <f t="shared" si="18"/>
        <v/>
      </c>
      <c r="AH36">
        <f t="shared" si="21"/>
        <v>2</v>
      </c>
      <c r="AI36">
        <f t="shared" si="28"/>
        <v>2</v>
      </c>
      <c r="AJ36">
        <f t="shared" si="29"/>
        <v>2</v>
      </c>
      <c r="AK36">
        <f>SUM(AI$22:AI36)</f>
        <v>21</v>
      </c>
      <c r="AL36">
        <f>SUM(AJ$22:AJ36)</f>
        <v>18</v>
      </c>
      <c r="AM36" s="279">
        <f t="shared" si="24"/>
        <v>2035</v>
      </c>
      <c r="AN36">
        <f t="shared" si="25"/>
        <v>1260</v>
      </c>
      <c r="AO36" s="279"/>
      <c r="AQ36" s="313" t="s">
        <v>232</v>
      </c>
      <c r="AR36" s="314"/>
      <c r="AS36" s="314">
        <f>((AS35-AU35)/AS35)</f>
        <v>0.13267654151034411</v>
      </c>
      <c r="AT36" s="314"/>
      <c r="AU36" s="314"/>
      <c r="AV36" s="315"/>
    </row>
    <row r="37" spans="1:48" x14ac:dyDescent="0.35">
      <c r="A37">
        <v>15</v>
      </c>
      <c r="B37" t="s">
        <v>53</v>
      </c>
      <c r="C37" s="276">
        <v>40893</v>
      </c>
      <c r="E37" t="s">
        <v>183</v>
      </c>
      <c r="F37" t="str">
        <f t="shared" si="20"/>
        <v/>
      </c>
      <c r="G37" t="s">
        <v>183</v>
      </c>
      <c r="H37" t="str">
        <f t="shared" si="20"/>
        <v/>
      </c>
      <c r="I37" t="s">
        <v>183</v>
      </c>
      <c r="J37" t="str">
        <f t="shared" si="7"/>
        <v/>
      </c>
      <c r="K37" t="s">
        <v>183</v>
      </c>
      <c r="L37" t="str">
        <f t="shared" si="8"/>
        <v/>
      </c>
      <c r="M37" t="s">
        <v>183</v>
      </c>
      <c r="N37" t="str">
        <f t="shared" si="9"/>
        <v/>
      </c>
      <c r="O37" t="s">
        <v>183</v>
      </c>
      <c r="P37" t="str">
        <f t="shared" si="10"/>
        <v/>
      </c>
      <c r="Q37" t="s">
        <v>183</v>
      </c>
      <c r="R37" t="str">
        <f t="shared" si="11"/>
        <v/>
      </c>
      <c r="S37" t="s">
        <v>183</v>
      </c>
      <c r="T37" t="str">
        <f t="shared" si="12"/>
        <v/>
      </c>
      <c r="U37">
        <v>3</v>
      </c>
      <c r="V37">
        <f t="shared" si="13"/>
        <v>1950</v>
      </c>
      <c r="W37" t="s">
        <v>183</v>
      </c>
      <c r="X37" t="str">
        <f t="shared" si="14"/>
        <v/>
      </c>
      <c r="Y37" t="s">
        <v>183</v>
      </c>
      <c r="Z37" t="str">
        <f t="shared" si="15"/>
        <v/>
      </c>
      <c r="AA37" t="s">
        <v>183</v>
      </c>
      <c r="AB37" t="str">
        <f t="shared" si="16"/>
        <v/>
      </c>
      <c r="AC37" t="s">
        <v>183</v>
      </c>
      <c r="AD37" t="str">
        <f t="shared" si="17"/>
        <v/>
      </c>
      <c r="AE37" t="s">
        <v>183</v>
      </c>
      <c r="AF37" t="str">
        <f t="shared" si="18"/>
        <v/>
      </c>
      <c r="AH37">
        <f t="shared" si="21"/>
        <v>2</v>
      </c>
      <c r="AI37">
        <f t="shared" si="28"/>
        <v>1</v>
      </c>
      <c r="AJ37">
        <f t="shared" si="29"/>
        <v>0</v>
      </c>
      <c r="AK37">
        <f>SUM(AI$22:AI37)</f>
        <v>22</v>
      </c>
      <c r="AL37">
        <f>SUM(AJ$22:AJ37)</f>
        <v>18</v>
      </c>
      <c r="AM37" s="279">
        <f t="shared" si="24"/>
        <v>1950</v>
      </c>
      <c r="AN37" t="str">
        <f t="shared" si="25"/>
        <v/>
      </c>
      <c r="AO37" s="279"/>
    </row>
    <row r="38" spans="1:48" x14ac:dyDescent="0.35">
      <c r="A38">
        <v>16</v>
      </c>
      <c r="B38" t="s">
        <v>54</v>
      </c>
      <c r="C38" s="276">
        <v>40894</v>
      </c>
      <c r="E38" t="s">
        <v>183</v>
      </c>
      <c r="F38" t="str">
        <f t="shared" si="20"/>
        <v/>
      </c>
      <c r="G38" t="s">
        <v>183</v>
      </c>
      <c r="H38" t="str">
        <f t="shared" si="20"/>
        <v/>
      </c>
      <c r="I38" t="s">
        <v>183</v>
      </c>
      <c r="J38" t="str">
        <f t="shared" si="7"/>
        <v/>
      </c>
      <c r="K38" t="s">
        <v>183</v>
      </c>
      <c r="L38" t="str">
        <f t="shared" si="8"/>
        <v/>
      </c>
      <c r="M38" t="s">
        <v>183</v>
      </c>
      <c r="N38" t="str">
        <f t="shared" si="9"/>
        <v/>
      </c>
      <c r="O38" t="s">
        <v>183</v>
      </c>
      <c r="P38" t="str">
        <f t="shared" si="10"/>
        <v/>
      </c>
      <c r="Q38" t="s">
        <v>183</v>
      </c>
      <c r="R38" t="str">
        <f t="shared" si="11"/>
        <v/>
      </c>
      <c r="S38" t="s">
        <v>183</v>
      </c>
      <c r="T38" t="str">
        <f t="shared" si="12"/>
        <v/>
      </c>
      <c r="U38" t="s">
        <v>183</v>
      </c>
      <c r="V38" t="str">
        <f t="shared" si="13"/>
        <v/>
      </c>
      <c r="W38" t="s">
        <v>183</v>
      </c>
      <c r="X38" t="str">
        <f t="shared" si="14"/>
        <v/>
      </c>
      <c r="Y38" t="s">
        <v>183</v>
      </c>
      <c r="Z38" t="str">
        <f t="shared" si="15"/>
        <v/>
      </c>
      <c r="AA38" t="s">
        <v>183</v>
      </c>
      <c r="AB38" t="str">
        <f t="shared" si="16"/>
        <v/>
      </c>
      <c r="AC38">
        <v>7</v>
      </c>
      <c r="AD38">
        <f t="shared" si="17"/>
        <v>1815</v>
      </c>
      <c r="AE38" t="s">
        <v>183</v>
      </c>
      <c r="AF38" t="str">
        <f t="shared" si="18"/>
        <v/>
      </c>
      <c r="AH38">
        <f t="shared" si="21"/>
        <v>2</v>
      </c>
      <c r="AI38">
        <f t="shared" si="28"/>
        <v>1</v>
      </c>
      <c r="AJ38">
        <f t="shared" si="29"/>
        <v>1</v>
      </c>
      <c r="AK38">
        <f>SUM(AI$22:AI38)</f>
        <v>23</v>
      </c>
      <c r="AL38">
        <f>SUM(AJ$22:AJ38)</f>
        <v>19</v>
      </c>
      <c r="AM38" s="279">
        <f t="shared" si="24"/>
        <v>1815</v>
      </c>
      <c r="AN38" t="str">
        <f t="shared" si="25"/>
        <v/>
      </c>
      <c r="AO38" s="279"/>
    </row>
    <row r="39" spans="1:48" x14ac:dyDescent="0.35">
      <c r="A39">
        <v>17</v>
      </c>
      <c r="B39" t="s">
        <v>55</v>
      </c>
      <c r="C39" s="276">
        <v>40895</v>
      </c>
      <c r="E39" t="s">
        <v>183</v>
      </c>
      <c r="F39" t="str">
        <f t="shared" si="20"/>
        <v/>
      </c>
      <c r="G39" t="s">
        <v>183</v>
      </c>
      <c r="H39" t="str">
        <f t="shared" si="20"/>
        <v/>
      </c>
      <c r="I39" t="s">
        <v>183</v>
      </c>
      <c r="J39" t="str">
        <f t="shared" si="7"/>
        <v/>
      </c>
      <c r="K39" t="s">
        <v>183</v>
      </c>
      <c r="L39" t="str">
        <f t="shared" si="8"/>
        <v/>
      </c>
      <c r="M39" t="s">
        <v>183</v>
      </c>
      <c r="N39" t="str">
        <f t="shared" si="9"/>
        <v/>
      </c>
      <c r="O39" t="s">
        <v>183</v>
      </c>
      <c r="P39" t="str">
        <f t="shared" si="10"/>
        <v/>
      </c>
      <c r="Q39" t="s">
        <v>183</v>
      </c>
      <c r="R39" t="str">
        <f t="shared" si="11"/>
        <v/>
      </c>
      <c r="S39" t="s">
        <v>183</v>
      </c>
      <c r="T39" t="str">
        <f t="shared" si="12"/>
        <v/>
      </c>
      <c r="U39" t="s">
        <v>183</v>
      </c>
      <c r="V39" t="str">
        <f t="shared" si="13"/>
        <v/>
      </c>
      <c r="W39">
        <v>3</v>
      </c>
      <c r="X39">
        <f t="shared" si="14"/>
        <v>1580</v>
      </c>
      <c r="Y39" t="s">
        <v>183</v>
      </c>
      <c r="Z39" t="str">
        <f t="shared" si="15"/>
        <v/>
      </c>
      <c r="AA39">
        <v>3</v>
      </c>
      <c r="AB39">
        <f t="shared" si="16"/>
        <v>1545</v>
      </c>
      <c r="AC39" t="s">
        <v>183</v>
      </c>
      <c r="AD39" t="str">
        <f t="shared" si="17"/>
        <v/>
      </c>
      <c r="AE39" t="s">
        <v>183</v>
      </c>
      <c r="AF39" t="str">
        <f t="shared" si="18"/>
        <v/>
      </c>
      <c r="AH39">
        <f t="shared" si="21"/>
        <v>2</v>
      </c>
      <c r="AI39">
        <f t="shared" si="28"/>
        <v>0</v>
      </c>
      <c r="AJ39">
        <f t="shared" si="29"/>
        <v>1</v>
      </c>
      <c r="AK39">
        <f>SUM(AI$22:AI39)</f>
        <v>23</v>
      </c>
      <c r="AL39">
        <f>SUM(AJ$22:AJ39)</f>
        <v>20</v>
      </c>
      <c r="AM39" s="279" t="str">
        <f t="shared" si="24"/>
        <v/>
      </c>
      <c r="AN39">
        <f t="shared" si="25"/>
        <v>1562.5</v>
      </c>
      <c r="AO39" s="279"/>
    </row>
    <row r="40" spans="1:48" x14ac:dyDescent="0.35">
      <c r="A40">
        <v>18</v>
      </c>
      <c r="B40" t="s">
        <v>56</v>
      </c>
      <c r="C40" s="276">
        <v>40896</v>
      </c>
      <c r="E40" t="s">
        <v>183</v>
      </c>
      <c r="F40" t="str">
        <f t="shared" si="20"/>
        <v/>
      </c>
      <c r="G40" t="s">
        <v>183</v>
      </c>
      <c r="H40" t="str">
        <f t="shared" si="20"/>
        <v/>
      </c>
      <c r="I40">
        <v>3</v>
      </c>
      <c r="J40">
        <f t="shared" si="7"/>
        <v>2070</v>
      </c>
      <c r="K40">
        <v>3</v>
      </c>
      <c r="L40">
        <f t="shared" si="8"/>
        <v>1235</v>
      </c>
      <c r="M40" t="s">
        <v>183</v>
      </c>
      <c r="N40" t="str">
        <f t="shared" si="9"/>
        <v/>
      </c>
      <c r="O40" t="s">
        <v>183</v>
      </c>
      <c r="P40" t="str">
        <f t="shared" si="10"/>
        <v/>
      </c>
      <c r="Q40" t="s">
        <v>183</v>
      </c>
      <c r="R40" t="str">
        <f t="shared" si="11"/>
        <v/>
      </c>
      <c r="S40" t="s">
        <v>183</v>
      </c>
      <c r="T40" t="str">
        <f t="shared" si="12"/>
        <v/>
      </c>
      <c r="U40" t="s">
        <v>183</v>
      </c>
      <c r="V40" t="str">
        <f t="shared" si="13"/>
        <v/>
      </c>
      <c r="W40" t="s">
        <v>183</v>
      </c>
      <c r="X40" t="str">
        <f t="shared" si="14"/>
        <v/>
      </c>
      <c r="Y40" t="s">
        <v>183</v>
      </c>
      <c r="Z40" t="str">
        <f t="shared" si="15"/>
        <v/>
      </c>
      <c r="AA40" t="s">
        <v>183</v>
      </c>
      <c r="AB40" t="str">
        <f t="shared" si="16"/>
        <v/>
      </c>
      <c r="AC40">
        <v>8</v>
      </c>
      <c r="AD40">
        <f t="shared" si="17"/>
        <v>1910</v>
      </c>
      <c r="AE40" t="s">
        <v>183</v>
      </c>
      <c r="AF40" t="str">
        <f t="shared" si="18"/>
        <v/>
      </c>
      <c r="AH40">
        <f t="shared" si="21"/>
        <v>2</v>
      </c>
      <c r="AI40">
        <f t="shared" si="28"/>
        <v>2</v>
      </c>
      <c r="AJ40">
        <f t="shared" si="29"/>
        <v>2</v>
      </c>
      <c r="AK40">
        <f>SUM(AI$22:AI40)</f>
        <v>25</v>
      </c>
      <c r="AL40">
        <f>SUM(AJ$22:AJ40)</f>
        <v>22</v>
      </c>
      <c r="AM40" s="279">
        <f t="shared" si="24"/>
        <v>1990</v>
      </c>
      <c r="AN40">
        <f t="shared" si="25"/>
        <v>1235</v>
      </c>
      <c r="AO40" s="279"/>
    </row>
    <row r="41" spans="1:48" x14ac:dyDescent="0.35">
      <c r="A41">
        <v>19</v>
      </c>
      <c r="B41" t="s">
        <v>57</v>
      </c>
      <c r="C41" s="276">
        <v>40897</v>
      </c>
      <c r="E41" t="s">
        <v>183</v>
      </c>
      <c r="F41" t="str">
        <f t="shared" si="20"/>
        <v/>
      </c>
      <c r="G41" t="s">
        <v>183</v>
      </c>
      <c r="H41" t="str">
        <f t="shared" si="20"/>
        <v/>
      </c>
      <c r="I41" t="s">
        <v>183</v>
      </c>
      <c r="J41" t="str">
        <f t="shared" si="7"/>
        <v/>
      </c>
      <c r="K41" t="s">
        <v>183</v>
      </c>
      <c r="L41" t="str">
        <f t="shared" si="8"/>
        <v/>
      </c>
      <c r="M41">
        <v>3</v>
      </c>
      <c r="N41">
        <f t="shared" si="9"/>
        <v>1935</v>
      </c>
      <c r="O41">
        <v>3</v>
      </c>
      <c r="P41">
        <f t="shared" si="10"/>
        <v>1350</v>
      </c>
      <c r="Q41">
        <v>3</v>
      </c>
      <c r="R41">
        <f t="shared" si="11"/>
        <v>1930</v>
      </c>
      <c r="S41" t="s">
        <v>183</v>
      </c>
      <c r="T41" t="str">
        <f t="shared" si="12"/>
        <v/>
      </c>
      <c r="U41" t="s">
        <v>183</v>
      </c>
      <c r="V41" t="str">
        <f t="shared" si="13"/>
        <v/>
      </c>
      <c r="W41" t="s">
        <v>183</v>
      </c>
      <c r="X41" t="str">
        <f t="shared" si="14"/>
        <v/>
      </c>
      <c r="Y41">
        <v>4</v>
      </c>
      <c r="Z41">
        <f t="shared" si="15"/>
        <v>2020</v>
      </c>
      <c r="AA41" t="s">
        <v>183</v>
      </c>
      <c r="AB41" t="str">
        <f t="shared" si="16"/>
        <v/>
      </c>
      <c r="AC41" t="s">
        <v>183</v>
      </c>
      <c r="AD41" t="str">
        <f t="shared" si="17"/>
        <v/>
      </c>
      <c r="AE41" t="s">
        <v>183</v>
      </c>
      <c r="AF41" t="str">
        <f t="shared" si="18"/>
        <v/>
      </c>
      <c r="AH41">
        <f t="shared" si="21"/>
        <v>2</v>
      </c>
      <c r="AI41">
        <f t="shared" si="28"/>
        <v>3</v>
      </c>
      <c r="AJ41">
        <f t="shared" si="29"/>
        <v>1</v>
      </c>
      <c r="AK41">
        <f>SUM(AI$22:AI41)</f>
        <v>28</v>
      </c>
      <c r="AL41">
        <f>SUM(AJ$22:AJ41)</f>
        <v>23</v>
      </c>
      <c r="AM41" s="279">
        <f t="shared" si="24"/>
        <v>1961.6666666666667</v>
      </c>
      <c r="AN41">
        <f t="shared" si="25"/>
        <v>1350</v>
      </c>
      <c r="AO41" s="279"/>
    </row>
    <row r="42" spans="1:48" x14ac:dyDescent="0.35">
      <c r="A42">
        <v>20</v>
      </c>
      <c r="B42" t="s">
        <v>58</v>
      </c>
      <c r="C42" s="276">
        <v>40898</v>
      </c>
      <c r="E42" t="s">
        <v>183</v>
      </c>
      <c r="F42" t="str">
        <f t="shared" si="20"/>
        <v/>
      </c>
      <c r="G42" t="s">
        <v>183</v>
      </c>
      <c r="H42" t="str">
        <f t="shared" si="20"/>
        <v/>
      </c>
      <c r="I42">
        <v>4</v>
      </c>
      <c r="J42">
        <f t="shared" si="7"/>
        <v>1875</v>
      </c>
      <c r="K42">
        <v>4</v>
      </c>
      <c r="L42">
        <f t="shared" si="8"/>
        <v>1130</v>
      </c>
      <c r="M42" t="s">
        <v>183</v>
      </c>
      <c r="N42" t="str">
        <f t="shared" si="9"/>
        <v/>
      </c>
      <c r="O42" t="s">
        <v>183</v>
      </c>
      <c r="P42" t="str">
        <f t="shared" si="10"/>
        <v/>
      </c>
      <c r="Q42" t="s">
        <v>183</v>
      </c>
      <c r="R42" t="str">
        <f t="shared" si="11"/>
        <v/>
      </c>
      <c r="S42">
        <v>3</v>
      </c>
      <c r="T42">
        <f t="shared" si="12"/>
        <v>1205</v>
      </c>
      <c r="U42" t="s">
        <v>183</v>
      </c>
      <c r="V42" t="str">
        <f t="shared" si="13"/>
        <v/>
      </c>
      <c r="W42" t="s">
        <v>183</v>
      </c>
      <c r="X42" t="str">
        <f t="shared" si="14"/>
        <v/>
      </c>
      <c r="Y42" t="s">
        <v>183</v>
      </c>
      <c r="Z42" t="str">
        <f t="shared" si="15"/>
        <v/>
      </c>
      <c r="AA42" t="s">
        <v>183</v>
      </c>
      <c r="AB42" t="str">
        <f t="shared" si="16"/>
        <v/>
      </c>
      <c r="AC42" t="s">
        <v>183</v>
      </c>
      <c r="AD42" t="str">
        <f t="shared" si="17"/>
        <v/>
      </c>
      <c r="AE42" t="s">
        <v>183</v>
      </c>
      <c r="AF42" t="str">
        <f t="shared" si="18"/>
        <v/>
      </c>
      <c r="AH42">
        <f t="shared" si="21"/>
        <v>3</v>
      </c>
      <c r="AI42">
        <f t="shared" si="28"/>
        <v>1</v>
      </c>
      <c r="AJ42">
        <f t="shared" si="29"/>
        <v>2</v>
      </c>
      <c r="AK42">
        <f>SUM(AI$22:AI42)</f>
        <v>29</v>
      </c>
      <c r="AL42">
        <f>SUM(AJ$22:AJ42)</f>
        <v>25</v>
      </c>
      <c r="AM42" s="279">
        <f t="shared" si="24"/>
        <v>1875</v>
      </c>
      <c r="AN42">
        <f t="shared" si="25"/>
        <v>1167.5</v>
      </c>
      <c r="AO42" s="279"/>
    </row>
    <row r="43" spans="1:48" x14ac:dyDescent="0.35">
      <c r="A43">
        <v>21</v>
      </c>
      <c r="B43" t="s">
        <v>52</v>
      </c>
      <c r="C43" s="276">
        <v>40899</v>
      </c>
      <c r="E43" t="s">
        <v>183</v>
      </c>
      <c r="F43" t="str">
        <f t="shared" si="20"/>
        <v/>
      </c>
      <c r="G43" t="s">
        <v>183</v>
      </c>
      <c r="H43" t="str">
        <f t="shared" si="20"/>
        <v/>
      </c>
      <c r="I43" t="s">
        <v>183</v>
      </c>
      <c r="J43" t="str">
        <f t="shared" si="7"/>
        <v/>
      </c>
      <c r="K43" t="s">
        <v>183</v>
      </c>
      <c r="L43" t="str">
        <f t="shared" si="8"/>
        <v/>
      </c>
      <c r="M43" t="s">
        <v>183</v>
      </c>
      <c r="N43" t="str">
        <f t="shared" si="9"/>
        <v/>
      </c>
      <c r="O43" t="s">
        <v>183</v>
      </c>
      <c r="P43" t="str">
        <f t="shared" si="10"/>
        <v/>
      </c>
      <c r="Q43" t="s">
        <v>183</v>
      </c>
      <c r="R43" t="str">
        <f t="shared" si="11"/>
        <v/>
      </c>
      <c r="S43" t="s">
        <v>183</v>
      </c>
      <c r="T43" t="str">
        <f t="shared" si="12"/>
        <v/>
      </c>
      <c r="U43" t="s">
        <v>183</v>
      </c>
      <c r="V43" t="str">
        <f t="shared" si="13"/>
        <v/>
      </c>
      <c r="W43" t="s">
        <v>183</v>
      </c>
      <c r="X43" t="str">
        <f t="shared" si="14"/>
        <v/>
      </c>
      <c r="Y43" t="s">
        <v>183</v>
      </c>
      <c r="Z43" t="str">
        <f t="shared" si="15"/>
        <v/>
      </c>
      <c r="AA43" t="s">
        <v>183</v>
      </c>
      <c r="AB43" t="str">
        <f t="shared" si="16"/>
        <v/>
      </c>
      <c r="AC43">
        <v>9</v>
      </c>
      <c r="AD43">
        <f t="shared" si="17"/>
        <v>1490</v>
      </c>
      <c r="AE43" t="s">
        <v>183</v>
      </c>
      <c r="AF43" t="str">
        <f t="shared" si="18"/>
        <v/>
      </c>
      <c r="AH43">
        <f t="shared" si="21"/>
        <v>3</v>
      </c>
      <c r="AI43">
        <f t="shared" si="28"/>
        <v>1</v>
      </c>
      <c r="AJ43">
        <f t="shared" si="29"/>
        <v>1</v>
      </c>
      <c r="AK43">
        <f>SUM(AI$22:AI43)</f>
        <v>30</v>
      </c>
      <c r="AL43">
        <f>SUM(AJ$22:AJ43)</f>
        <v>26</v>
      </c>
      <c r="AM43" s="279">
        <f t="shared" si="24"/>
        <v>1490</v>
      </c>
      <c r="AN43" t="str">
        <f t="shared" si="25"/>
        <v/>
      </c>
      <c r="AO43" s="279"/>
    </row>
    <row r="44" spans="1:48" x14ac:dyDescent="0.35">
      <c r="A44">
        <v>22</v>
      </c>
      <c r="B44" t="s">
        <v>53</v>
      </c>
      <c r="C44" s="276">
        <v>40900</v>
      </c>
      <c r="E44" t="s">
        <v>183</v>
      </c>
      <c r="F44" t="str">
        <f t="shared" si="20"/>
        <v/>
      </c>
      <c r="G44" t="s">
        <v>183</v>
      </c>
      <c r="H44" t="str">
        <f t="shared" si="20"/>
        <v/>
      </c>
      <c r="I44" t="s">
        <v>183</v>
      </c>
      <c r="J44" t="str">
        <f t="shared" si="7"/>
        <v/>
      </c>
      <c r="K44" t="s">
        <v>183</v>
      </c>
      <c r="L44" t="str">
        <f t="shared" si="8"/>
        <v/>
      </c>
      <c r="M44" t="s">
        <v>183</v>
      </c>
      <c r="N44" t="str">
        <f t="shared" si="9"/>
        <v/>
      </c>
      <c r="O44" t="s">
        <v>183</v>
      </c>
      <c r="P44" t="str">
        <f t="shared" si="10"/>
        <v/>
      </c>
      <c r="Q44" t="s">
        <v>183</v>
      </c>
      <c r="R44" t="str">
        <f t="shared" si="11"/>
        <v/>
      </c>
      <c r="S44" t="s">
        <v>183</v>
      </c>
      <c r="T44" t="str">
        <f t="shared" si="12"/>
        <v/>
      </c>
      <c r="U44" t="s">
        <v>183</v>
      </c>
      <c r="V44" t="str">
        <f t="shared" si="13"/>
        <v/>
      </c>
      <c r="W44" t="s">
        <v>183</v>
      </c>
      <c r="X44" t="str">
        <f t="shared" si="14"/>
        <v/>
      </c>
      <c r="Y44">
        <v>5</v>
      </c>
      <c r="Z44">
        <f t="shared" si="15"/>
        <v>2090</v>
      </c>
      <c r="AA44" t="s">
        <v>183</v>
      </c>
      <c r="AB44" t="str">
        <f t="shared" si="16"/>
        <v/>
      </c>
      <c r="AC44">
        <v>10</v>
      </c>
      <c r="AD44">
        <f t="shared" si="17"/>
        <v>1710</v>
      </c>
      <c r="AE44" t="s">
        <v>183</v>
      </c>
      <c r="AF44" t="str">
        <f t="shared" si="18"/>
        <v/>
      </c>
      <c r="AH44">
        <f t="shared" si="21"/>
        <v>3</v>
      </c>
      <c r="AI44">
        <f t="shared" si="28"/>
        <v>2</v>
      </c>
      <c r="AJ44">
        <f t="shared" si="29"/>
        <v>1</v>
      </c>
      <c r="AK44">
        <f>SUM(AI$22:AI44)</f>
        <v>32</v>
      </c>
      <c r="AL44">
        <f>SUM(AJ$22:AJ44)</f>
        <v>27</v>
      </c>
      <c r="AM44" s="279">
        <f t="shared" si="24"/>
        <v>1900</v>
      </c>
      <c r="AN44" t="str">
        <f t="shared" si="25"/>
        <v/>
      </c>
      <c r="AO44" s="279"/>
    </row>
    <row r="45" spans="1:48" x14ac:dyDescent="0.35">
      <c r="A45">
        <v>23</v>
      </c>
      <c r="B45" t="s">
        <v>54</v>
      </c>
      <c r="C45" s="276">
        <v>40901</v>
      </c>
      <c r="E45" t="s">
        <v>183</v>
      </c>
      <c r="F45" t="str">
        <f t="shared" si="20"/>
        <v/>
      </c>
      <c r="G45" t="s">
        <v>183</v>
      </c>
      <c r="H45" t="str">
        <f t="shared" si="20"/>
        <v/>
      </c>
      <c r="I45" t="s">
        <v>183</v>
      </c>
      <c r="J45" t="str">
        <f t="shared" si="7"/>
        <v/>
      </c>
      <c r="K45" t="s">
        <v>183</v>
      </c>
      <c r="L45" t="str">
        <f t="shared" si="8"/>
        <v/>
      </c>
      <c r="M45" t="s">
        <v>183</v>
      </c>
      <c r="N45" t="str">
        <f t="shared" si="9"/>
        <v/>
      </c>
      <c r="O45" t="s">
        <v>183</v>
      </c>
      <c r="P45" t="str">
        <f t="shared" si="10"/>
        <v/>
      </c>
      <c r="Q45" t="s">
        <v>183</v>
      </c>
      <c r="R45" t="str">
        <f t="shared" si="11"/>
        <v/>
      </c>
      <c r="S45" t="s">
        <v>183</v>
      </c>
      <c r="T45" t="str">
        <f t="shared" si="12"/>
        <v/>
      </c>
      <c r="U45" t="s">
        <v>183</v>
      </c>
      <c r="V45" t="str">
        <f t="shared" si="13"/>
        <v/>
      </c>
      <c r="W45" t="s">
        <v>183</v>
      </c>
      <c r="X45" t="str">
        <f t="shared" si="14"/>
        <v/>
      </c>
      <c r="Y45" t="s">
        <v>183</v>
      </c>
      <c r="Z45" t="str">
        <f t="shared" si="15"/>
        <v/>
      </c>
      <c r="AA45" t="s">
        <v>183</v>
      </c>
      <c r="AB45" t="str">
        <f t="shared" si="16"/>
        <v/>
      </c>
      <c r="AC45" t="s">
        <v>183</v>
      </c>
      <c r="AD45" t="str">
        <f t="shared" si="17"/>
        <v/>
      </c>
      <c r="AE45" t="s">
        <v>183</v>
      </c>
      <c r="AF45" t="str">
        <f t="shared" si="18"/>
        <v/>
      </c>
      <c r="AH45">
        <f t="shared" si="21"/>
        <v>3</v>
      </c>
      <c r="AI45">
        <f t="shared" si="28"/>
        <v>0</v>
      </c>
      <c r="AJ45">
        <f t="shared" si="29"/>
        <v>0</v>
      </c>
      <c r="AK45">
        <f>SUM(AI$22:AI45)</f>
        <v>32</v>
      </c>
      <c r="AL45">
        <f>SUM(AJ$22:AJ45)</f>
        <v>27</v>
      </c>
      <c r="AM45" s="279" t="str">
        <f t="shared" si="24"/>
        <v/>
      </c>
      <c r="AN45" t="str">
        <f t="shared" si="25"/>
        <v/>
      </c>
      <c r="AO45" s="279"/>
    </row>
    <row r="46" spans="1:48" x14ac:dyDescent="0.35">
      <c r="A46">
        <v>24</v>
      </c>
      <c r="B46" t="s">
        <v>55</v>
      </c>
      <c r="C46" s="276">
        <v>40902</v>
      </c>
      <c r="E46" t="s">
        <v>183</v>
      </c>
      <c r="F46" t="str">
        <f t="shared" si="20"/>
        <v/>
      </c>
      <c r="G46" t="s">
        <v>183</v>
      </c>
      <c r="H46" t="str">
        <f t="shared" si="20"/>
        <v/>
      </c>
      <c r="I46" t="s">
        <v>183</v>
      </c>
      <c r="J46" t="str">
        <f t="shared" si="7"/>
        <v/>
      </c>
      <c r="K46" t="s">
        <v>183</v>
      </c>
      <c r="L46" t="str">
        <f t="shared" si="8"/>
        <v/>
      </c>
      <c r="M46" t="s">
        <v>183</v>
      </c>
      <c r="N46" t="str">
        <f t="shared" si="9"/>
        <v/>
      </c>
      <c r="O46" t="s">
        <v>183</v>
      </c>
      <c r="P46" t="str">
        <f t="shared" si="10"/>
        <v/>
      </c>
      <c r="Q46" t="s">
        <v>183</v>
      </c>
      <c r="R46" t="str">
        <f t="shared" si="11"/>
        <v/>
      </c>
      <c r="S46" t="s">
        <v>183</v>
      </c>
      <c r="T46" t="str">
        <f t="shared" si="12"/>
        <v/>
      </c>
      <c r="U46" t="s">
        <v>183</v>
      </c>
      <c r="V46" t="str">
        <f t="shared" si="13"/>
        <v/>
      </c>
      <c r="W46" t="s">
        <v>183</v>
      </c>
      <c r="X46" t="str">
        <f t="shared" si="14"/>
        <v/>
      </c>
      <c r="Y46" t="s">
        <v>183</v>
      </c>
      <c r="Z46" t="str">
        <f t="shared" si="15"/>
        <v/>
      </c>
      <c r="AA46" t="s">
        <v>183</v>
      </c>
      <c r="AB46" t="str">
        <f t="shared" si="16"/>
        <v/>
      </c>
      <c r="AC46" t="s">
        <v>183</v>
      </c>
      <c r="AD46" t="str">
        <f t="shared" si="17"/>
        <v/>
      </c>
      <c r="AE46" t="s">
        <v>183</v>
      </c>
      <c r="AF46" t="str">
        <f t="shared" si="18"/>
        <v/>
      </c>
      <c r="AH46">
        <f t="shared" si="21"/>
        <v>3</v>
      </c>
      <c r="AI46">
        <f t="shared" si="28"/>
        <v>0</v>
      </c>
      <c r="AJ46">
        <f t="shared" si="29"/>
        <v>0</v>
      </c>
      <c r="AK46">
        <f>SUM(AI$22:AI46)</f>
        <v>32</v>
      </c>
      <c r="AL46">
        <f>SUM(AJ$22:AJ46)</f>
        <v>27</v>
      </c>
      <c r="AM46" s="279" t="str">
        <f t="shared" si="24"/>
        <v/>
      </c>
      <c r="AN46" t="str">
        <f t="shared" si="25"/>
        <v/>
      </c>
      <c r="AO46" s="279"/>
    </row>
    <row r="47" spans="1:48" x14ac:dyDescent="0.35">
      <c r="A47">
        <v>25</v>
      </c>
      <c r="B47" t="s">
        <v>56</v>
      </c>
      <c r="C47" s="276">
        <v>40903</v>
      </c>
      <c r="E47" t="s">
        <v>183</v>
      </c>
      <c r="F47" t="str">
        <f t="shared" si="20"/>
        <v/>
      </c>
      <c r="G47" t="s">
        <v>183</v>
      </c>
      <c r="H47" t="str">
        <f t="shared" si="20"/>
        <v/>
      </c>
      <c r="I47" t="s">
        <v>183</v>
      </c>
      <c r="J47" t="str">
        <f t="shared" si="7"/>
        <v/>
      </c>
      <c r="K47" t="s">
        <v>183</v>
      </c>
      <c r="L47" t="str">
        <f t="shared" si="8"/>
        <v/>
      </c>
      <c r="M47" t="s">
        <v>183</v>
      </c>
      <c r="N47" t="str">
        <f t="shared" si="9"/>
        <v/>
      </c>
      <c r="O47" t="s">
        <v>183</v>
      </c>
      <c r="P47" t="str">
        <f t="shared" si="10"/>
        <v/>
      </c>
      <c r="Q47" t="s">
        <v>183</v>
      </c>
      <c r="R47" t="str">
        <f t="shared" si="11"/>
        <v/>
      </c>
      <c r="S47" t="s">
        <v>183</v>
      </c>
      <c r="T47" t="str">
        <f t="shared" si="12"/>
        <v/>
      </c>
      <c r="U47" t="s">
        <v>183</v>
      </c>
      <c r="V47" t="str">
        <f t="shared" si="13"/>
        <v/>
      </c>
      <c r="W47" t="s">
        <v>183</v>
      </c>
      <c r="X47" t="str">
        <f t="shared" si="14"/>
        <v/>
      </c>
      <c r="Y47" t="s">
        <v>183</v>
      </c>
      <c r="Z47" t="str">
        <f t="shared" si="15"/>
        <v/>
      </c>
      <c r="AA47">
        <v>4</v>
      </c>
      <c r="AB47">
        <f t="shared" si="16"/>
        <v>1805</v>
      </c>
      <c r="AC47" t="s">
        <v>183</v>
      </c>
      <c r="AD47" t="str">
        <f t="shared" si="17"/>
        <v/>
      </c>
      <c r="AE47" t="s">
        <v>183</v>
      </c>
      <c r="AF47" t="str">
        <f t="shared" si="18"/>
        <v/>
      </c>
      <c r="AH47">
        <f t="shared" si="21"/>
        <v>3</v>
      </c>
      <c r="AI47">
        <f t="shared" si="28"/>
        <v>0</v>
      </c>
      <c r="AJ47">
        <f t="shared" si="29"/>
        <v>0</v>
      </c>
      <c r="AK47">
        <f>SUM(AI$22:AI47)</f>
        <v>32</v>
      </c>
      <c r="AL47">
        <f>SUM(AJ$22:AJ47)</f>
        <v>27</v>
      </c>
      <c r="AM47" s="279" t="str">
        <f t="shared" si="24"/>
        <v/>
      </c>
      <c r="AN47">
        <f t="shared" si="25"/>
        <v>1805</v>
      </c>
      <c r="AO47" s="279"/>
    </row>
    <row r="48" spans="1:48" x14ac:dyDescent="0.35">
      <c r="A48">
        <v>26</v>
      </c>
      <c r="B48" t="s">
        <v>57</v>
      </c>
      <c r="C48" s="276">
        <v>40904</v>
      </c>
      <c r="E48" t="s">
        <v>183</v>
      </c>
      <c r="F48" t="str">
        <f t="shared" si="20"/>
        <v/>
      </c>
      <c r="G48" t="s">
        <v>183</v>
      </c>
      <c r="H48" t="str">
        <f t="shared" si="20"/>
        <v/>
      </c>
      <c r="I48" t="s">
        <v>183</v>
      </c>
      <c r="J48" t="str">
        <f t="shared" si="7"/>
        <v/>
      </c>
      <c r="K48" t="s">
        <v>183</v>
      </c>
      <c r="L48" t="str">
        <f t="shared" si="8"/>
        <v/>
      </c>
      <c r="M48" t="s">
        <v>183</v>
      </c>
      <c r="N48" t="str">
        <f t="shared" si="9"/>
        <v/>
      </c>
      <c r="O48" t="s">
        <v>183</v>
      </c>
      <c r="P48" t="str">
        <f t="shared" si="10"/>
        <v/>
      </c>
      <c r="Q48">
        <v>4</v>
      </c>
      <c r="R48">
        <f t="shared" si="11"/>
        <v>1740</v>
      </c>
      <c r="S48" t="s">
        <v>183</v>
      </c>
      <c r="T48" t="str">
        <f t="shared" si="12"/>
        <v/>
      </c>
      <c r="U48">
        <v>4</v>
      </c>
      <c r="V48">
        <f t="shared" si="13"/>
        <v>1935</v>
      </c>
      <c r="W48" t="s">
        <v>183</v>
      </c>
      <c r="X48" t="str">
        <f t="shared" si="14"/>
        <v/>
      </c>
      <c r="Y48" t="s">
        <v>183</v>
      </c>
      <c r="Z48" t="str">
        <f t="shared" si="15"/>
        <v/>
      </c>
      <c r="AA48" t="s">
        <v>183</v>
      </c>
      <c r="AB48" t="str">
        <f t="shared" si="16"/>
        <v/>
      </c>
      <c r="AC48" t="s">
        <v>183</v>
      </c>
      <c r="AD48" t="str">
        <f t="shared" si="17"/>
        <v/>
      </c>
      <c r="AE48" t="s">
        <v>183</v>
      </c>
      <c r="AF48" t="str">
        <f t="shared" si="18"/>
        <v/>
      </c>
      <c r="AH48">
        <f t="shared" si="21"/>
        <v>3</v>
      </c>
      <c r="AI48">
        <f t="shared" si="28"/>
        <v>2</v>
      </c>
      <c r="AJ48">
        <f t="shared" si="29"/>
        <v>0</v>
      </c>
      <c r="AK48">
        <f>SUM(AI$22:AI48)</f>
        <v>34</v>
      </c>
      <c r="AL48">
        <f>SUM(AJ$22:AJ48)</f>
        <v>27</v>
      </c>
      <c r="AM48" s="279">
        <f t="shared" si="24"/>
        <v>1837.5</v>
      </c>
      <c r="AN48" t="str">
        <f t="shared" si="25"/>
        <v/>
      </c>
      <c r="AO48" s="279"/>
    </row>
    <row r="49" spans="1:41" x14ac:dyDescent="0.35">
      <c r="A49">
        <v>27</v>
      </c>
      <c r="B49" t="s">
        <v>58</v>
      </c>
      <c r="C49" s="276">
        <v>40905</v>
      </c>
      <c r="E49">
        <v>5</v>
      </c>
      <c r="F49">
        <f t="shared" si="20"/>
        <v>1800</v>
      </c>
      <c r="G49">
        <v>5</v>
      </c>
      <c r="H49">
        <f t="shared" si="20"/>
        <v>840</v>
      </c>
      <c r="I49" t="s">
        <v>183</v>
      </c>
      <c r="J49" t="str">
        <f t="shared" si="7"/>
        <v/>
      </c>
      <c r="K49" t="s">
        <v>183</v>
      </c>
      <c r="L49" t="str">
        <f t="shared" si="8"/>
        <v/>
      </c>
      <c r="M49" t="s">
        <v>183</v>
      </c>
      <c r="N49" t="str">
        <f t="shared" si="9"/>
        <v/>
      </c>
      <c r="O49" t="s">
        <v>183</v>
      </c>
      <c r="P49" t="str">
        <f t="shared" si="10"/>
        <v/>
      </c>
      <c r="Q49" t="s">
        <v>183</v>
      </c>
      <c r="R49" t="str">
        <f t="shared" si="11"/>
        <v/>
      </c>
      <c r="S49">
        <v>4</v>
      </c>
      <c r="T49">
        <f t="shared" si="12"/>
        <v>1365</v>
      </c>
      <c r="U49" t="s">
        <v>183</v>
      </c>
      <c r="V49" t="str">
        <f t="shared" si="13"/>
        <v/>
      </c>
      <c r="W49" t="s">
        <v>183</v>
      </c>
      <c r="X49" t="str">
        <f t="shared" si="14"/>
        <v/>
      </c>
      <c r="Y49" t="s">
        <v>183</v>
      </c>
      <c r="Z49" t="str">
        <f t="shared" si="15"/>
        <v/>
      </c>
      <c r="AA49" t="s">
        <v>183</v>
      </c>
      <c r="AB49" t="str">
        <f t="shared" si="16"/>
        <v/>
      </c>
      <c r="AC49" t="s">
        <v>183</v>
      </c>
      <c r="AD49" t="str">
        <f t="shared" si="17"/>
        <v/>
      </c>
      <c r="AE49" t="s">
        <v>183</v>
      </c>
      <c r="AF49" t="str">
        <f t="shared" si="18"/>
        <v/>
      </c>
      <c r="AH49">
        <f t="shared" si="21"/>
        <v>3</v>
      </c>
      <c r="AI49">
        <f t="shared" si="28"/>
        <v>1</v>
      </c>
      <c r="AJ49">
        <f t="shared" si="29"/>
        <v>2</v>
      </c>
      <c r="AK49">
        <f>SUM(AI$22:AI49)</f>
        <v>35</v>
      </c>
      <c r="AL49">
        <f>SUM(AJ$22:AJ49)</f>
        <v>29</v>
      </c>
      <c r="AM49" s="279">
        <f t="shared" si="24"/>
        <v>1800</v>
      </c>
      <c r="AN49">
        <f t="shared" si="25"/>
        <v>1102.5</v>
      </c>
      <c r="AO49" s="279"/>
    </row>
    <row r="50" spans="1:41" x14ac:dyDescent="0.35">
      <c r="A50">
        <v>28</v>
      </c>
      <c r="B50" t="s">
        <v>52</v>
      </c>
      <c r="C50" s="276">
        <v>40906</v>
      </c>
      <c r="E50" t="s">
        <v>183</v>
      </c>
      <c r="F50" t="str">
        <f t="shared" si="20"/>
        <v/>
      </c>
      <c r="G50" t="s">
        <v>183</v>
      </c>
      <c r="H50" t="str">
        <f t="shared" si="20"/>
        <v/>
      </c>
      <c r="I50">
        <v>5</v>
      </c>
      <c r="J50">
        <f t="shared" si="7"/>
        <v>1775</v>
      </c>
      <c r="K50">
        <v>5</v>
      </c>
      <c r="L50">
        <f t="shared" si="8"/>
        <v>1245</v>
      </c>
      <c r="M50" t="s">
        <v>183</v>
      </c>
      <c r="N50" t="str">
        <f t="shared" si="9"/>
        <v/>
      </c>
      <c r="O50" t="s">
        <v>183</v>
      </c>
      <c r="P50" t="str">
        <f t="shared" si="10"/>
        <v/>
      </c>
      <c r="Q50" t="s">
        <v>183</v>
      </c>
      <c r="R50" t="str">
        <f t="shared" si="11"/>
        <v/>
      </c>
      <c r="S50" t="s">
        <v>183</v>
      </c>
      <c r="T50" t="str">
        <f t="shared" si="12"/>
        <v/>
      </c>
      <c r="U50" t="s">
        <v>183</v>
      </c>
      <c r="V50" t="str">
        <f t="shared" si="13"/>
        <v/>
      </c>
      <c r="W50">
        <v>4</v>
      </c>
      <c r="X50">
        <f t="shared" si="14"/>
        <v>1440</v>
      </c>
      <c r="Y50" t="s">
        <v>183</v>
      </c>
      <c r="Z50" t="str">
        <f t="shared" si="15"/>
        <v/>
      </c>
      <c r="AA50">
        <v>5</v>
      </c>
      <c r="AB50">
        <f t="shared" si="16"/>
        <v>1785</v>
      </c>
      <c r="AC50" t="s">
        <v>183</v>
      </c>
      <c r="AD50" t="str">
        <f t="shared" si="17"/>
        <v/>
      </c>
      <c r="AE50" t="s">
        <v>183</v>
      </c>
      <c r="AF50" t="str">
        <f t="shared" si="18"/>
        <v/>
      </c>
      <c r="AH50">
        <f t="shared" si="21"/>
        <v>3</v>
      </c>
      <c r="AI50">
        <f t="shared" si="28"/>
        <v>1</v>
      </c>
      <c r="AJ50">
        <f t="shared" si="29"/>
        <v>2</v>
      </c>
      <c r="AK50">
        <f>SUM(AI$22:AI50)</f>
        <v>36</v>
      </c>
      <c r="AL50">
        <f>SUM(AJ$22:AJ50)</f>
        <v>31</v>
      </c>
      <c r="AM50" s="279">
        <f t="shared" si="24"/>
        <v>1775</v>
      </c>
      <c r="AN50">
        <f t="shared" si="25"/>
        <v>1490</v>
      </c>
      <c r="AO50" s="279"/>
    </row>
    <row r="51" spans="1:41" x14ac:dyDescent="0.35">
      <c r="A51">
        <v>29</v>
      </c>
      <c r="B51" t="s">
        <v>53</v>
      </c>
      <c r="C51" s="276">
        <v>40907</v>
      </c>
      <c r="E51" t="s">
        <v>183</v>
      </c>
      <c r="F51" t="str">
        <f t="shared" si="20"/>
        <v/>
      </c>
      <c r="G51" t="s">
        <v>183</v>
      </c>
      <c r="H51" t="str">
        <f t="shared" si="20"/>
        <v/>
      </c>
      <c r="I51" t="s">
        <v>183</v>
      </c>
      <c r="J51" t="str">
        <f t="shared" si="7"/>
        <v/>
      </c>
      <c r="K51" t="s">
        <v>183</v>
      </c>
      <c r="L51" t="str">
        <f t="shared" si="8"/>
        <v/>
      </c>
      <c r="M51" t="s">
        <v>183</v>
      </c>
      <c r="N51" t="str">
        <f t="shared" si="9"/>
        <v/>
      </c>
      <c r="O51" t="s">
        <v>183</v>
      </c>
      <c r="P51" t="str">
        <f t="shared" si="10"/>
        <v/>
      </c>
      <c r="Q51" t="s">
        <v>183</v>
      </c>
      <c r="R51" t="str">
        <f t="shared" si="11"/>
        <v/>
      </c>
      <c r="S51" t="s">
        <v>183</v>
      </c>
      <c r="T51" t="str">
        <f t="shared" si="12"/>
        <v/>
      </c>
      <c r="U51" t="s">
        <v>183</v>
      </c>
      <c r="V51" t="str">
        <f t="shared" si="13"/>
        <v/>
      </c>
      <c r="W51" t="s">
        <v>183</v>
      </c>
      <c r="X51" t="str">
        <f t="shared" si="14"/>
        <v/>
      </c>
      <c r="Y51" t="s">
        <v>183</v>
      </c>
      <c r="Z51" t="str">
        <f t="shared" si="15"/>
        <v/>
      </c>
      <c r="AA51" t="s">
        <v>183</v>
      </c>
      <c r="AB51" t="str">
        <f t="shared" si="16"/>
        <v/>
      </c>
      <c r="AC51" t="s">
        <v>183</v>
      </c>
      <c r="AD51" t="str">
        <f t="shared" si="17"/>
        <v/>
      </c>
      <c r="AE51" t="s">
        <v>183</v>
      </c>
      <c r="AF51" t="str">
        <f t="shared" si="18"/>
        <v/>
      </c>
      <c r="AH51">
        <f t="shared" si="21"/>
        <v>3</v>
      </c>
      <c r="AI51">
        <f t="shared" si="28"/>
        <v>0</v>
      </c>
      <c r="AJ51">
        <f t="shared" si="29"/>
        <v>0</v>
      </c>
      <c r="AK51">
        <f>SUM(AI$22:AI51)</f>
        <v>36</v>
      </c>
      <c r="AL51">
        <f>SUM(AJ$22:AJ51)</f>
        <v>31</v>
      </c>
      <c r="AM51" s="279" t="str">
        <f t="shared" si="24"/>
        <v/>
      </c>
      <c r="AN51" t="str">
        <f t="shared" si="25"/>
        <v/>
      </c>
      <c r="AO51" s="279"/>
    </row>
    <row r="52" spans="1:41" x14ac:dyDescent="0.35">
      <c r="A52">
        <v>30</v>
      </c>
      <c r="B52" t="s">
        <v>54</v>
      </c>
      <c r="C52" s="276">
        <v>40908</v>
      </c>
      <c r="E52" t="s">
        <v>183</v>
      </c>
      <c r="F52" t="str">
        <f t="shared" si="20"/>
        <v/>
      </c>
      <c r="G52" t="s">
        <v>183</v>
      </c>
      <c r="H52" t="str">
        <f t="shared" si="20"/>
        <v/>
      </c>
      <c r="I52" t="s">
        <v>183</v>
      </c>
      <c r="J52" t="str">
        <f t="shared" si="7"/>
        <v/>
      </c>
      <c r="K52" t="s">
        <v>183</v>
      </c>
      <c r="L52" t="str">
        <f t="shared" si="8"/>
        <v/>
      </c>
      <c r="M52">
        <v>4</v>
      </c>
      <c r="N52">
        <f t="shared" si="9"/>
        <v>1525</v>
      </c>
      <c r="O52">
        <v>4</v>
      </c>
      <c r="P52">
        <f t="shared" si="10"/>
        <v>975</v>
      </c>
      <c r="Q52" t="s">
        <v>183</v>
      </c>
      <c r="R52" t="str">
        <f t="shared" si="11"/>
        <v/>
      </c>
      <c r="S52" t="s">
        <v>183</v>
      </c>
      <c r="T52" t="str">
        <f t="shared" si="12"/>
        <v/>
      </c>
      <c r="U52" t="s">
        <v>183</v>
      </c>
      <c r="V52" t="str">
        <f t="shared" si="13"/>
        <v/>
      </c>
      <c r="W52" t="s">
        <v>183</v>
      </c>
      <c r="X52" t="str">
        <f t="shared" si="14"/>
        <v/>
      </c>
      <c r="Y52" t="s">
        <v>183</v>
      </c>
      <c r="Z52" t="str">
        <f t="shared" si="15"/>
        <v/>
      </c>
      <c r="AA52" t="s">
        <v>183</v>
      </c>
      <c r="AB52" t="str">
        <f t="shared" si="16"/>
        <v/>
      </c>
      <c r="AC52" t="s">
        <v>183</v>
      </c>
      <c r="AD52" t="str">
        <f t="shared" si="17"/>
        <v/>
      </c>
      <c r="AE52" t="s">
        <v>183</v>
      </c>
      <c r="AF52" t="str">
        <f t="shared" si="18"/>
        <v/>
      </c>
      <c r="AH52">
        <f t="shared" si="21"/>
        <v>4</v>
      </c>
      <c r="AI52">
        <f t="shared" si="28"/>
        <v>1</v>
      </c>
      <c r="AJ52">
        <f t="shared" si="29"/>
        <v>1</v>
      </c>
      <c r="AK52">
        <f>SUM(AI$22:AI52)</f>
        <v>37</v>
      </c>
      <c r="AL52">
        <f>SUM(AJ$22:AJ52)</f>
        <v>32</v>
      </c>
      <c r="AM52" s="279">
        <f t="shared" si="24"/>
        <v>1525</v>
      </c>
      <c r="AN52">
        <f t="shared" si="25"/>
        <v>975</v>
      </c>
      <c r="AO52" s="279"/>
    </row>
    <row r="53" spans="1:41" x14ac:dyDescent="0.35">
      <c r="A53">
        <v>31</v>
      </c>
      <c r="B53" t="s">
        <v>55</v>
      </c>
      <c r="C53" s="276">
        <v>40909</v>
      </c>
      <c r="E53" t="s">
        <v>183</v>
      </c>
      <c r="F53" t="str">
        <f t="shared" si="20"/>
        <v/>
      </c>
      <c r="G53" t="s">
        <v>183</v>
      </c>
      <c r="H53" t="str">
        <f t="shared" si="20"/>
        <v/>
      </c>
      <c r="I53" t="s">
        <v>183</v>
      </c>
      <c r="J53" t="str">
        <f t="shared" si="7"/>
        <v/>
      </c>
      <c r="K53" t="s">
        <v>183</v>
      </c>
      <c r="L53" t="str">
        <f t="shared" si="8"/>
        <v/>
      </c>
      <c r="M53" t="s">
        <v>183</v>
      </c>
      <c r="N53" t="str">
        <f t="shared" si="9"/>
        <v/>
      </c>
      <c r="O53" t="s">
        <v>183</v>
      </c>
      <c r="P53" t="str">
        <f t="shared" si="10"/>
        <v/>
      </c>
      <c r="Q53" t="s">
        <v>183</v>
      </c>
      <c r="R53" t="str">
        <f t="shared" si="11"/>
        <v/>
      </c>
      <c r="S53" t="s">
        <v>183</v>
      </c>
      <c r="T53" t="str">
        <f t="shared" si="12"/>
        <v/>
      </c>
      <c r="U53" t="s">
        <v>183</v>
      </c>
      <c r="V53" t="str">
        <f t="shared" si="13"/>
        <v/>
      </c>
      <c r="W53" t="s">
        <v>183</v>
      </c>
      <c r="X53" t="str">
        <f t="shared" si="14"/>
        <v/>
      </c>
      <c r="Y53" t="s">
        <v>183</v>
      </c>
      <c r="Z53" t="str">
        <f t="shared" si="15"/>
        <v/>
      </c>
      <c r="AA53" t="s">
        <v>183</v>
      </c>
      <c r="AB53" t="str">
        <f t="shared" si="16"/>
        <v/>
      </c>
      <c r="AC53" t="s">
        <v>183</v>
      </c>
      <c r="AD53" t="str">
        <f t="shared" si="17"/>
        <v/>
      </c>
      <c r="AE53" t="s">
        <v>183</v>
      </c>
      <c r="AF53" t="str">
        <f t="shared" si="18"/>
        <v/>
      </c>
      <c r="AH53">
        <f t="shared" si="21"/>
        <v>4</v>
      </c>
      <c r="AI53">
        <f t="shared" si="28"/>
        <v>0</v>
      </c>
      <c r="AJ53">
        <f t="shared" si="29"/>
        <v>0</v>
      </c>
      <c r="AK53">
        <f>SUM(AI$22:AI53)</f>
        <v>37</v>
      </c>
      <c r="AL53">
        <f>SUM(AJ$22:AJ53)</f>
        <v>32</v>
      </c>
      <c r="AM53" s="279" t="str">
        <f t="shared" si="24"/>
        <v/>
      </c>
      <c r="AN53" t="str">
        <f t="shared" si="25"/>
        <v/>
      </c>
      <c r="AO53" s="279"/>
    </row>
    <row r="54" spans="1:41" x14ac:dyDescent="0.35">
      <c r="A54">
        <v>32</v>
      </c>
      <c r="B54" t="s">
        <v>56</v>
      </c>
      <c r="C54" s="276">
        <v>40910</v>
      </c>
      <c r="E54" t="s">
        <v>183</v>
      </c>
      <c r="F54" t="str">
        <f t="shared" si="20"/>
        <v/>
      </c>
      <c r="G54" t="s">
        <v>183</v>
      </c>
      <c r="H54" t="str">
        <f t="shared" si="20"/>
        <v/>
      </c>
      <c r="I54" t="s">
        <v>183</v>
      </c>
      <c r="J54" t="str">
        <f t="shared" ref="J54:J85" si="30">IF(OR(ISBLANK(I54),ISTEXT(I54)),"",LOOKUP(I54,$D$2:$D$11,J$2:J$11))</f>
        <v/>
      </c>
      <c r="K54" t="s">
        <v>183</v>
      </c>
      <c r="L54" t="str">
        <f t="shared" ref="L54:L85" si="31">IF(OR(ISBLANK(K54),ISTEXT(K54)),"",LOOKUP(K54,$D$2:$D$11,L$2:L$11))</f>
        <v/>
      </c>
      <c r="M54" t="s">
        <v>183</v>
      </c>
      <c r="N54" t="str">
        <f t="shared" ref="N54:N85" si="32">IF(OR(ISBLANK(M54),ISTEXT(M54)),"",LOOKUP(M54,$D$2:$D$11,N$2:N$11))</f>
        <v/>
      </c>
      <c r="O54" t="s">
        <v>183</v>
      </c>
      <c r="P54" t="str">
        <f t="shared" ref="P54:P85" si="33">IF(OR(ISBLANK(O54),ISTEXT(O54)),"",LOOKUP(O54,$D$2:$D$11,P$2:P$11))</f>
        <v/>
      </c>
      <c r="Q54" t="s">
        <v>183</v>
      </c>
      <c r="R54" t="str">
        <f t="shared" ref="R54:R85" si="34">IF(OR(ISBLANK(Q54),ISTEXT(Q54)),"",LOOKUP(Q54,$D$2:$D$11,R$2:R$11))</f>
        <v/>
      </c>
      <c r="S54" t="s">
        <v>183</v>
      </c>
      <c r="T54" t="str">
        <f t="shared" ref="T54:T85" si="35">IF(OR(ISBLANK(S54),ISTEXT(S54)),"",LOOKUP(S54,$D$2:$D$11,T$2:T$11))</f>
        <v/>
      </c>
      <c r="U54" t="s">
        <v>183</v>
      </c>
      <c r="V54" t="str">
        <f t="shared" ref="V54:V85" si="36">IF(OR(ISBLANK(U54),ISTEXT(U54)),"",LOOKUP(U54,$D$2:$D$11,V$2:V$11))</f>
        <v/>
      </c>
      <c r="W54" t="s">
        <v>183</v>
      </c>
      <c r="X54" t="str">
        <f t="shared" ref="X54:X85" si="37">IF(OR(ISBLANK(W54),ISTEXT(W54)),"",LOOKUP(W54,$D$2:$D$11,X$2:X$11))</f>
        <v/>
      </c>
      <c r="Y54" t="s">
        <v>183</v>
      </c>
      <c r="Z54" t="str">
        <f t="shared" ref="Z54:Z85" si="38">IF(OR(ISBLANK(Y54),ISTEXT(Y54)),"",LOOKUP(Y54,$D$2:$D$11,Z$2:Z$11))</f>
        <v/>
      </c>
      <c r="AA54" t="s">
        <v>183</v>
      </c>
      <c r="AB54" t="str">
        <f t="shared" ref="AB54:AB85" si="39">IF(OR(ISBLANK(AA54),ISTEXT(AA54)),"",LOOKUP(AA54,$D$2:$D$11,AB$2:AB$11))</f>
        <v/>
      </c>
      <c r="AC54" t="s">
        <v>183</v>
      </c>
      <c r="AD54" t="str">
        <f t="shared" ref="AD54:AD85" si="40">IF(OR(ISBLANK(AC54),ISTEXT(AC54)),"",LOOKUP(AC54,$D$2:$D$11,AD$2:AD$11))</f>
        <v/>
      </c>
      <c r="AE54" t="s">
        <v>183</v>
      </c>
      <c r="AF54" t="str">
        <f t="shared" ref="AF54:AF85" si="41">IF(OR(ISBLANK(AE54),ISTEXT(AE54)),"",LOOKUP(AE54,$D$2:$D$11,AF$2:AF$11))</f>
        <v/>
      </c>
      <c r="AH54">
        <f t="shared" si="21"/>
        <v>4</v>
      </c>
      <c r="AI54">
        <f t="shared" si="28"/>
        <v>0</v>
      </c>
      <c r="AJ54">
        <f t="shared" si="29"/>
        <v>0</v>
      </c>
      <c r="AK54">
        <f>SUM(AI$22:AI54)</f>
        <v>37</v>
      </c>
      <c r="AL54">
        <f>SUM(AJ$22:AJ54)</f>
        <v>32</v>
      </c>
      <c r="AM54" s="279" t="str">
        <f t="shared" si="24"/>
        <v/>
      </c>
      <c r="AN54" t="str">
        <f t="shared" si="25"/>
        <v/>
      </c>
      <c r="AO54" s="279"/>
    </row>
    <row r="55" spans="1:41" x14ac:dyDescent="0.35">
      <c r="A55">
        <v>33</v>
      </c>
      <c r="B55" t="s">
        <v>57</v>
      </c>
      <c r="C55" s="276">
        <v>40911</v>
      </c>
      <c r="E55" t="s">
        <v>183</v>
      </c>
      <c r="F55" t="str">
        <f t="shared" si="20"/>
        <v/>
      </c>
      <c r="G55" t="s">
        <v>183</v>
      </c>
      <c r="H55" t="str">
        <f t="shared" si="20"/>
        <v/>
      </c>
      <c r="I55" t="s">
        <v>183</v>
      </c>
      <c r="J55" t="str">
        <f t="shared" si="30"/>
        <v/>
      </c>
      <c r="K55" t="s">
        <v>183</v>
      </c>
      <c r="L55" t="str">
        <f t="shared" si="31"/>
        <v/>
      </c>
      <c r="M55" t="s">
        <v>183</v>
      </c>
      <c r="N55" t="str">
        <f t="shared" si="32"/>
        <v/>
      </c>
      <c r="O55" t="s">
        <v>183</v>
      </c>
      <c r="P55" t="str">
        <f t="shared" si="33"/>
        <v/>
      </c>
      <c r="Q55" t="s">
        <v>183</v>
      </c>
      <c r="R55" t="str">
        <f t="shared" si="34"/>
        <v/>
      </c>
      <c r="S55" t="s">
        <v>183</v>
      </c>
      <c r="T55" t="str">
        <f t="shared" si="35"/>
        <v/>
      </c>
      <c r="U55" t="s">
        <v>183</v>
      </c>
      <c r="V55" t="str">
        <f t="shared" si="36"/>
        <v/>
      </c>
      <c r="W55" t="s">
        <v>183</v>
      </c>
      <c r="X55" t="str">
        <f t="shared" si="37"/>
        <v/>
      </c>
      <c r="Y55">
        <v>6</v>
      </c>
      <c r="Z55">
        <f t="shared" si="38"/>
        <v>1740</v>
      </c>
      <c r="AA55" t="s">
        <v>183</v>
      </c>
      <c r="AB55" t="str">
        <f t="shared" si="39"/>
        <v/>
      </c>
      <c r="AC55" t="s">
        <v>183</v>
      </c>
      <c r="AD55" t="str">
        <f t="shared" si="40"/>
        <v/>
      </c>
      <c r="AE55" t="s">
        <v>183</v>
      </c>
      <c r="AF55" t="str">
        <f t="shared" si="41"/>
        <v/>
      </c>
      <c r="AH55">
        <f t="shared" si="21"/>
        <v>4</v>
      </c>
      <c r="AI55">
        <f t="shared" si="28"/>
        <v>1</v>
      </c>
      <c r="AJ55">
        <f t="shared" si="29"/>
        <v>0</v>
      </c>
      <c r="AK55">
        <f>SUM(AI$22:AI55)</f>
        <v>38</v>
      </c>
      <c r="AL55">
        <f>SUM(AJ$22:AJ55)</f>
        <v>32</v>
      </c>
      <c r="AM55" s="279">
        <f t="shared" si="24"/>
        <v>1740</v>
      </c>
      <c r="AN55" t="str">
        <f t="shared" si="25"/>
        <v/>
      </c>
      <c r="AO55" s="279"/>
    </row>
    <row r="56" spans="1:41" x14ac:dyDescent="0.35">
      <c r="A56">
        <v>34</v>
      </c>
      <c r="B56" t="s">
        <v>58</v>
      </c>
      <c r="C56" s="276">
        <v>40912</v>
      </c>
      <c r="E56" t="s">
        <v>183</v>
      </c>
      <c r="F56" t="str">
        <f t="shared" si="20"/>
        <v/>
      </c>
      <c r="G56" t="s">
        <v>183</v>
      </c>
      <c r="H56" t="str">
        <f t="shared" si="20"/>
        <v/>
      </c>
      <c r="I56" t="s">
        <v>183</v>
      </c>
      <c r="J56" t="str">
        <f t="shared" si="30"/>
        <v/>
      </c>
      <c r="K56" t="s">
        <v>183</v>
      </c>
      <c r="L56" t="str">
        <f t="shared" si="31"/>
        <v/>
      </c>
      <c r="M56" t="s">
        <v>183</v>
      </c>
      <c r="N56" t="str">
        <f t="shared" si="32"/>
        <v/>
      </c>
      <c r="O56" t="s">
        <v>183</v>
      </c>
      <c r="P56" t="str">
        <f t="shared" si="33"/>
        <v/>
      </c>
      <c r="Q56" t="s">
        <v>183</v>
      </c>
      <c r="R56" t="str">
        <f t="shared" si="34"/>
        <v/>
      </c>
      <c r="S56" t="s">
        <v>183</v>
      </c>
      <c r="T56" t="str">
        <f t="shared" si="35"/>
        <v/>
      </c>
      <c r="U56" t="s">
        <v>183</v>
      </c>
      <c r="V56" t="str">
        <f t="shared" si="36"/>
        <v/>
      </c>
      <c r="W56" t="s">
        <v>183</v>
      </c>
      <c r="X56" t="str">
        <f t="shared" si="37"/>
        <v/>
      </c>
      <c r="Y56" t="s">
        <v>183</v>
      </c>
      <c r="Z56" t="str">
        <f t="shared" si="38"/>
        <v/>
      </c>
      <c r="AA56" t="s">
        <v>183</v>
      </c>
      <c r="AB56" t="str">
        <f t="shared" si="39"/>
        <v/>
      </c>
      <c r="AC56" t="s">
        <v>183</v>
      </c>
      <c r="AD56" t="str">
        <f t="shared" si="40"/>
        <v/>
      </c>
      <c r="AE56" t="s">
        <v>183</v>
      </c>
      <c r="AF56" t="str">
        <f t="shared" si="41"/>
        <v/>
      </c>
      <c r="AH56">
        <f t="shared" si="21"/>
        <v>4</v>
      </c>
      <c r="AI56">
        <f t="shared" si="28"/>
        <v>0</v>
      </c>
      <c r="AJ56">
        <f t="shared" si="29"/>
        <v>0</v>
      </c>
      <c r="AK56">
        <f>SUM(AI$22:AI56)</f>
        <v>38</v>
      </c>
      <c r="AL56">
        <f>SUM(AJ$22:AJ56)</f>
        <v>32</v>
      </c>
      <c r="AM56" s="279" t="str">
        <f t="shared" si="24"/>
        <v/>
      </c>
      <c r="AN56" t="str">
        <f t="shared" si="25"/>
        <v/>
      </c>
      <c r="AO56" s="279"/>
    </row>
    <row r="57" spans="1:41" x14ac:dyDescent="0.35">
      <c r="A57">
        <v>35</v>
      </c>
      <c r="B57" t="s">
        <v>52</v>
      </c>
      <c r="C57" s="276">
        <v>40913</v>
      </c>
      <c r="E57" t="s">
        <v>183</v>
      </c>
      <c r="F57" t="str">
        <f t="shared" si="20"/>
        <v/>
      </c>
      <c r="G57" t="s">
        <v>183</v>
      </c>
      <c r="H57" t="str">
        <f t="shared" si="20"/>
        <v/>
      </c>
      <c r="I57" t="s">
        <v>183</v>
      </c>
      <c r="J57" t="str">
        <f t="shared" si="30"/>
        <v/>
      </c>
      <c r="K57" t="s">
        <v>183</v>
      </c>
      <c r="L57" t="str">
        <f t="shared" si="31"/>
        <v/>
      </c>
      <c r="M57">
        <v>5</v>
      </c>
      <c r="N57">
        <f t="shared" si="32"/>
        <v>1770</v>
      </c>
      <c r="O57">
        <v>5</v>
      </c>
      <c r="P57">
        <f t="shared" si="33"/>
        <v>1275</v>
      </c>
      <c r="Q57">
        <v>5</v>
      </c>
      <c r="R57">
        <f t="shared" si="34"/>
        <v>1875</v>
      </c>
      <c r="S57" t="s">
        <v>183</v>
      </c>
      <c r="T57" t="str">
        <f t="shared" si="35"/>
        <v/>
      </c>
      <c r="U57" t="s">
        <v>183</v>
      </c>
      <c r="V57" t="str">
        <f t="shared" si="36"/>
        <v/>
      </c>
      <c r="W57" t="s">
        <v>183</v>
      </c>
      <c r="X57" t="str">
        <f t="shared" si="37"/>
        <v/>
      </c>
      <c r="Y57" t="s">
        <v>183</v>
      </c>
      <c r="Z57" t="str">
        <f t="shared" si="38"/>
        <v/>
      </c>
      <c r="AA57" t="s">
        <v>183</v>
      </c>
      <c r="AB57" t="str">
        <f t="shared" si="39"/>
        <v/>
      </c>
      <c r="AC57" t="s">
        <v>183</v>
      </c>
      <c r="AD57" t="str">
        <f t="shared" si="40"/>
        <v/>
      </c>
      <c r="AE57">
        <v>1</v>
      </c>
      <c r="AF57">
        <f t="shared" si="41"/>
        <v>1380</v>
      </c>
      <c r="AH57">
        <f t="shared" si="21"/>
        <v>4</v>
      </c>
      <c r="AI57">
        <f t="shared" si="28"/>
        <v>2</v>
      </c>
      <c r="AJ57">
        <f t="shared" si="29"/>
        <v>2</v>
      </c>
      <c r="AK57">
        <f>SUM(AI$22:AI57)</f>
        <v>40</v>
      </c>
      <c r="AL57">
        <f>SUM(AJ$22:AJ57)</f>
        <v>34</v>
      </c>
      <c r="AM57" s="279">
        <f t="shared" si="24"/>
        <v>1822.5</v>
      </c>
      <c r="AN57">
        <f t="shared" si="25"/>
        <v>1327.5</v>
      </c>
      <c r="AO57" s="279"/>
    </row>
    <row r="58" spans="1:41" x14ac:dyDescent="0.35">
      <c r="A58">
        <v>36</v>
      </c>
      <c r="B58" t="s">
        <v>53</v>
      </c>
      <c r="C58" s="276">
        <v>40914</v>
      </c>
      <c r="E58" t="s">
        <v>183</v>
      </c>
      <c r="F58" t="str">
        <f t="shared" si="20"/>
        <v/>
      </c>
      <c r="G58" t="s">
        <v>183</v>
      </c>
      <c r="H58" t="str">
        <f t="shared" si="20"/>
        <v/>
      </c>
      <c r="I58" t="s">
        <v>183</v>
      </c>
      <c r="J58" t="str">
        <f t="shared" si="30"/>
        <v/>
      </c>
      <c r="K58" t="s">
        <v>183</v>
      </c>
      <c r="L58" t="str">
        <f t="shared" si="31"/>
        <v/>
      </c>
      <c r="M58" t="s">
        <v>183</v>
      </c>
      <c r="N58" t="str">
        <f t="shared" si="32"/>
        <v/>
      </c>
      <c r="O58" t="s">
        <v>183</v>
      </c>
      <c r="P58" t="str">
        <f t="shared" si="33"/>
        <v/>
      </c>
      <c r="Q58" t="s">
        <v>183</v>
      </c>
      <c r="R58" t="str">
        <f t="shared" si="34"/>
        <v/>
      </c>
      <c r="S58">
        <v>5</v>
      </c>
      <c r="T58">
        <f t="shared" si="35"/>
        <v>1410</v>
      </c>
      <c r="U58">
        <v>5</v>
      </c>
      <c r="V58">
        <f t="shared" si="36"/>
        <v>1830</v>
      </c>
      <c r="W58" t="s">
        <v>183</v>
      </c>
      <c r="X58" t="str">
        <f t="shared" si="37"/>
        <v/>
      </c>
      <c r="Y58" t="s">
        <v>183</v>
      </c>
      <c r="Z58" t="str">
        <f t="shared" si="38"/>
        <v/>
      </c>
      <c r="AA58" t="s">
        <v>183</v>
      </c>
      <c r="AB58" t="str">
        <f t="shared" si="39"/>
        <v/>
      </c>
      <c r="AC58" t="s">
        <v>183</v>
      </c>
      <c r="AD58" t="str">
        <f t="shared" si="40"/>
        <v/>
      </c>
      <c r="AE58" t="s">
        <v>183</v>
      </c>
      <c r="AF58" t="str">
        <f t="shared" si="41"/>
        <v/>
      </c>
      <c r="AH58">
        <f t="shared" si="21"/>
        <v>4</v>
      </c>
      <c r="AI58">
        <f t="shared" si="28"/>
        <v>1</v>
      </c>
      <c r="AJ58">
        <f t="shared" si="29"/>
        <v>1</v>
      </c>
      <c r="AK58">
        <f>SUM(AI$22:AI58)</f>
        <v>41</v>
      </c>
      <c r="AL58">
        <f>SUM(AJ$22:AJ58)</f>
        <v>35</v>
      </c>
      <c r="AM58" s="279">
        <f t="shared" si="24"/>
        <v>1830</v>
      </c>
      <c r="AN58">
        <f t="shared" si="25"/>
        <v>1410</v>
      </c>
      <c r="AO58" s="279"/>
    </row>
    <row r="59" spans="1:41" x14ac:dyDescent="0.35">
      <c r="A59">
        <v>37</v>
      </c>
      <c r="B59" t="s">
        <v>54</v>
      </c>
      <c r="C59" s="276">
        <v>40915</v>
      </c>
      <c r="E59">
        <v>6</v>
      </c>
      <c r="F59">
        <f t="shared" si="20"/>
        <v>1815</v>
      </c>
      <c r="G59">
        <v>6</v>
      </c>
      <c r="H59">
        <f t="shared" si="20"/>
        <v>1345</v>
      </c>
      <c r="I59" t="s">
        <v>183</v>
      </c>
      <c r="J59" t="str">
        <f t="shared" si="30"/>
        <v/>
      </c>
      <c r="K59" t="s">
        <v>183</v>
      </c>
      <c r="L59" t="str">
        <f t="shared" si="31"/>
        <v/>
      </c>
      <c r="M59" t="s">
        <v>183</v>
      </c>
      <c r="N59" t="str">
        <f t="shared" si="32"/>
        <v/>
      </c>
      <c r="O59" t="s">
        <v>183</v>
      </c>
      <c r="P59" t="str">
        <f t="shared" si="33"/>
        <v/>
      </c>
      <c r="Q59" t="s">
        <v>183</v>
      </c>
      <c r="R59" t="str">
        <f t="shared" si="34"/>
        <v/>
      </c>
      <c r="S59" t="s">
        <v>183</v>
      </c>
      <c r="T59" t="str">
        <f t="shared" si="35"/>
        <v/>
      </c>
      <c r="U59" t="s">
        <v>183</v>
      </c>
      <c r="V59" t="str">
        <f t="shared" si="36"/>
        <v/>
      </c>
      <c r="W59" t="s">
        <v>183</v>
      </c>
      <c r="X59" t="str">
        <f t="shared" si="37"/>
        <v/>
      </c>
      <c r="Y59">
        <v>7</v>
      </c>
      <c r="Z59">
        <f t="shared" si="38"/>
        <v>1710</v>
      </c>
      <c r="AA59" t="s">
        <v>183</v>
      </c>
      <c r="AB59" t="str">
        <f t="shared" si="39"/>
        <v/>
      </c>
      <c r="AC59" t="s">
        <v>183</v>
      </c>
      <c r="AD59" t="str">
        <f t="shared" si="40"/>
        <v/>
      </c>
      <c r="AE59" t="s">
        <v>183</v>
      </c>
      <c r="AF59" t="str">
        <f t="shared" si="41"/>
        <v/>
      </c>
      <c r="AH59">
        <f t="shared" si="21"/>
        <v>4</v>
      </c>
      <c r="AI59">
        <f t="shared" si="28"/>
        <v>2</v>
      </c>
      <c r="AJ59">
        <f t="shared" si="29"/>
        <v>1</v>
      </c>
      <c r="AK59">
        <f>SUM(AI$22:AI59)</f>
        <v>43</v>
      </c>
      <c r="AL59">
        <f>SUM(AJ$22:AJ59)</f>
        <v>36</v>
      </c>
      <c r="AM59" s="279">
        <f t="shared" si="24"/>
        <v>1762.5</v>
      </c>
      <c r="AN59">
        <f t="shared" si="25"/>
        <v>1345</v>
      </c>
      <c r="AO59" s="279"/>
    </row>
    <row r="60" spans="1:41" x14ac:dyDescent="0.35">
      <c r="A60">
        <v>38</v>
      </c>
      <c r="B60" t="s">
        <v>55</v>
      </c>
      <c r="C60" s="276">
        <v>40916</v>
      </c>
      <c r="E60" t="s">
        <v>183</v>
      </c>
      <c r="F60" t="str">
        <f t="shared" si="20"/>
        <v/>
      </c>
      <c r="G60" t="s">
        <v>183</v>
      </c>
      <c r="H60" t="str">
        <f t="shared" si="20"/>
        <v/>
      </c>
      <c r="I60" t="s">
        <v>183</v>
      </c>
      <c r="J60" t="str">
        <f t="shared" si="30"/>
        <v/>
      </c>
      <c r="K60" t="s">
        <v>183</v>
      </c>
      <c r="L60" t="str">
        <f t="shared" si="31"/>
        <v/>
      </c>
      <c r="M60" t="s">
        <v>183</v>
      </c>
      <c r="N60" t="str">
        <f t="shared" si="32"/>
        <v/>
      </c>
      <c r="O60" t="s">
        <v>183</v>
      </c>
      <c r="P60" t="str">
        <f t="shared" si="33"/>
        <v/>
      </c>
      <c r="Q60" t="s">
        <v>183</v>
      </c>
      <c r="R60" t="str">
        <f t="shared" si="34"/>
        <v/>
      </c>
      <c r="S60" t="s">
        <v>183</v>
      </c>
      <c r="T60" t="str">
        <f t="shared" si="35"/>
        <v/>
      </c>
      <c r="U60" t="s">
        <v>183</v>
      </c>
      <c r="V60" t="str">
        <f t="shared" si="36"/>
        <v/>
      </c>
      <c r="W60">
        <v>5</v>
      </c>
      <c r="X60">
        <f t="shared" si="37"/>
        <v>1500</v>
      </c>
      <c r="Y60" t="s">
        <v>183</v>
      </c>
      <c r="Z60" t="str">
        <f t="shared" si="38"/>
        <v/>
      </c>
      <c r="AA60" t="s">
        <v>183</v>
      </c>
      <c r="AB60" t="str">
        <f t="shared" si="39"/>
        <v/>
      </c>
      <c r="AC60" t="s">
        <v>183</v>
      </c>
      <c r="AD60" t="str">
        <f t="shared" si="40"/>
        <v/>
      </c>
      <c r="AE60" t="s">
        <v>183</v>
      </c>
      <c r="AF60" t="str">
        <f t="shared" si="41"/>
        <v/>
      </c>
      <c r="AH60">
        <f t="shared" si="21"/>
        <v>4</v>
      </c>
      <c r="AI60">
        <f t="shared" si="28"/>
        <v>0</v>
      </c>
      <c r="AJ60">
        <f t="shared" si="29"/>
        <v>1</v>
      </c>
      <c r="AK60">
        <f>SUM(AI$22:AI60)</f>
        <v>43</v>
      </c>
      <c r="AL60">
        <f>SUM(AJ$22:AJ60)</f>
        <v>37</v>
      </c>
      <c r="AM60" s="279" t="str">
        <f t="shared" si="24"/>
        <v/>
      </c>
      <c r="AN60">
        <f t="shared" si="25"/>
        <v>1500</v>
      </c>
      <c r="AO60" s="279"/>
    </row>
    <row r="61" spans="1:41" x14ac:dyDescent="0.35">
      <c r="A61">
        <v>39</v>
      </c>
      <c r="B61" t="s">
        <v>56</v>
      </c>
      <c r="C61" s="276">
        <v>40917</v>
      </c>
      <c r="E61" t="s">
        <v>183</v>
      </c>
      <c r="F61" t="str">
        <f t="shared" si="20"/>
        <v/>
      </c>
      <c r="G61" t="s">
        <v>183</v>
      </c>
      <c r="H61" t="str">
        <f t="shared" si="20"/>
        <v/>
      </c>
      <c r="I61" t="s">
        <v>183</v>
      </c>
      <c r="J61" t="str">
        <f t="shared" si="30"/>
        <v/>
      </c>
      <c r="K61" t="s">
        <v>183</v>
      </c>
      <c r="L61" t="str">
        <f t="shared" si="31"/>
        <v/>
      </c>
      <c r="M61" t="s">
        <v>183</v>
      </c>
      <c r="N61" t="str">
        <f t="shared" si="32"/>
        <v/>
      </c>
      <c r="O61" t="s">
        <v>183</v>
      </c>
      <c r="P61" t="str">
        <f t="shared" si="33"/>
        <v/>
      </c>
      <c r="Q61" t="s">
        <v>183</v>
      </c>
      <c r="R61" t="str">
        <f t="shared" si="34"/>
        <v/>
      </c>
      <c r="S61" t="s">
        <v>183</v>
      </c>
      <c r="T61" t="str">
        <f t="shared" si="35"/>
        <v/>
      </c>
      <c r="U61" t="s">
        <v>183</v>
      </c>
      <c r="V61" t="str">
        <f t="shared" si="36"/>
        <v/>
      </c>
      <c r="W61" t="s">
        <v>183</v>
      </c>
      <c r="X61" t="str">
        <f t="shared" si="37"/>
        <v/>
      </c>
      <c r="Y61" t="s">
        <v>183</v>
      </c>
      <c r="Z61" t="str">
        <f t="shared" si="38"/>
        <v/>
      </c>
      <c r="AA61">
        <v>6</v>
      </c>
      <c r="AB61">
        <f t="shared" si="39"/>
        <v>1585</v>
      </c>
      <c r="AC61" t="s">
        <v>183</v>
      </c>
      <c r="AD61" t="str">
        <f t="shared" si="40"/>
        <v/>
      </c>
      <c r="AE61">
        <v>2</v>
      </c>
      <c r="AF61">
        <f t="shared" si="41"/>
        <v>1450</v>
      </c>
      <c r="AH61">
        <f t="shared" si="21"/>
        <v>4</v>
      </c>
      <c r="AI61">
        <f t="shared" si="28"/>
        <v>0</v>
      </c>
      <c r="AJ61">
        <f t="shared" si="29"/>
        <v>1</v>
      </c>
      <c r="AK61">
        <f>SUM(AI$22:AI61)</f>
        <v>43</v>
      </c>
      <c r="AL61">
        <f>SUM(AJ$22:AJ61)</f>
        <v>38</v>
      </c>
      <c r="AM61" s="279" t="str">
        <f t="shared" si="24"/>
        <v/>
      </c>
      <c r="AN61">
        <f t="shared" si="25"/>
        <v>1517.5</v>
      </c>
      <c r="AO61" s="279"/>
    </row>
    <row r="62" spans="1:41" x14ac:dyDescent="0.35">
      <c r="A62">
        <v>40</v>
      </c>
      <c r="B62" t="s">
        <v>57</v>
      </c>
      <c r="C62" s="276">
        <v>40918</v>
      </c>
      <c r="E62" t="s">
        <v>183</v>
      </c>
      <c r="F62" t="str">
        <f t="shared" si="20"/>
        <v/>
      </c>
      <c r="G62" t="s">
        <v>183</v>
      </c>
      <c r="H62" t="str">
        <f t="shared" si="20"/>
        <v/>
      </c>
      <c r="I62">
        <v>6</v>
      </c>
      <c r="J62">
        <f t="shared" si="30"/>
        <v>1765</v>
      </c>
      <c r="K62">
        <v>6</v>
      </c>
      <c r="L62">
        <f t="shared" si="31"/>
        <v>1170</v>
      </c>
      <c r="M62" t="s">
        <v>183</v>
      </c>
      <c r="N62" t="str">
        <f t="shared" si="32"/>
        <v/>
      </c>
      <c r="O62" t="s">
        <v>183</v>
      </c>
      <c r="P62" t="str">
        <f t="shared" si="33"/>
        <v/>
      </c>
      <c r="Q62" t="s">
        <v>183</v>
      </c>
      <c r="R62" t="str">
        <f t="shared" si="34"/>
        <v/>
      </c>
      <c r="S62" t="s">
        <v>183</v>
      </c>
      <c r="T62" t="str">
        <f t="shared" si="35"/>
        <v/>
      </c>
      <c r="U62" t="s">
        <v>183</v>
      </c>
      <c r="V62" t="str">
        <f t="shared" si="36"/>
        <v/>
      </c>
      <c r="W62" t="s">
        <v>183</v>
      </c>
      <c r="X62" t="str">
        <f t="shared" si="37"/>
        <v/>
      </c>
      <c r="Y62" t="s">
        <v>183</v>
      </c>
      <c r="Z62" t="str">
        <f t="shared" si="38"/>
        <v/>
      </c>
      <c r="AA62" t="s">
        <v>183</v>
      </c>
      <c r="AB62" t="str">
        <f t="shared" si="39"/>
        <v/>
      </c>
      <c r="AC62" t="s">
        <v>183</v>
      </c>
      <c r="AD62" t="str">
        <f t="shared" si="40"/>
        <v/>
      </c>
      <c r="AE62">
        <v>3</v>
      </c>
      <c r="AF62">
        <f t="shared" si="41"/>
        <v>1530</v>
      </c>
      <c r="AH62">
        <f t="shared" si="21"/>
        <v>5</v>
      </c>
      <c r="AI62">
        <f t="shared" si="28"/>
        <v>1</v>
      </c>
      <c r="AJ62">
        <f t="shared" si="29"/>
        <v>2</v>
      </c>
      <c r="AK62">
        <f>SUM(AI$22:AI62)</f>
        <v>44</v>
      </c>
      <c r="AL62">
        <f>SUM(AJ$22:AJ62)</f>
        <v>40</v>
      </c>
      <c r="AM62" s="279">
        <f t="shared" si="24"/>
        <v>1765</v>
      </c>
      <c r="AN62">
        <f t="shared" si="25"/>
        <v>1350</v>
      </c>
      <c r="AO62" s="279"/>
    </row>
    <row r="63" spans="1:41" x14ac:dyDescent="0.35">
      <c r="A63">
        <v>41</v>
      </c>
      <c r="B63" t="s">
        <v>58</v>
      </c>
      <c r="C63" s="276">
        <v>40919</v>
      </c>
      <c r="E63" t="s">
        <v>183</v>
      </c>
      <c r="F63" t="str">
        <f t="shared" si="20"/>
        <v/>
      </c>
      <c r="G63" t="s">
        <v>183</v>
      </c>
      <c r="H63" t="str">
        <f t="shared" si="20"/>
        <v/>
      </c>
      <c r="I63" t="s">
        <v>183</v>
      </c>
      <c r="J63" t="str">
        <f t="shared" si="30"/>
        <v/>
      </c>
      <c r="K63" t="s">
        <v>183</v>
      </c>
      <c r="L63" t="str">
        <f t="shared" si="31"/>
        <v/>
      </c>
      <c r="M63" t="s">
        <v>183</v>
      </c>
      <c r="N63" t="str">
        <f t="shared" si="32"/>
        <v/>
      </c>
      <c r="O63" t="s">
        <v>183</v>
      </c>
      <c r="P63" t="str">
        <f t="shared" si="33"/>
        <v/>
      </c>
      <c r="Q63">
        <v>6</v>
      </c>
      <c r="R63">
        <f t="shared" si="34"/>
        <v>1710</v>
      </c>
      <c r="S63" t="s">
        <v>183</v>
      </c>
      <c r="T63" t="str">
        <f t="shared" si="35"/>
        <v/>
      </c>
      <c r="U63" t="s">
        <v>183</v>
      </c>
      <c r="V63" t="str">
        <f t="shared" si="36"/>
        <v/>
      </c>
      <c r="W63" t="s">
        <v>183</v>
      </c>
      <c r="X63" t="str">
        <f t="shared" si="37"/>
        <v/>
      </c>
      <c r="Y63">
        <v>8</v>
      </c>
      <c r="Z63">
        <f t="shared" si="38"/>
        <v>2025</v>
      </c>
      <c r="AA63" t="s">
        <v>183</v>
      </c>
      <c r="AB63" t="str">
        <f t="shared" si="39"/>
        <v/>
      </c>
      <c r="AC63" t="s">
        <v>183</v>
      </c>
      <c r="AD63" t="str">
        <f t="shared" si="40"/>
        <v/>
      </c>
      <c r="AE63">
        <v>4</v>
      </c>
      <c r="AF63">
        <f t="shared" si="41"/>
        <v>1510</v>
      </c>
      <c r="AH63">
        <f t="shared" si="21"/>
        <v>5</v>
      </c>
      <c r="AI63">
        <f t="shared" si="28"/>
        <v>2</v>
      </c>
      <c r="AJ63">
        <f t="shared" si="29"/>
        <v>1</v>
      </c>
      <c r="AK63">
        <f>SUM(AI$22:AI63)</f>
        <v>46</v>
      </c>
      <c r="AL63">
        <f>SUM(AJ$22:AJ63)</f>
        <v>41</v>
      </c>
      <c r="AM63" s="279">
        <f t="shared" si="24"/>
        <v>1867.5</v>
      </c>
      <c r="AN63">
        <f t="shared" si="25"/>
        <v>1510</v>
      </c>
      <c r="AO63" s="279"/>
    </row>
    <row r="64" spans="1:41" x14ac:dyDescent="0.35">
      <c r="A64">
        <v>42</v>
      </c>
      <c r="B64" t="s">
        <v>52</v>
      </c>
      <c r="C64" s="276">
        <v>40920</v>
      </c>
      <c r="E64" t="s">
        <v>183</v>
      </c>
      <c r="F64" t="str">
        <f t="shared" si="20"/>
        <v/>
      </c>
      <c r="G64" t="s">
        <v>183</v>
      </c>
      <c r="H64" t="str">
        <f t="shared" si="20"/>
        <v/>
      </c>
      <c r="I64" t="s">
        <v>183</v>
      </c>
      <c r="J64" t="str">
        <f t="shared" si="30"/>
        <v/>
      </c>
      <c r="K64" t="s">
        <v>183</v>
      </c>
      <c r="L64" t="str">
        <f t="shared" si="31"/>
        <v/>
      </c>
      <c r="M64" t="s">
        <v>183</v>
      </c>
      <c r="N64" t="str">
        <f t="shared" si="32"/>
        <v/>
      </c>
      <c r="O64" t="s">
        <v>183</v>
      </c>
      <c r="P64" t="str">
        <f t="shared" si="33"/>
        <v/>
      </c>
      <c r="Q64" t="s">
        <v>183</v>
      </c>
      <c r="R64" t="str">
        <f t="shared" si="34"/>
        <v/>
      </c>
      <c r="S64">
        <v>6</v>
      </c>
      <c r="T64">
        <f t="shared" si="35"/>
        <v>1215</v>
      </c>
      <c r="U64">
        <v>6</v>
      </c>
      <c r="V64">
        <f t="shared" si="36"/>
        <v>2130</v>
      </c>
      <c r="W64" t="s">
        <v>183</v>
      </c>
      <c r="X64" t="str">
        <f t="shared" si="37"/>
        <v/>
      </c>
      <c r="Y64" t="s">
        <v>183</v>
      </c>
      <c r="Z64" t="str">
        <f t="shared" si="38"/>
        <v/>
      </c>
      <c r="AA64" t="s">
        <v>183</v>
      </c>
      <c r="AB64" t="str">
        <f t="shared" si="39"/>
        <v/>
      </c>
      <c r="AC64" t="s">
        <v>183</v>
      </c>
      <c r="AD64" t="str">
        <f t="shared" si="40"/>
        <v/>
      </c>
      <c r="AE64" t="s">
        <v>183</v>
      </c>
      <c r="AF64" t="str">
        <f t="shared" si="41"/>
        <v/>
      </c>
      <c r="AH64">
        <f t="shared" si="21"/>
        <v>5</v>
      </c>
      <c r="AI64">
        <f t="shared" si="28"/>
        <v>1</v>
      </c>
      <c r="AJ64">
        <f t="shared" si="29"/>
        <v>1</v>
      </c>
      <c r="AK64">
        <f>SUM(AI$22:AI64)</f>
        <v>47</v>
      </c>
      <c r="AL64">
        <f>SUM(AJ$22:AJ64)</f>
        <v>42</v>
      </c>
      <c r="AM64" s="279">
        <f t="shared" si="24"/>
        <v>2130</v>
      </c>
      <c r="AN64">
        <f t="shared" si="25"/>
        <v>1215</v>
      </c>
      <c r="AO64" s="279"/>
    </row>
    <row r="65" spans="1:41" x14ac:dyDescent="0.35">
      <c r="A65">
        <v>43</v>
      </c>
      <c r="B65" t="s">
        <v>53</v>
      </c>
      <c r="C65" s="276">
        <v>40921</v>
      </c>
      <c r="E65" t="s">
        <v>183</v>
      </c>
      <c r="F65" t="str">
        <f t="shared" si="20"/>
        <v/>
      </c>
      <c r="G65" t="s">
        <v>183</v>
      </c>
      <c r="H65" t="str">
        <f t="shared" si="20"/>
        <v/>
      </c>
      <c r="I65">
        <v>7</v>
      </c>
      <c r="J65">
        <f t="shared" si="30"/>
        <v>1680</v>
      </c>
      <c r="K65">
        <v>7</v>
      </c>
      <c r="L65">
        <f t="shared" si="31"/>
        <v>1125</v>
      </c>
      <c r="M65" t="s">
        <v>183</v>
      </c>
      <c r="N65" t="str">
        <f t="shared" si="32"/>
        <v/>
      </c>
      <c r="O65" t="s">
        <v>183</v>
      </c>
      <c r="P65" t="str">
        <f t="shared" si="33"/>
        <v/>
      </c>
      <c r="Q65" t="s">
        <v>183</v>
      </c>
      <c r="R65" t="str">
        <f t="shared" si="34"/>
        <v/>
      </c>
      <c r="S65" t="s">
        <v>183</v>
      </c>
      <c r="T65" t="str">
        <f t="shared" si="35"/>
        <v/>
      </c>
      <c r="U65" t="s">
        <v>183</v>
      </c>
      <c r="V65" t="str">
        <f t="shared" si="36"/>
        <v/>
      </c>
      <c r="W65" t="s">
        <v>183</v>
      </c>
      <c r="X65" t="str">
        <f t="shared" si="37"/>
        <v/>
      </c>
      <c r="Y65" t="s">
        <v>183</v>
      </c>
      <c r="Z65" t="str">
        <f t="shared" si="38"/>
        <v/>
      </c>
      <c r="AA65">
        <v>7</v>
      </c>
      <c r="AB65">
        <f t="shared" si="39"/>
        <v>1350</v>
      </c>
      <c r="AC65" t="s">
        <v>183</v>
      </c>
      <c r="AD65" t="str">
        <f t="shared" si="40"/>
        <v/>
      </c>
      <c r="AE65">
        <v>5</v>
      </c>
      <c r="AF65">
        <f t="shared" si="41"/>
        <v>1760</v>
      </c>
      <c r="AH65">
        <f t="shared" si="21"/>
        <v>5</v>
      </c>
      <c r="AI65">
        <f t="shared" si="28"/>
        <v>1</v>
      </c>
      <c r="AJ65">
        <f t="shared" si="29"/>
        <v>2</v>
      </c>
      <c r="AK65">
        <f>SUM(AI$22:AI65)</f>
        <v>48</v>
      </c>
      <c r="AL65">
        <f>SUM(AJ$22:AJ65)</f>
        <v>44</v>
      </c>
      <c r="AM65" s="279">
        <f t="shared" si="24"/>
        <v>1680</v>
      </c>
      <c r="AN65">
        <f t="shared" si="25"/>
        <v>1411.6666666666667</v>
      </c>
      <c r="AO65" s="279"/>
    </row>
    <row r="66" spans="1:41" x14ac:dyDescent="0.35">
      <c r="A66">
        <v>44</v>
      </c>
      <c r="B66" t="s">
        <v>54</v>
      </c>
      <c r="C66" s="276">
        <v>40922</v>
      </c>
      <c r="E66" t="s">
        <v>183</v>
      </c>
      <c r="F66" t="str">
        <f t="shared" si="20"/>
        <v/>
      </c>
      <c r="G66" t="s">
        <v>183</v>
      </c>
      <c r="H66" t="str">
        <f t="shared" si="20"/>
        <v/>
      </c>
      <c r="I66" t="s">
        <v>183</v>
      </c>
      <c r="J66" t="str">
        <f t="shared" si="30"/>
        <v/>
      </c>
      <c r="K66" t="s">
        <v>183</v>
      </c>
      <c r="L66" t="str">
        <f t="shared" si="31"/>
        <v/>
      </c>
      <c r="M66">
        <v>6</v>
      </c>
      <c r="N66">
        <f t="shared" si="32"/>
        <v>1815</v>
      </c>
      <c r="O66">
        <v>6</v>
      </c>
      <c r="P66">
        <f t="shared" si="33"/>
        <v>1335</v>
      </c>
      <c r="Q66" t="s">
        <v>183</v>
      </c>
      <c r="R66" t="str">
        <f t="shared" si="34"/>
        <v/>
      </c>
      <c r="S66" t="s">
        <v>183</v>
      </c>
      <c r="T66" t="str">
        <f t="shared" si="35"/>
        <v/>
      </c>
      <c r="U66">
        <v>7</v>
      </c>
      <c r="V66">
        <f t="shared" si="36"/>
        <v>1890</v>
      </c>
      <c r="W66">
        <v>6</v>
      </c>
      <c r="X66">
        <f t="shared" si="37"/>
        <v>1485</v>
      </c>
      <c r="Y66" t="s">
        <v>183</v>
      </c>
      <c r="Z66" t="str">
        <f t="shared" si="38"/>
        <v/>
      </c>
      <c r="AA66" t="s">
        <v>183</v>
      </c>
      <c r="AB66" t="str">
        <f t="shared" si="39"/>
        <v/>
      </c>
      <c r="AC66" t="s">
        <v>183</v>
      </c>
      <c r="AD66" t="str">
        <f t="shared" si="40"/>
        <v/>
      </c>
      <c r="AE66" t="s">
        <v>183</v>
      </c>
      <c r="AF66" t="str">
        <f t="shared" si="41"/>
        <v/>
      </c>
      <c r="AH66">
        <f t="shared" si="21"/>
        <v>5</v>
      </c>
      <c r="AI66">
        <f t="shared" si="28"/>
        <v>2</v>
      </c>
      <c r="AJ66">
        <f t="shared" si="29"/>
        <v>2</v>
      </c>
      <c r="AK66">
        <f>SUM(AI$22:AI66)</f>
        <v>50</v>
      </c>
      <c r="AL66">
        <f>SUM(AJ$22:AJ66)</f>
        <v>46</v>
      </c>
      <c r="AM66" s="279">
        <f t="shared" si="24"/>
        <v>1852.5</v>
      </c>
      <c r="AN66">
        <f t="shared" si="25"/>
        <v>1410</v>
      </c>
      <c r="AO66" s="279"/>
    </row>
    <row r="67" spans="1:41" x14ac:dyDescent="0.35">
      <c r="A67">
        <v>45</v>
      </c>
      <c r="B67" t="s">
        <v>55</v>
      </c>
      <c r="C67" s="276">
        <v>40923</v>
      </c>
      <c r="E67" t="s">
        <v>183</v>
      </c>
      <c r="F67" t="str">
        <f t="shared" si="20"/>
        <v/>
      </c>
      <c r="G67" t="s">
        <v>183</v>
      </c>
      <c r="H67" t="str">
        <f t="shared" si="20"/>
        <v/>
      </c>
      <c r="I67" t="s">
        <v>183</v>
      </c>
      <c r="J67" t="str">
        <f t="shared" si="30"/>
        <v/>
      </c>
      <c r="K67" t="s">
        <v>183</v>
      </c>
      <c r="L67" t="str">
        <f t="shared" si="31"/>
        <v/>
      </c>
      <c r="M67" t="s">
        <v>183</v>
      </c>
      <c r="N67" t="str">
        <f t="shared" si="32"/>
        <v/>
      </c>
      <c r="O67" t="s">
        <v>183</v>
      </c>
      <c r="P67" t="str">
        <f t="shared" si="33"/>
        <v/>
      </c>
      <c r="Q67" t="s">
        <v>183</v>
      </c>
      <c r="R67" t="str">
        <f t="shared" si="34"/>
        <v/>
      </c>
      <c r="S67" t="s">
        <v>183</v>
      </c>
      <c r="T67" t="str">
        <f t="shared" si="35"/>
        <v/>
      </c>
      <c r="U67" t="s">
        <v>183</v>
      </c>
      <c r="V67" t="str">
        <f t="shared" si="36"/>
        <v/>
      </c>
      <c r="W67" t="s">
        <v>183</v>
      </c>
      <c r="X67" t="str">
        <f t="shared" si="37"/>
        <v/>
      </c>
      <c r="Y67" t="s">
        <v>183</v>
      </c>
      <c r="Z67" t="str">
        <f t="shared" si="38"/>
        <v/>
      </c>
      <c r="AA67" t="s">
        <v>183</v>
      </c>
      <c r="AB67" t="str">
        <f t="shared" si="39"/>
        <v/>
      </c>
      <c r="AC67" t="s">
        <v>183</v>
      </c>
      <c r="AD67" t="str">
        <f t="shared" si="40"/>
        <v/>
      </c>
      <c r="AE67">
        <v>6</v>
      </c>
      <c r="AF67">
        <f t="shared" si="41"/>
        <v>1785</v>
      </c>
      <c r="AH67">
        <f t="shared" si="21"/>
        <v>5</v>
      </c>
      <c r="AI67">
        <f t="shared" si="28"/>
        <v>0</v>
      </c>
      <c r="AJ67">
        <f t="shared" si="29"/>
        <v>1</v>
      </c>
      <c r="AK67">
        <f>SUM(AI$22:AI67)</f>
        <v>50</v>
      </c>
      <c r="AL67">
        <f>SUM(AJ$22:AJ67)</f>
        <v>47</v>
      </c>
      <c r="AM67" s="279" t="str">
        <f t="shared" si="24"/>
        <v/>
      </c>
      <c r="AN67">
        <f t="shared" si="25"/>
        <v>1785</v>
      </c>
      <c r="AO67" s="279"/>
    </row>
    <row r="68" spans="1:41" x14ac:dyDescent="0.35">
      <c r="A68">
        <v>46</v>
      </c>
      <c r="B68" t="s">
        <v>56</v>
      </c>
      <c r="C68" s="276">
        <v>40924</v>
      </c>
      <c r="E68" t="s">
        <v>183</v>
      </c>
      <c r="F68" t="str">
        <f t="shared" si="20"/>
        <v/>
      </c>
      <c r="G68" t="s">
        <v>183</v>
      </c>
      <c r="H68" t="str">
        <f t="shared" si="20"/>
        <v/>
      </c>
      <c r="I68" t="s">
        <v>183</v>
      </c>
      <c r="J68" t="str">
        <f t="shared" si="30"/>
        <v/>
      </c>
      <c r="K68" t="s">
        <v>183</v>
      </c>
      <c r="L68" t="str">
        <f t="shared" si="31"/>
        <v/>
      </c>
      <c r="M68">
        <v>7</v>
      </c>
      <c r="N68">
        <f t="shared" si="32"/>
        <v>1635</v>
      </c>
      <c r="O68">
        <v>7</v>
      </c>
      <c r="P68">
        <f t="shared" si="33"/>
        <v>1220</v>
      </c>
      <c r="Q68" t="s">
        <v>183</v>
      </c>
      <c r="R68" t="str">
        <f t="shared" si="34"/>
        <v/>
      </c>
      <c r="S68" t="s">
        <v>183</v>
      </c>
      <c r="T68" t="str">
        <f t="shared" si="35"/>
        <v/>
      </c>
      <c r="U68" t="s">
        <v>183</v>
      </c>
      <c r="V68" t="str">
        <f t="shared" si="36"/>
        <v/>
      </c>
      <c r="W68">
        <v>7</v>
      </c>
      <c r="X68">
        <f t="shared" si="37"/>
        <v>1440</v>
      </c>
      <c r="Y68" t="s">
        <v>183</v>
      </c>
      <c r="Z68" t="str">
        <f t="shared" si="38"/>
        <v/>
      </c>
      <c r="AA68" t="s">
        <v>183</v>
      </c>
      <c r="AB68" t="str">
        <f t="shared" si="39"/>
        <v/>
      </c>
      <c r="AC68" t="s">
        <v>183</v>
      </c>
      <c r="AD68" t="str">
        <f t="shared" si="40"/>
        <v/>
      </c>
      <c r="AE68" t="s">
        <v>183</v>
      </c>
      <c r="AF68" t="str">
        <f t="shared" si="41"/>
        <v/>
      </c>
      <c r="AH68">
        <f t="shared" si="21"/>
        <v>5</v>
      </c>
      <c r="AI68">
        <f t="shared" si="28"/>
        <v>1</v>
      </c>
      <c r="AJ68">
        <f t="shared" si="29"/>
        <v>2</v>
      </c>
      <c r="AK68">
        <f>SUM(AI$22:AI68)</f>
        <v>51</v>
      </c>
      <c r="AL68">
        <f>SUM(AJ$22:AJ68)</f>
        <v>49</v>
      </c>
      <c r="AM68" s="279">
        <f t="shared" si="24"/>
        <v>1635</v>
      </c>
      <c r="AN68">
        <f t="shared" si="25"/>
        <v>1330</v>
      </c>
      <c r="AO68" s="279"/>
    </row>
    <row r="69" spans="1:41" x14ac:dyDescent="0.35">
      <c r="A69">
        <v>47</v>
      </c>
      <c r="B69" t="s">
        <v>57</v>
      </c>
      <c r="C69" s="276">
        <v>40925</v>
      </c>
      <c r="E69" t="s">
        <v>183</v>
      </c>
      <c r="F69" t="str">
        <f t="shared" si="20"/>
        <v/>
      </c>
      <c r="G69" t="s">
        <v>183</v>
      </c>
      <c r="H69" t="str">
        <f t="shared" si="20"/>
        <v/>
      </c>
      <c r="I69" t="s">
        <v>183</v>
      </c>
      <c r="J69" t="str">
        <f t="shared" si="30"/>
        <v/>
      </c>
      <c r="K69" t="s">
        <v>183</v>
      </c>
      <c r="L69" t="str">
        <f t="shared" si="31"/>
        <v/>
      </c>
      <c r="M69" t="s">
        <v>183</v>
      </c>
      <c r="N69" t="str">
        <f t="shared" si="32"/>
        <v/>
      </c>
      <c r="O69" t="s">
        <v>183</v>
      </c>
      <c r="P69" t="str">
        <f t="shared" si="33"/>
        <v/>
      </c>
      <c r="Q69" t="s">
        <v>183</v>
      </c>
      <c r="R69" t="str">
        <f t="shared" si="34"/>
        <v/>
      </c>
      <c r="S69" t="s">
        <v>183</v>
      </c>
      <c r="T69" t="str">
        <f t="shared" si="35"/>
        <v/>
      </c>
      <c r="U69" t="s">
        <v>183</v>
      </c>
      <c r="V69" t="str">
        <f t="shared" si="36"/>
        <v/>
      </c>
      <c r="W69" t="s">
        <v>183</v>
      </c>
      <c r="X69" t="str">
        <f t="shared" si="37"/>
        <v/>
      </c>
      <c r="Y69" t="s">
        <v>183</v>
      </c>
      <c r="Z69" t="str">
        <f t="shared" si="38"/>
        <v/>
      </c>
      <c r="AA69">
        <v>8</v>
      </c>
      <c r="AB69">
        <f t="shared" si="39"/>
        <v>1665</v>
      </c>
      <c r="AC69" t="s">
        <v>183</v>
      </c>
      <c r="AD69" t="str">
        <f t="shared" si="40"/>
        <v/>
      </c>
      <c r="AE69">
        <v>7</v>
      </c>
      <c r="AF69">
        <f t="shared" si="41"/>
        <v>1745</v>
      </c>
      <c r="AH69">
        <f t="shared" si="21"/>
        <v>5</v>
      </c>
      <c r="AI69">
        <f t="shared" si="28"/>
        <v>0</v>
      </c>
      <c r="AJ69">
        <f t="shared" si="29"/>
        <v>1</v>
      </c>
      <c r="AK69">
        <f>SUM(AI$22:AI69)</f>
        <v>51</v>
      </c>
      <c r="AL69">
        <f>SUM(AJ$22:AJ69)</f>
        <v>50</v>
      </c>
      <c r="AM69" s="279" t="str">
        <f t="shared" si="24"/>
        <v/>
      </c>
      <c r="AN69">
        <f t="shared" si="25"/>
        <v>1705</v>
      </c>
      <c r="AO69" s="279"/>
    </row>
    <row r="70" spans="1:41" x14ac:dyDescent="0.35">
      <c r="A70">
        <v>48</v>
      </c>
      <c r="B70" t="s">
        <v>58</v>
      </c>
      <c r="C70" s="276">
        <v>40926</v>
      </c>
      <c r="E70">
        <v>7</v>
      </c>
      <c r="F70">
        <f t="shared" si="20"/>
        <v>2040</v>
      </c>
      <c r="G70">
        <v>7</v>
      </c>
      <c r="H70">
        <f t="shared" si="20"/>
        <v>1110</v>
      </c>
      <c r="I70" t="s">
        <v>183</v>
      </c>
      <c r="J70" t="str">
        <f t="shared" si="30"/>
        <v/>
      </c>
      <c r="K70" t="s">
        <v>183</v>
      </c>
      <c r="L70" t="str">
        <f t="shared" si="31"/>
        <v/>
      </c>
      <c r="M70" t="s">
        <v>183</v>
      </c>
      <c r="N70" t="str">
        <f t="shared" si="32"/>
        <v/>
      </c>
      <c r="O70" t="s">
        <v>183</v>
      </c>
      <c r="P70" t="str">
        <f t="shared" si="33"/>
        <v/>
      </c>
      <c r="Q70" t="s">
        <v>183</v>
      </c>
      <c r="R70" t="str">
        <f t="shared" si="34"/>
        <v/>
      </c>
      <c r="S70" t="s">
        <v>183</v>
      </c>
      <c r="T70" t="str">
        <f t="shared" si="35"/>
        <v/>
      </c>
      <c r="U70" t="s">
        <v>183</v>
      </c>
      <c r="V70" t="str">
        <f t="shared" si="36"/>
        <v/>
      </c>
      <c r="W70" t="s">
        <v>183</v>
      </c>
      <c r="X70" t="str">
        <f t="shared" si="37"/>
        <v/>
      </c>
      <c r="Y70">
        <v>9</v>
      </c>
      <c r="Z70">
        <f t="shared" si="38"/>
        <v>2100</v>
      </c>
      <c r="AA70" t="s">
        <v>183</v>
      </c>
      <c r="AB70" t="str">
        <f t="shared" si="39"/>
        <v/>
      </c>
      <c r="AC70" t="s">
        <v>183</v>
      </c>
      <c r="AD70" t="str">
        <f t="shared" si="40"/>
        <v/>
      </c>
      <c r="AE70" t="s">
        <v>183</v>
      </c>
      <c r="AF70" t="str">
        <f t="shared" si="41"/>
        <v/>
      </c>
      <c r="AH70">
        <f t="shared" si="21"/>
        <v>5</v>
      </c>
      <c r="AI70">
        <f t="shared" si="28"/>
        <v>2</v>
      </c>
      <c r="AJ70">
        <f t="shared" si="29"/>
        <v>1</v>
      </c>
      <c r="AK70">
        <f>SUM(AI$22:AI70)</f>
        <v>53</v>
      </c>
      <c r="AL70">
        <f>SUM(AJ$22:AJ70)</f>
        <v>51</v>
      </c>
      <c r="AM70" s="279">
        <f t="shared" si="24"/>
        <v>2070</v>
      </c>
      <c r="AN70">
        <f t="shared" si="25"/>
        <v>1110</v>
      </c>
      <c r="AO70" s="279"/>
    </row>
    <row r="71" spans="1:41" x14ac:dyDescent="0.35">
      <c r="A71">
        <v>49</v>
      </c>
      <c r="B71" t="s">
        <v>52</v>
      </c>
      <c r="C71" s="276">
        <v>40927</v>
      </c>
      <c r="E71" t="s">
        <v>183</v>
      </c>
      <c r="F71" t="str">
        <f t="shared" si="20"/>
        <v/>
      </c>
      <c r="G71" t="s">
        <v>183</v>
      </c>
      <c r="H71" t="str">
        <f t="shared" si="20"/>
        <v/>
      </c>
      <c r="I71" t="s">
        <v>183</v>
      </c>
      <c r="J71" t="str">
        <f t="shared" si="30"/>
        <v/>
      </c>
      <c r="K71" t="s">
        <v>183</v>
      </c>
      <c r="L71" t="str">
        <f t="shared" si="31"/>
        <v/>
      </c>
      <c r="M71" t="s">
        <v>183</v>
      </c>
      <c r="N71" t="str">
        <f t="shared" si="32"/>
        <v/>
      </c>
      <c r="O71" t="s">
        <v>183</v>
      </c>
      <c r="P71" t="str">
        <f t="shared" si="33"/>
        <v/>
      </c>
      <c r="Q71" t="s">
        <v>183</v>
      </c>
      <c r="R71" t="str">
        <f t="shared" si="34"/>
        <v/>
      </c>
      <c r="S71" t="s">
        <v>183</v>
      </c>
      <c r="T71" t="str">
        <f t="shared" si="35"/>
        <v/>
      </c>
      <c r="U71" t="s">
        <v>183</v>
      </c>
      <c r="V71" t="str">
        <f t="shared" si="36"/>
        <v/>
      </c>
      <c r="W71" t="s">
        <v>183</v>
      </c>
      <c r="X71" t="str">
        <f t="shared" si="37"/>
        <v/>
      </c>
      <c r="Y71" t="s">
        <v>183</v>
      </c>
      <c r="Z71" t="str">
        <f t="shared" si="38"/>
        <v/>
      </c>
      <c r="AA71" t="s">
        <v>183</v>
      </c>
      <c r="AB71" t="str">
        <f t="shared" si="39"/>
        <v/>
      </c>
      <c r="AC71" t="s">
        <v>183</v>
      </c>
      <c r="AD71" t="str">
        <f t="shared" si="40"/>
        <v/>
      </c>
      <c r="AE71">
        <v>8</v>
      </c>
      <c r="AF71">
        <f t="shared" si="41"/>
        <v>1505</v>
      </c>
      <c r="AH71">
        <f t="shared" si="21"/>
        <v>5</v>
      </c>
      <c r="AI71">
        <f t="shared" si="28"/>
        <v>0</v>
      </c>
      <c r="AJ71">
        <f t="shared" si="29"/>
        <v>1</v>
      </c>
      <c r="AK71">
        <f>SUM(AI$22:AI71)</f>
        <v>53</v>
      </c>
      <c r="AL71">
        <f>SUM(AJ$22:AJ71)</f>
        <v>52</v>
      </c>
      <c r="AM71" s="279" t="str">
        <f t="shared" si="24"/>
        <v/>
      </c>
      <c r="AN71">
        <f t="shared" si="25"/>
        <v>1505</v>
      </c>
      <c r="AO71" s="279"/>
    </row>
    <row r="72" spans="1:41" x14ac:dyDescent="0.35">
      <c r="A72">
        <v>50</v>
      </c>
      <c r="B72" t="s">
        <v>53</v>
      </c>
      <c r="C72" s="276">
        <v>40928</v>
      </c>
      <c r="E72" t="s">
        <v>183</v>
      </c>
      <c r="F72" t="str">
        <f t="shared" si="20"/>
        <v/>
      </c>
      <c r="G72" t="s">
        <v>183</v>
      </c>
      <c r="H72" t="str">
        <f t="shared" si="20"/>
        <v/>
      </c>
      <c r="I72">
        <v>8</v>
      </c>
      <c r="J72">
        <f t="shared" si="30"/>
        <v>1905</v>
      </c>
      <c r="K72">
        <v>8</v>
      </c>
      <c r="L72">
        <f t="shared" si="31"/>
        <v>1250</v>
      </c>
      <c r="M72" t="s">
        <v>183</v>
      </c>
      <c r="N72" t="str">
        <f t="shared" si="32"/>
        <v/>
      </c>
      <c r="O72" t="s">
        <v>183</v>
      </c>
      <c r="P72" t="str">
        <f t="shared" si="33"/>
        <v/>
      </c>
      <c r="Q72">
        <v>7</v>
      </c>
      <c r="R72">
        <f t="shared" si="34"/>
        <v>1905</v>
      </c>
      <c r="S72" t="s">
        <v>183</v>
      </c>
      <c r="T72" t="str">
        <f t="shared" si="35"/>
        <v/>
      </c>
      <c r="U72" t="s">
        <v>183</v>
      </c>
      <c r="V72" t="str">
        <f t="shared" si="36"/>
        <v/>
      </c>
      <c r="W72" t="s">
        <v>183</v>
      </c>
      <c r="X72" t="str">
        <f t="shared" si="37"/>
        <v/>
      </c>
      <c r="Y72" t="s">
        <v>183</v>
      </c>
      <c r="Z72" t="str">
        <f t="shared" si="38"/>
        <v/>
      </c>
      <c r="AA72" t="s">
        <v>183</v>
      </c>
      <c r="AB72" t="str">
        <f t="shared" si="39"/>
        <v/>
      </c>
      <c r="AC72" t="s">
        <v>183</v>
      </c>
      <c r="AD72" t="str">
        <f t="shared" si="40"/>
        <v/>
      </c>
      <c r="AE72" t="s">
        <v>183</v>
      </c>
      <c r="AF72" t="str">
        <f t="shared" si="41"/>
        <v/>
      </c>
      <c r="AH72">
        <f t="shared" si="21"/>
        <v>6</v>
      </c>
      <c r="AI72">
        <f t="shared" si="28"/>
        <v>2</v>
      </c>
      <c r="AJ72">
        <f t="shared" si="29"/>
        <v>1</v>
      </c>
      <c r="AK72">
        <f>SUM(AI$22:AI72)</f>
        <v>55</v>
      </c>
      <c r="AL72">
        <f>SUM(AJ$22:AJ72)</f>
        <v>53</v>
      </c>
      <c r="AM72" s="279">
        <f t="shared" si="24"/>
        <v>1905</v>
      </c>
      <c r="AN72">
        <f t="shared" si="25"/>
        <v>1250</v>
      </c>
      <c r="AO72" s="279"/>
    </row>
    <row r="73" spans="1:41" x14ac:dyDescent="0.35">
      <c r="A73">
        <v>51</v>
      </c>
      <c r="B73" t="s">
        <v>54</v>
      </c>
      <c r="C73" s="276">
        <v>40929</v>
      </c>
      <c r="E73" t="s">
        <v>183</v>
      </c>
      <c r="F73" t="str">
        <f t="shared" si="20"/>
        <v/>
      </c>
      <c r="G73" t="s">
        <v>183</v>
      </c>
      <c r="H73" t="str">
        <f t="shared" si="20"/>
        <v/>
      </c>
      <c r="I73" t="s">
        <v>183</v>
      </c>
      <c r="J73" t="str">
        <f t="shared" si="30"/>
        <v/>
      </c>
      <c r="K73" t="s">
        <v>183</v>
      </c>
      <c r="L73" t="str">
        <f t="shared" si="31"/>
        <v/>
      </c>
      <c r="M73" t="s">
        <v>183</v>
      </c>
      <c r="N73" t="str">
        <f t="shared" si="32"/>
        <v/>
      </c>
      <c r="O73" t="s">
        <v>183</v>
      </c>
      <c r="P73" t="str">
        <f t="shared" si="33"/>
        <v/>
      </c>
      <c r="Q73" t="s">
        <v>183</v>
      </c>
      <c r="R73" t="str">
        <f t="shared" si="34"/>
        <v/>
      </c>
      <c r="S73">
        <v>7</v>
      </c>
      <c r="T73">
        <f t="shared" si="35"/>
        <v>1325</v>
      </c>
      <c r="U73" t="s">
        <v>183</v>
      </c>
      <c r="V73" t="str">
        <f t="shared" si="36"/>
        <v/>
      </c>
      <c r="W73" t="s">
        <v>183</v>
      </c>
      <c r="X73" t="str">
        <f t="shared" si="37"/>
        <v/>
      </c>
      <c r="Y73" t="s">
        <v>183</v>
      </c>
      <c r="Z73" t="str">
        <f t="shared" si="38"/>
        <v/>
      </c>
      <c r="AA73" t="s">
        <v>183</v>
      </c>
      <c r="AB73" t="str">
        <f t="shared" si="39"/>
        <v/>
      </c>
      <c r="AC73" t="s">
        <v>183</v>
      </c>
      <c r="AD73" t="str">
        <f t="shared" si="40"/>
        <v/>
      </c>
      <c r="AE73" t="s">
        <v>183</v>
      </c>
      <c r="AF73" t="str">
        <f t="shared" si="41"/>
        <v/>
      </c>
      <c r="AH73">
        <f t="shared" si="21"/>
        <v>6</v>
      </c>
      <c r="AI73">
        <f t="shared" si="28"/>
        <v>0</v>
      </c>
      <c r="AJ73">
        <f t="shared" si="29"/>
        <v>1</v>
      </c>
      <c r="AK73">
        <f>SUM(AI$22:AI73)</f>
        <v>55</v>
      </c>
      <c r="AL73">
        <f>SUM(AJ$22:AJ73)</f>
        <v>54</v>
      </c>
      <c r="AM73" s="279" t="str">
        <f t="shared" si="24"/>
        <v/>
      </c>
      <c r="AN73">
        <f t="shared" si="25"/>
        <v>1325</v>
      </c>
      <c r="AO73" s="279"/>
    </row>
    <row r="74" spans="1:41" x14ac:dyDescent="0.35">
      <c r="A74">
        <v>52</v>
      </c>
      <c r="B74" t="s">
        <v>55</v>
      </c>
      <c r="C74" s="276">
        <v>40930</v>
      </c>
      <c r="E74" t="s">
        <v>183</v>
      </c>
      <c r="F74" t="str">
        <f t="shared" si="20"/>
        <v/>
      </c>
      <c r="G74" t="s">
        <v>183</v>
      </c>
      <c r="H74" t="str">
        <f t="shared" si="20"/>
        <v/>
      </c>
      <c r="I74" t="s">
        <v>183</v>
      </c>
      <c r="J74" t="str">
        <f t="shared" si="30"/>
        <v/>
      </c>
      <c r="K74" t="s">
        <v>183</v>
      </c>
      <c r="L74" t="str">
        <f t="shared" si="31"/>
        <v/>
      </c>
      <c r="M74" t="s">
        <v>183</v>
      </c>
      <c r="N74" t="str">
        <f t="shared" si="32"/>
        <v/>
      </c>
      <c r="O74" t="s">
        <v>183</v>
      </c>
      <c r="P74" t="str">
        <f t="shared" si="33"/>
        <v/>
      </c>
      <c r="Q74" t="s">
        <v>183</v>
      </c>
      <c r="R74" t="str">
        <f t="shared" si="34"/>
        <v/>
      </c>
      <c r="S74" t="s">
        <v>183</v>
      </c>
      <c r="T74" t="str">
        <f t="shared" si="35"/>
        <v/>
      </c>
      <c r="U74" t="s">
        <v>183</v>
      </c>
      <c r="V74" t="str">
        <f t="shared" si="36"/>
        <v/>
      </c>
      <c r="W74" t="s">
        <v>183</v>
      </c>
      <c r="X74" t="str">
        <f t="shared" si="37"/>
        <v/>
      </c>
      <c r="Y74" t="s">
        <v>183</v>
      </c>
      <c r="Z74" t="str">
        <f t="shared" si="38"/>
        <v/>
      </c>
      <c r="AA74" t="s">
        <v>183</v>
      </c>
      <c r="AB74" t="str">
        <f t="shared" si="39"/>
        <v/>
      </c>
      <c r="AC74" t="s">
        <v>183</v>
      </c>
      <c r="AD74" t="str">
        <f t="shared" si="40"/>
        <v/>
      </c>
      <c r="AE74">
        <v>9</v>
      </c>
      <c r="AF74">
        <f t="shared" si="41"/>
        <v>1260</v>
      </c>
      <c r="AH74">
        <f t="shared" si="21"/>
        <v>6</v>
      </c>
      <c r="AI74">
        <f t="shared" si="28"/>
        <v>0</v>
      </c>
      <c r="AJ74">
        <f t="shared" si="29"/>
        <v>1</v>
      </c>
      <c r="AK74">
        <f>SUM(AI$22:AI74)</f>
        <v>55</v>
      </c>
      <c r="AL74">
        <f>SUM(AJ$22:AJ74)</f>
        <v>55</v>
      </c>
      <c r="AM74" s="279" t="str">
        <f t="shared" si="24"/>
        <v/>
      </c>
      <c r="AN74">
        <f t="shared" si="25"/>
        <v>1260</v>
      </c>
      <c r="AO74" s="279"/>
    </row>
    <row r="75" spans="1:41" x14ac:dyDescent="0.35">
      <c r="A75">
        <v>53</v>
      </c>
      <c r="B75" t="s">
        <v>56</v>
      </c>
      <c r="C75" s="276">
        <v>40931</v>
      </c>
      <c r="E75" t="s">
        <v>183</v>
      </c>
      <c r="F75" t="str">
        <f t="shared" si="20"/>
        <v/>
      </c>
      <c r="G75" t="s">
        <v>183</v>
      </c>
      <c r="H75" t="str">
        <f t="shared" si="20"/>
        <v/>
      </c>
      <c r="I75" t="s">
        <v>183</v>
      </c>
      <c r="J75" t="str">
        <f t="shared" si="30"/>
        <v/>
      </c>
      <c r="K75" t="s">
        <v>183</v>
      </c>
      <c r="L75" t="str">
        <f t="shared" si="31"/>
        <v/>
      </c>
      <c r="M75" t="s">
        <v>183</v>
      </c>
      <c r="N75" t="str">
        <f t="shared" si="32"/>
        <v/>
      </c>
      <c r="O75" t="s">
        <v>183</v>
      </c>
      <c r="P75" t="str">
        <f t="shared" si="33"/>
        <v/>
      </c>
      <c r="Q75" t="s">
        <v>183</v>
      </c>
      <c r="R75" t="str">
        <f t="shared" si="34"/>
        <v/>
      </c>
      <c r="S75" t="s">
        <v>183</v>
      </c>
      <c r="T75" t="str">
        <f t="shared" si="35"/>
        <v/>
      </c>
      <c r="U75" t="s">
        <v>183</v>
      </c>
      <c r="V75" t="str">
        <f t="shared" si="36"/>
        <v/>
      </c>
      <c r="W75" t="s">
        <v>183</v>
      </c>
      <c r="X75" t="str">
        <f t="shared" si="37"/>
        <v/>
      </c>
      <c r="Y75" t="s">
        <v>183</v>
      </c>
      <c r="Z75" t="str">
        <f t="shared" si="38"/>
        <v/>
      </c>
      <c r="AA75" t="s">
        <v>183</v>
      </c>
      <c r="AB75" t="str">
        <f t="shared" si="39"/>
        <v/>
      </c>
      <c r="AC75" t="s">
        <v>183</v>
      </c>
      <c r="AD75" t="str">
        <f t="shared" si="40"/>
        <v/>
      </c>
      <c r="AE75">
        <v>10</v>
      </c>
      <c r="AF75">
        <f t="shared" si="41"/>
        <v>1395</v>
      </c>
      <c r="AH75">
        <f t="shared" si="21"/>
        <v>6</v>
      </c>
      <c r="AI75">
        <f t="shared" si="28"/>
        <v>0</v>
      </c>
      <c r="AJ75">
        <f t="shared" si="29"/>
        <v>1</v>
      </c>
      <c r="AK75">
        <f>SUM(AI$22:AI75)</f>
        <v>55</v>
      </c>
      <c r="AL75">
        <f>SUM(AJ$22:AJ75)</f>
        <v>56</v>
      </c>
      <c r="AM75" s="279" t="str">
        <f t="shared" si="24"/>
        <v/>
      </c>
      <c r="AN75">
        <f t="shared" si="25"/>
        <v>1395</v>
      </c>
      <c r="AO75" s="279"/>
    </row>
    <row r="76" spans="1:41" x14ac:dyDescent="0.35">
      <c r="A76">
        <v>54</v>
      </c>
      <c r="B76" t="s">
        <v>57</v>
      </c>
      <c r="C76" s="276">
        <v>40932</v>
      </c>
      <c r="E76" t="s">
        <v>183</v>
      </c>
      <c r="F76" t="str">
        <f t="shared" si="20"/>
        <v/>
      </c>
      <c r="G76" t="s">
        <v>183</v>
      </c>
      <c r="H76" t="str">
        <f t="shared" si="20"/>
        <v/>
      </c>
      <c r="I76" t="s">
        <v>183</v>
      </c>
      <c r="J76" t="str">
        <f t="shared" si="30"/>
        <v/>
      </c>
      <c r="K76" t="s">
        <v>183</v>
      </c>
      <c r="L76" t="str">
        <f t="shared" si="31"/>
        <v/>
      </c>
      <c r="M76" t="s">
        <v>183</v>
      </c>
      <c r="N76" t="str">
        <f t="shared" si="32"/>
        <v/>
      </c>
      <c r="O76" t="s">
        <v>183</v>
      </c>
      <c r="P76" t="str">
        <f t="shared" si="33"/>
        <v/>
      </c>
      <c r="Q76" t="s">
        <v>183</v>
      </c>
      <c r="R76" t="str">
        <f t="shared" si="34"/>
        <v/>
      </c>
      <c r="S76" t="s">
        <v>183</v>
      </c>
      <c r="T76" t="str">
        <f t="shared" si="35"/>
        <v/>
      </c>
      <c r="U76" t="s">
        <v>183</v>
      </c>
      <c r="V76" t="str">
        <f t="shared" si="36"/>
        <v/>
      </c>
      <c r="W76" t="s">
        <v>183</v>
      </c>
      <c r="X76" t="str">
        <f t="shared" si="37"/>
        <v/>
      </c>
      <c r="Y76">
        <v>10</v>
      </c>
      <c r="Z76">
        <f t="shared" si="38"/>
        <v>1890</v>
      </c>
      <c r="AA76">
        <v>9</v>
      </c>
      <c r="AB76">
        <f t="shared" si="39"/>
        <v>1415</v>
      </c>
      <c r="AC76" t="s">
        <v>183</v>
      </c>
      <c r="AD76" t="str">
        <f t="shared" si="40"/>
        <v/>
      </c>
      <c r="AE76" t="s">
        <v>183</v>
      </c>
      <c r="AF76" t="str">
        <f t="shared" si="41"/>
        <v/>
      </c>
      <c r="AH76">
        <f t="shared" si="21"/>
        <v>6</v>
      </c>
      <c r="AI76">
        <f t="shared" si="28"/>
        <v>1</v>
      </c>
      <c r="AJ76">
        <f t="shared" si="29"/>
        <v>0</v>
      </c>
      <c r="AK76">
        <f>SUM(AI$22:AI76)</f>
        <v>56</v>
      </c>
      <c r="AL76">
        <f>SUM(AJ$22:AJ76)</f>
        <v>56</v>
      </c>
      <c r="AM76" s="279">
        <f t="shared" si="24"/>
        <v>1890</v>
      </c>
      <c r="AN76">
        <f t="shared" si="25"/>
        <v>1415</v>
      </c>
      <c r="AO76" s="279"/>
    </row>
    <row r="77" spans="1:41" x14ac:dyDescent="0.35">
      <c r="A77">
        <v>55</v>
      </c>
      <c r="B77" t="s">
        <v>58</v>
      </c>
      <c r="C77" s="276">
        <v>40933</v>
      </c>
      <c r="E77">
        <v>8</v>
      </c>
      <c r="F77">
        <f t="shared" si="20"/>
        <v>1725</v>
      </c>
      <c r="G77">
        <v>8</v>
      </c>
      <c r="H77">
        <f t="shared" si="20"/>
        <v>865</v>
      </c>
      <c r="I77" t="s">
        <v>183</v>
      </c>
      <c r="J77" t="str">
        <f t="shared" si="30"/>
        <v/>
      </c>
      <c r="K77" t="s">
        <v>183</v>
      </c>
      <c r="L77" t="str">
        <f t="shared" si="31"/>
        <v/>
      </c>
      <c r="M77" t="s">
        <v>183</v>
      </c>
      <c r="N77" t="str">
        <f t="shared" si="32"/>
        <v/>
      </c>
      <c r="O77" t="s">
        <v>183</v>
      </c>
      <c r="P77" t="str">
        <f t="shared" si="33"/>
        <v/>
      </c>
      <c r="Q77" t="s">
        <v>183</v>
      </c>
      <c r="R77" t="str">
        <f t="shared" si="34"/>
        <v/>
      </c>
      <c r="S77" t="s">
        <v>183</v>
      </c>
      <c r="T77" t="str">
        <f t="shared" si="35"/>
        <v/>
      </c>
      <c r="U77" t="s">
        <v>183</v>
      </c>
      <c r="V77" t="str">
        <f t="shared" si="36"/>
        <v/>
      </c>
      <c r="W77" t="s">
        <v>183</v>
      </c>
      <c r="X77" t="str">
        <f t="shared" si="37"/>
        <v/>
      </c>
      <c r="Y77" t="s">
        <v>183</v>
      </c>
      <c r="Z77" t="str">
        <f t="shared" si="38"/>
        <v/>
      </c>
      <c r="AA77" t="s">
        <v>183</v>
      </c>
      <c r="AB77" t="str">
        <f t="shared" si="39"/>
        <v/>
      </c>
      <c r="AC77" t="s">
        <v>183</v>
      </c>
      <c r="AD77" t="str">
        <f t="shared" si="40"/>
        <v/>
      </c>
      <c r="AE77" t="s">
        <v>183</v>
      </c>
      <c r="AF77" t="str">
        <f t="shared" si="41"/>
        <v/>
      </c>
      <c r="AH77">
        <f t="shared" si="21"/>
        <v>6</v>
      </c>
      <c r="AI77">
        <f t="shared" si="28"/>
        <v>1</v>
      </c>
      <c r="AJ77">
        <f t="shared" si="29"/>
        <v>1</v>
      </c>
      <c r="AK77">
        <f>SUM(AI$22:AI77)</f>
        <v>57</v>
      </c>
      <c r="AL77">
        <f>SUM(AJ$22:AJ77)</f>
        <v>57</v>
      </c>
      <c r="AM77" s="279">
        <f t="shared" si="24"/>
        <v>1725</v>
      </c>
      <c r="AN77">
        <f t="shared" si="25"/>
        <v>865</v>
      </c>
      <c r="AO77" s="279"/>
    </row>
    <row r="78" spans="1:41" x14ac:dyDescent="0.35">
      <c r="A78">
        <v>56</v>
      </c>
      <c r="B78" t="s">
        <v>52</v>
      </c>
      <c r="C78" s="276">
        <v>40934</v>
      </c>
      <c r="E78" t="s">
        <v>183</v>
      </c>
      <c r="F78" t="str">
        <f t="shared" si="20"/>
        <v/>
      </c>
      <c r="G78" t="s">
        <v>183</v>
      </c>
      <c r="H78" t="str">
        <f t="shared" si="20"/>
        <v/>
      </c>
      <c r="I78" t="s">
        <v>183</v>
      </c>
      <c r="J78" t="str">
        <f t="shared" si="30"/>
        <v/>
      </c>
      <c r="K78" t="s">
        <v>183</v>
      </c>
      <c r="L78" t="str">
        <f t="shared" si="31"/>
        <v/>
      </c>
      <c r="M78" t="s">
        <v>183</v>
      </c>
      <c r="N78" t="str">
        <f t="shared" si="32"/>
        <v/>
      </c>
      <c r="O78" t="s">
        <v>183</v>
      </c>
      <c r="P78" t="str">
        <f t="shared" si="33"/>
        <v/>
      </c>
      <c r="Q78" t="s">
        <v>183</v>
      </c>
      <c r="R78" t="str">
        <f t="shared" si="34"/>
        <v/>
      </c>
      <c r="S78" t="s">
        <v>183</v>
      </c>
      <c r="T78" t="str">
        <f t="shared" si="35"/>
        <v/>
      </c>
      <c r="U78" t="s">
        <v>183</v>
      </c>
      <c r="V78" t="str">
        <f t="shared" si="36"/>
        <v/>
      </c>
      <c r="W78" t="s">
        <v>183</v>
      </c>
      <c r="X78" t="str">
        <f t="shared" si="37"/>
        <v/>
      </c>
      <c r="Y78" t="s">
        <v>183</v>
      </c>
      <c r="Z78" t="str">
        <f t="shared" si="38"/>
        <v/>
      </c>
      <c r="AA78" t="s">
        <v>183</v>
      </c>
      <c r="AB78" t="str">
        <f t="shared" si="39"/>
        <v/>
      </c>
      <c r="AC78" t="s">
        <v>183</v>
      </c>
      <c r="AD78" t="str">
        <f t="shared" si="40"/>
        <v/>
      </c>
      <c r="AE78" t="s">
        <v>183</v>
      </c>
      <c r="AF78" t="str">
        <f t="shared" si="41"/>
        <v/>
      </c>
      <c r="AH78">
        <f t="shared" si="21"/>
        <v>6</v>
      </c>
      <c r="AI78">
        <f t="shared" si="28"/>
        <v>0</v>
      </c>
      <c r="AJ78">
        <f t="shared" si="29"/>
        <v>0</v>
      </c>
      <c r="AK78">
        <f>SUM(AI$22:AI78)</f>
        <v>57</v>
      </c>
      <c r="AL78">
        <f>SUM(AJ$22:AJ78)</f>
        <v>57</v>
      </c>
      <c r="AM78" s="279" t="str">
        <f t="shared" si="24"/>
        <v/>
      </c>
      <c r="AN78" t="str">
        <f t="shared" si="25"/>
        <v/>
      </c>
      <c r="AO78" s="279"/>
    </row>
    <row r="79" spans="1:41" x14ac:dyDescent="0.35">
      <c r="A79">
        <v>57</v>
      </c>
      <c r="B79" t="s">
        <v>53</v>
      </c>
      <c r="C79" s="276">
        <v>40935</v>
      </c>
      <c r="E79" t="s">
        <v>183</v>
      </c>
      <c r="F79" t="str">
        <f t="shared" si="20"/>
        <v/>
      </c>
      <c r="G79" t="s">
        <v>183</v>
      </c>
      <c r="H79" t="str">
        <f t="shared" si="20"/>
        <v/>
      </c>
      <c r="I79">
        <v>9</v>
      </c>
      <c r="J79">
        <f t="shared" si="30"/>
        <v>1805</v>
      </c>
      <c r="K79">
        <v>9</v>
      </c>
      <c r="L79">
        <f t="shared" si="31"/>
        <v>1155</v>
      </c>
      <c r="M79" t="s">
        <v>183</v>
      </c>
      <c r="N79" t="str">
        <f t="shared" si="32"/>
        <v/>
      </c>
      <c r="O79" t="s">
        <v>183</v>
      </c>
      <c r="P79" t="str">
        <f t="shared" si="33"/>
        <v/>
      </c>
      <c r="Q79" t="s">
        <v>183</v>
      </c>
      <c r="R79" t="str">
        <f t="shared" si="34"/>
        <v/>
      </c>
      <c r="S79" t="s">
        <v>183</v>
      </c>
      <c r="T79" t="str">
        <f t="shared" si="35"/>
        <v/>
      </c>
      <c r="U79" t="s">
        <v>183</v>
      </c>
      <c r="V79" t="str">
        <f t="shared" si="36"/>
        <v/>
      </c>
      <c r="W79" t="s">
        <v>183</v>
      </c>
      <c r="X79" t="str">
        <f t="shared" si="37"/>
        <v/>
      </c>
      <c r="Y79" t="s">
        <v>183</v>
      </c>
      <c r="Z79" t="str">
        <f t="shared" si="38"/>
        <v/>
      </c>
      <c r="AA79" t="s">
        <v>183</v>
      </c>
      <c r="AB79" t="str">
        <f t="shared" si="39"/>
        <v/>
      </c>
      <c r="AC79" t="s">
        <v>183</v>
      </c>
      <c r="AD79" t="str">
        <f t="shared" si="40"/>
        <v/>
      </c>
      <c r="AE79" t="s">
        <v>183</v>
      </c>
      <c r="AF79" t="str">
        <f t="shared" si="41"/>
        <v/>
      </c>
      <c r="AH79">
        <f t="shared" si="21"/>
        <v>6</v>
      </c>
      <c r="AI79">
        <f t="shared" si="28"/>
        <v>1</v>
      </c>
      <c r="AJ79">
        <f t="shared" si="29"/>
        <v>1</v>
      </c>
      <c r="AK79">
        <f>SUM(AI$22:AI79)</f>
        <v>58</v>
      </c>
      <c r="AL79">
        <f>SUM(AJ$22:AJ79)</f>
        <v>58</v>
      </c>
      <c r="AM79" s="279">
        <f t="shared" si="24"/>
        <v>1805</v>
      </c>
      <c r="AN79">
        <f t="shared" si="25"/>
        <v>1155</v>
      </c>
      <c r="AO79" s="279"/>
    </row>
    <row r="80" spans="1:41" x14ac:dyDescent="0.35">
      <c r="A80">
        <v>58</v>
      </c>
      <c r="B80" t="s">
        <v>54</v>
      </c>
      <c r="C80" s="276">
        <v>40936</v>
      </c>
      <c r="E80" t="s">
        <v>183</v>
      </c>
      <c r="F80" t="str">
        <f t="shared" si="20"/>
        <v/>
      </c>
      <c r="G80" t="s">
        <v>183</v>
      </c>
      <c r="H80" t="str">
        <f t="shared" si="20"/>
        <v/>
      </c>
      <c r="I80" t="s">
        <v>183</v>
      </c>
      <c r="J80" t="str">
        <f t="shared" si="30"/>
        <v/>
      </c>
      <c r="K80" t="s">
        <v>183</v>
      </c>
      <c r="L80" t="str">
        <f t="shared" si="31"/>
        <v/>
      </c>
      <c r="M80" t="s">
        <v>183</v>
      </c>
      <c r="N80" t="str">
        <f t="shared" si="32"/>
        <v/>
      </c>
      <c r="O80" t="s">
        <v>183</v>
      </c>
      <c r="P80" t="str">
        <f t="shared" si="33"/>
        <v/>
      </c>
      <c r="Q80" t="s">
        <v>183</v>
      </c>
      <c r="R80" t="str">
        <f t="shared" si="34"/>
        <v/>
      </c>
      <c r="S80" t="s">
        <v>183</v>
      </c>
      <c r="T80" t="str">
        <f t="shared" si="35"/>
        <v/>
      </c>
      <c r="U80" t="s">
        <v>183</v>
      </c>
      <c r="V80" t="str">
        <f t="shared" si="36"/>
        <v/>
      </c>
      <c r="W80" t="s">
        <v>183</v>
      </c>
      <c r="X80" t="str">
        <f t="shared" si="37"/>
        <v/>
      </c>
      <c r="Y80" t="s">
        <v>183</v>
      </c>
      <c r="Z80" t="str">
        <f t="shared" si="38"/>
        <v/>
      </c>
      <c r="AA80" t="s">
        <v>183</v>
      </c>
      <c r="AB80" t="str">
        <f t="shared" si="39"/>
        <v/>
      </c>
      <c r="AC80" t="s">
        <v>183</v>
      </c>
      <c r="AD80" t="str">
        <f t="shared" si="40"/>
        <v/>
      </c>
      <c r="AE80" t="s">
        <v>183</v>
      </c>
      <c r="AF80" t="str">
        <f t="shared" si="41"/>
        <v/>
      </c>
      <c r="AH80">
        <f t="shared" si="21"/>
        <v>6</v>
      </c>
      <c r="AI80">
        <f t="shared" si="28"/>
        <v>0</v>
      </c>
      <c r="AJ80">
        <f t="shared" si="29"/>
        <v>0</v>
      </c>
      <c r="AK80">
        <f>SUM(AI$22:AI80)</f>
        <v>58</v>
      </c>
      <c r="AL80">
        <f>SUM(AJ$22:AJ80)</f>
        <v>58</v>
      </c>
      <c r="AM80" s="279" t="str">
        <f t="shared" si="24"/>
        <v/>
      </c>
      <c r="AN80" t="str">
        <f t="shared" si="25"/>
        <v/>
      </c>
      <c r="AO80" s="279"/>
    </row>
    <row r="81" spans="1:41" x14ac:dyDescent="0.35">
      <c r="A81">
        <v>59</v>
      </c>
      <c r="B81" t="s">
        <v>55</v>
      </c>
      <c r="C81" s="276">
        <v>40937</v>
      </c>
      <c r="E81" t="s">
        <v>183</v>
      </c>
      <c r="F81" t="str">
        <f t="shared" si="20"/>
        <v/>
      </c>
      <c r="G81" t="s">
        <v>183</v>
      </c>
      <c r="H81" t="str">
        <f t="shared" si="20"/>
        <v/>
      </c>
      <c r="I81" t="s">
        <v>183</v>
      </c>
      <c r="J81" t="str">
        <f t="shared" si="30"/>
        <v/>
      </c>
      <c r="K81" t="s">
        <v>183</v>
      </c>
      <c r="L81" t="str">
        <f t="shared" si="31"/>
        <v/>
      </c>
      <c r="M81" t="s">
        <v>183</v>
      </c>
      <c r="N81" t="str">
        <f t="shared" si="32"/>
        <v/>
      </c>
      <c r="O81" t="s">
        <v>183</v>
      </c>
      <c r="P81" t="str">
        <f t="shared" si="33"/>
        <v/>
      </c>
      <c r="Q81" t="s">
        <v>183</v>
      </c>
      <c r="R81" t="str">
        <f t="shared" si="34"/>
        <v/>
      </c>
      <c r="S81" t="s">
        <v>183</v>
      </c>
      <c r="T81" t="str">
        <f t="shared" si="35"/>
        <v/>
      </c>
      <c r="U81" t="s">
        <v>183</v>
      </c>
      <c r="V81" t="str">
        <f t="shared" si="36"/>
        <v/>
      </c>
      <c r="W81" t="s">
        <v>183</v>
      </c>
      <c r="X81" t="str">
        <f t="shared" si="37"/>
        <v/>
      </c>
      <c r="Y81" t="s">
        <v>183</v>
      </c>
      <c r="Z81" t="str">
        <f t="shared" si="38"/>
        <v/>
      </c>
      <c r="AA81" t="s">
        <v>183</v>
      </c>
      <c r="AB81" t="str">
        <f t="shared" si="39"/>
        <v/>
      </c>
      <c r="AC81" t="s">
        <v>183</v>
      </c>
      <c r="AD81" t="str">
        <f t="shared" si="40"/>
        <v/>
      </c>
      <c r="AE81" t="s">
        <v>183</v>
      </c>
      <c r="AF81" t="str">
        <f t="shared" si="41"/>
        <v/>
      </c>
      <c r="AH81">
        <f t="shared" si="21"/>
        <v>6</v>
      </c>
      <c r="AI81">
        <f t="shared" si="28"/>
        <v>0</v>
      </c>
      <c r="AJ81">
        <f t="shared" si="29"/>
        <v>0</v>
      </c>
      <c r="AK81">
        <f>SUM(AI$22:AI81)</f>
        <v>58</v>
      </c>
      <c r="AL81">
        <f>SUM(AJ$22:AJ81)</f>
        <v>58</v>
      </c>
      <c r="AM81" s="279" t="str">
        <f t="shared" si="24"/>
        <v/>
      </c>
      <c r="AN81" t="str">
        <f t="shared" si="25"/>
        <v/>
      </c>
      <c r="AO81" s="279"/>
    </row>
    <row r="82" spans="1:41" x14ac:dyDescent="0.35">
      <c r="A82">
        <v>60</v>
      </c>
      <c r="B82" t="s">
        <v>56</v>
      </c>
      <c r="C82" s="276">
        <v>40938</v>
      </c>
      <c r="E82">
        <v>9</v>
      </c>
      <c r="F82">
        <f t="shared" si="20"/>
        <v>1935</v>
      </c>
      <c r="G82">
        <v>9</v>
      </c>
      <c r="H82">
        <f t="shared" si="20"/>
        <v>1320</v>
      </c>
      <c r="I82" t="s">
        <v>183</v>
      </c>
      <c r="J82" t="str">
        <f t="shared" si="30"/>
        <v/>
      </c>
      <c r="K82" t="s">
        <v>183</v>
      </c>
      <c r="L82" t="str">
        <f t="shared" si="31"/>
        <v/>
      </c>
      <c r="M82" t="s">
        <v>183</v>
      </c>
      <c r="N82" t="str">
        <f t="shared" si="32"/>
        <v/>
      </c>
      <c r="O82" t="s">
        <v>183</v>
      </c>
      <c r="P82" t="str">
        <f t="shared" si="33"/>
        <v/>
      </c>
      <c r="Q82" t="s">
        <v>183</v>
      </c>
      <c r="R82" t="str">
        <f t="shared" si="34"/>
        <v/>
      </c>
      <c r="S82" t="s">
        <v>183</v>
      </c>
      <c r="T82" t="str">
        <f t="shared" si="35"/>
        <v/>
      </c>
      <c r="U82" t="s">
        <v>183</v>
      </c>
      <c r="V82" t="str">
        <f t="shared" si="36"/>
        <v/>
      </c>
      <c r="W82" t="s">
        <v>183</v>
      </c>
      <c r="X82" t="str">
        <f t="shared" si="37"/>
        <v/>
      </c>
      <c r="Y82" t="s">
        <v>183</v>
      </c>
      <c r="Z82" t="str">
        <f t="shared" si="38"/>
        <v/>
      </c>
      <c r="AA82">
        <v>10</v>
      </c>
      <c r="AB82">
        <f t="shared" si="39"/>
        <v>1275</v>
      </c>
      <c r="AC82" t="s">
        <v>183</v>
      </c>
      <c r="AD82" t="str">
        <f t="shared" si="40"/>
        <v/>
      </c>
      <c r="AE82" t="s">
        <v>183</v>
      </c>
      <c r="AF82" t="str">
        <f t="shared" si="41"/>
        <v/>
      </c>
      <c r="AH82">
        <f t="shared" si="21"/>
        <v>7</v>
      </c>
      <c r="AI82">
        <f t="shared" si="28"/>
        <v>1</v>
      </c>
      <c r="AJ82">
        <f t="shared" si="29"/>
        <v>1</v>
      </c>
      <c r="AK82">
        <f>SUM(AI$22:AI82)</f>
        <v>59</v>
      </c>
      <c r="AL82">
        <f>SUM(AJ$22:AJ82)</f>
        <v>59</v>
      </c>
      <c r="AM82" s="279">
        <f t="shared" si="24"/>
        <v>1935</v>
      </c>
      <c r="AN82">
        <f t="shared" si="25"/>
        <v>1297.5</v>
      </c>
      <c r="AO82" s="279"/>
    </row>
    <row r="83" spans="1:41" x14ac:dyDescent="0.35">
      <c r="A83">
        <v>61</v>
      </c>
      <c r="B83" t="s">
        <v>57</v>
      </c>
      <c r="C83" s="276">
        <v>40939</v>
      </c>
      <c r="E83" t="s">
        <v>183</v>
      </c>
      <c r="F83" t="str">
        <f t="shared" si="20"/>
        <v/>
      </c>
      <c r="G83" t="s">
        <v>183</v>
      </c>
      <c r="H83" t="str">
        <f t="shared" si="20"/>
        <v/>
      </c>
      <c r="I83" t="s">
        <v>183</v>
      </c>
      <c r="J83" t="str">
        <f t="shared" si="30"/>
        <v/>
      </c>
      <c r="K83" t="s">
        <v>183</v>
      </c>
      <c r="L83" t="str">
        <f t="shared" si="31"/>
        <v/>
      </c>
      <c r="M83" t="s">
        <v>183</v>
      </c>
      <c r="N83" t="str">
        <f t="shared" si="32"/>
        <v/>
      </c>
      <c r="O83" t="s">
        <v>183</v>
      </c>
      <c r="P83" t="str">
        <f t="shared" si="33"/>
        <v/>
      </c>
      <c r="Q83" t="s">
        <v>183</v>
      </c>
      <c r="R83" t="str">
        <f t="shared" si="34"/>
        <v/>
      </c>
      <c r="S83" t="s">
        <v>183</v>
      </c>
      <c r="T83" t="str">
        <f t="shared" si="35"/>
        <v/>
      </c>
      <c r="U83" t="s">
        <v>183</v>
      </c>
      <c r="V83" t="str">
        <f t="shared" si="36"/>
        <v/>
      </c>
      <c r="W83" t="s">
        <v>183</v>
      </c>
      <c r="X83" t="str">
        <f t="shared" si="37"/>
        <v/>
      </c>
      <c r="Y83" t="s">
        <v>183</v>
      </c>
      <c r="Z83" t="str">
        <f t="shared" si="38"/>
        <v/>
      </c>
      <c r="AA83" t="s">
        <v>183</v>
      </c>
      <c r="AB83" t="str">
        <f t="shared" si="39"/>
        <v/>
      </c>
      <c r="AC83" t="s">
        <v>183</v>
      </c>
      <c r="AD83" t="str">
        <f t="shared" si="40"/>
        <v/>
      </c>
      <c r="AE83" t="s">
        <v>183</v>
      </c>
      <c r="AF83" t="str">
        <f t="shared" si="41"/>
        <v/>
      </c>
      <c r="AH83">
        <f t="shared" si="21"/>
        <v>7</v>
      </c>
      <c r="AI83">
        <f t="shared" si="28"/>
        <v>0</v>
      </c>
      <c r="AJ83">
        <f t="shared" si="29"/>
        <v>0</v>
      </c>
      <c r="AK83">
        <f>SUM(AI$22:AI83)</f>
        <v>59</v>
      </c>
      <c r="AL83">
        <f>SUM(AJ$22:AJ83)</f>
        <v>59</v>
      </c>
      <c r="AM83" s="279" t="str">
        <f t="shared" si="24"/>
        <v/>
      </c>
      <c r="AN83" t="str">
        <f t="shared" si="25"/>
        <v/>
      </c>
      <c r="AO83" s="279"/>
    </row>
    <row r="84" spans="1:41" x14ac:dyDescent="0.35">
      <c r="A84">
        <v>62</v>
      </c>
      <c r="B84" t="s">
        <v>58</v>
      </c>
      <c r="C84" s="276">
        <v>40940</v>
      </c>
      <c r="E84" t="s">
        <v>183</v>
      </c>
      <c r="F84" t="str">
        <f t="shared" si="20"/>
        <v/>
      </c>
      <c r="G84" t="s">
        <v>183</v>
      </c>
      <c r="H84" t="str">
        <f t="shared" si="20"/>
        <v/>
      </c>
      <c r="I84" t="s">
        <v>183</v>
      </c>
      <c r="J84" t="str">
        <f t="shared" si="30"/>
        <v/>
      </c>
      <c r="K84" t="s">
        <v>183</v>
      </c>
      <c r="L84" t="str">
        <f t="shared" si="31"/>
        <v/>
      </c>
      <c r="M84" t="s">
        <v>183</v>
      </c>
      <c r="N84" t="str">
        <f t="shared" si="32"/>
        <v/>
      </c>
      <c r="O84" t="s">
        <v>183</v>
      </c>
      <c r="P84" t="str">
        <f t="shared" si="33"/>
        <v/>
      </c>
      <c r="Q84" t="s">
        <v>183</v>
      </c>
      <c r="R84" t="str">
        <f t="shared" si="34"/>
        <v/>
      </c>
      <c r="S84" t="s">
        <v>183</v>
      </c>
      <c r="T84" t="str">
        <f t="shared" si="35"/>
        <v/>
      </c>
      <c r="U84" t="s">
        <v>183</v>
      </c>
      <c r="V84" t="str">
        <f t="shared" si="36"/>
        <v/>
      </c>
      <c r="W84" t="s">
        <v>183</v>
      </c>
      <c r="X84" t="str">
        <f t="shared" si="37"/>
        <v/>
      </c>
      <c r="Y84" t="s">
        <v>183</v>
      </c>
      <c r="Z84" t="str">
        <f t="shared" si="38"/>
        <v/>
      </c>
      <c r="AA84" t="s">
        <v>183</v>
      </c>
      <c r="AB84" t="str">
        <f t="shared" si="39"/>
        <v/>
      </c>
      <c r="AC84" t="s">
        <v>183</v>
      </c>
      <c r="AD84" t="str">
        <f t="shared" si="40"/>
        <v/>
      </c>
      <c r="AE84" t="s">
        <v>183</v>
      </c>
      <c r="AF84" t="str">
        <f t="shared" si="41"/>
        <v/>
      </c>
      <c r="AH84">
        <f t="shared" si="21"/>
        <v>7</v>
      </c>
      <c r="AI84">
        <f t="shared" si="28"/>
        <v>0</v>
      </c>
      <c r="AJ84">
        <f t="shared" si="29"/>
        <v>0</v>
      </c>
      <c r="AK84">
        <f>SUM(AI$22:AI84)</f>
        <v>59</v>
      </c>
      <c r="AL84">
        <f>SUM(AJ$22:AJ84)</f>
        <v>59</v>
      </c>
      <c r="AM84" s="279" t="str">
        <f t="shared" si="24"/>
        <v/>
      </c>
      <c r="AN84" t="str">
        <f t="shared" si="25"/>
        <v/>
      </c>
      <c r="AO84" s="279"/>
    </row>
    <row r="85" spans="1:41" x14ac:dyDescent="0.35">
      <c r="A85">
        <v>63</v>
      </c>
      <c r="B85" t="s">
        <v>52</v>
      </c>
      <c r="C85" s="276">
        <v>40941</v>
      </c>
      <c r="E85" t="s">
        <v>183</v>
      </c>
      <c r="F85" t="str">
        <f t="shared" si="20"/>
        <v/>
      </c>
      <c r="G85" t="s">
        <v>183</v>
      </c>
      <c r="H85" t="str">
        <f t="shared" si="20"/>
        <v/>
      </c>
      <c r="I85" t="s">
        <v>183</v>
      </c>
      <c r="J85" t="str">
        <f t="shared" si="30"/>
        <v/>
      </c>
      <c r="K85" t="s">
        <v>183</v>
      </c>
      <c r="L85" t="str">
        <f t="shared" si="31"/>
        <v/>
      </c>
      <c r="M85" t="s">
        <v>183</v>
      </c>
      <c r="N85" t="str">
        <f t="shared" si="32"/>
        <v/>
      </c>
      <c r="O85" t="s">
        <v>183</v>
      </c>
      <c r="P85" t="str">
        <f t="shared" si="33"/>
        <v/>
      </c>
      <c r="Q85" t="s">
        <v>183</v>
      </c>
      <c r="R85" t="str">
        <f t="shared" si="34"/>
        <v/>
      </c>
      <c r="S85" t="s">
        <v>183</v>
      </c>
      <c r="T85" t="str">
        <f t="shared" si="35"/>
        <v/>
      </c>
      <c r="U85" t="s">
        <v>183</v>
      </c>
      <c r="V85" t="str">
        <f t="shared" si="36"/>
        <v/>
      </c>
      <c r="W85" t="s">
        <v>183</v>
      </c>
      <c r="X85" t="str">
        <f t="shared" si="37"/>
        <v/>
      </c>
      <c r="Y85" t="s">
        <v>183</v>
      </c>
      <c r="Z85" t="str">
        <f t="shared" si="38"/>
        <v/>
      </c>
      <c r="AA85" t="s">
        <v>183</v>
      </c>
      <c r="AB85" t="str">
        <f t="shared" si="39"/>
        <v/>
      </c>
      <c r="AC85" t="s">
        <v>183</v>
      </c>
      <c r="AD85" t="str">
        <f t="shared" si="40"/>
        <v/>
      </c>
      <c r="AE85" t="s">
        <v>183</v>
      </c>
      <c r="AF85" t="str">
        <f t="shared" si="41"/>
        <v/>
      </c>
      <c r="AH85">
        <f t="shared" si="21"/>
        <v>7</v>
      </c>
      <c r="AI85">
        <f t="shared" si="28"/>
        <v>0</v>
      </c>
      <c r="AJ85">
        <f t="shared" si="29"/>
        <v>0</v>
      </c>
      <c r="AK85">
        <f>SUM(AI$22:AI85)</f>
        <v>59</v>
      </c>
      <c r="AL85">
        <f>SUM(AJ$22:AJ85)</f>
        <v>59</v>
      </c>
      <c r="AM85" s="279" t="str">
        <f t="shared" si="24"/>
        <v/>
      </c>
      <c r="AN85" t="str">
        <f t="shared" si="25"/>
        <v/>
      </c>
      <c r="AO85" s="279"/>
    </row>
    <row r="86" spans="1:41" x14ac:dyDescent="0.35">
      <c r="A86">
        <v>64</v>
      </c>
      <c r="B86" t="s">
        <v>53</v>
      </c>
      <c r="C86" s="276">
        <v>40942</v>
      </c>
      <c r="E86" t="s">
        <v>183</v>
      </c>
      <c r="F86" t="str">
        <f t="shared" si="20"/>
        <v/>
      </c>
      <c r="G86" t="s">
        <v>183</v>
      </c>
      <c r="H86" t="str">
        <f t="shared" si="20"/>
        <v/>
      </c>
      <c r="I86" t="s">
        <v>183</v>
      </c>
      <c r="J86" t="str">
        <f t="shared" ref="J86:J96" si="42">IF(OR(ISBLANK(I86),ISTEXT(I86)),"",LOOKUP(I86,$D$2:$D$11,J$2:J$11))</f>
        <v/>
      </c>
      <c r="K86" t="s">
        <v>183</v>
      </c>
      <c r="L86" t="str">
        <f t="shared" ref="L86:L96" si="43">IF(OR(ISBLANK(K86),ISTEXT(K86)),"",LOOKUP(K86,$D$2:$D$11,L$2:L$11))</f>
        <v/>
      </c>
      <c r="M86" t="s">
        <v>183</v>
      </c>
      <c r="N86" t="str">
        <f t="shared" ref="N86:N96" si="44">IF(OR(ISBLANK(M86),ISTEXT(M86)),"",LOOKUP(M86,$D$2:$D$11,N$2:N$11))</f>
        <v/>
      </c>
      <c r="O86" t="s">
        <v>183</v>
      </c>
      <c r="P86" t="str">
        <f t="shared" ref="P86:P96" si="45">IF(OR(ISBLANK(O86),ISTEXT(O86)),"",LOOKUP(O86,$D$2:$D$11,P$2:P$11))</f>
        <v/>
      </c>
      <c r="Q86" t="s">
        <v>183</v>
      </c>
      <c r="R86" t="str">
        <f t="shared" ref="R86:R96" si="46">IF(OR(ISBLANK(Q86),ISTEXT(Q86)),"",LOOKUP(Q86,$D$2:$D$11,R$2:R$11))</f>
        <v/>
      </c>
      <c r="S86" t="s">
        <v>183</v>
      </c>
      <c r="T86" t="str">
        <f t="shared" ref="T86:T96" si="47">IF(OR(ISBLANK(S86),ISTEXT(S86)),"",LOOKUP(S86,$D$2:$D$11,T$2:T$11))</f>
        <v/>
      </c>
      <c r="U86">
        <v>8</v>
      </c>
      <c r="V86">
        <f t="shared" ref="V86:V96" si="48">IF(OR(ISBLANK(U86),ISTEXT(U86)),"",LOOKUP(U86,$D$2:$D$11,V$2:V$11))</f>
        <v>2085</v>
      </c>
      <c r="W86" t="s">
        <v>183</v>
      </c>
      <c r="X86" t="str">
        <f t="shared" ref="X86:X96" si="49">IF(OR(ISBLANK(W86),ISTEXT(W86)),"",LOOKUP(W86,$D$2:$D$11,X$2:X$11))</f>
        <v/>
      </c>
      <c r="Y86" t="s">
        <v>183</v>
      </c>
      <c r="Z86" t="str">
        <f t="shared" ref="Z86:Z96" si="50">IF(OR(ISBLANK(Y86),ISTEXT(Y86)),"",LOOKUP(Y86,$D$2:$D$11,Z$2:Z$11))</f>
        <v/>
      </c>
      <c r="AA86" t="s">
        <v>183</v>
      </c>
      <c r="AB86" t="str">
        <f t="shared" ref="AB86:AB96" si="51">IF(OR(ISBLANK(AA86),ISTEXT(AA86)),"",LOOKUP(AA86,$D$2:$D$11,AB$2:AB$11))</f>
        <v/>
      </c>
      <c r="AC86" t="s">
        <v>183</v>
      </c>
      <c r="AD86" t="str">
        <f t="shared" ref="AD86:AD96" si="52">IF(OR(ISBLANK(AC86),ISTEXT(AC86)),"",LOOKUP(AC86,$D$2:$D$11,AD$2:AD$11))</f>
        <v/>
      </c>
      <c r="AE86" t="s">
        <v>183</v>
      </c>
      <c r="AF86" t="str">
        <f t="shared" ref="AF86:AF96" si="53">IF(OR(ISBLANK(AE86),ISTEXT(AE86)),"",LOOKUP(AE86,$D$2:$D$11,AF$2:AF$11))</f>
        <v/>
      </c>
      <c r="AH86">
        <f t="shared" si="21"/>
        <v>7</v>
      </c>
      <c r="AI86">
        <f t="shared" si="28"/>
        <v>1</v>
      </c>
      <c r="AJ86">
        <f t="shared" si="29"/>
        <v>0</v>
      </c>
      <c r="AK86">
        <f>SUM(AI$22:AI86)</f>
        <v>60</v>
      </c>
      <c r="AL86">
        <f>SUM(AJ$22:AJ86)</f>
        <v>59</v>
      </c>
      <c r="AM86" s="279">
        <f t="shared" si="24"/>
        <v>2085</v>
      </c>
      <c r="AN86" t="str">
        <f t="shared" si="25"/>
        <v/>
      </c>
      <c r="AO86" s="279"/>
    </row>
    <row r="87" spans="1:41" x14ac:dyDescent="0.35">
      <c r="A87">
        <v>65</v>
      </c>
      <c r="B87" t="s">
        <v>54</v>
      </c>
      <c r="C87" s="276">
        <v>40943</v>
      </c>
      <c r="E87" t="s">
        <v>183</v>
      </c>
      <c r="F87" t="str">
        <f t="shared" ref="F87:H96" si="54">IF(OR(ISBLANK(E87),ISTEXT(E87)),"",LOOKUP(E87,$D$2:$D$11,F$2:F$11))</f>
        <v/>
      </c>
      <c r="G87" t="s">
        <v>183</v>
      </c>
      <c r="H87" t="str">
        <f t="shared" si="54"/>
        <v/>
      </c>
      <c r="I87" t="s">
        <v>183</v>
      </c>
      <c r="J87" t="str">
        <f t="shared" si="42"/>
        <v/>
      </c>
      <c r="K87" t="s">
        <v>183</v>
      </c>
      <c r="L87" t="str">
        <f t="shared" si="43"/>
        <v/>
      </c>
      <c r="M87" t="s">
        <v>183</v>
      </c>
      <c r="N87" t="str">
        <f t="shared" si="44"/>
        <v/>
      </c>
      <c r="O87" t="s">
        <v>183</v>
      </c>
      <c r="P87" t="str">
        <f t="shared" si="45"/>
        <v/>
      </c>
      <c r="Q87" t="s">
        <v>183</v>
      </c>
      <c r="R87" t="str">
        <f t="shared" si="46"/>
        <v/>
      </c>
      <c r="S87" t="s">
        <v>183</v>
      </c>
      <c r="T87" t="str">
        <f t="shared" si="47"/>
        <v/>
      </c>
      <c r="U87" t="s">
        <v>183</v>
      </c>
      <c r="V87" t="str">
        <f t="shared" si="48"/>
        <v/>
      </c>
      <c r="W87" t="s">
        <v>183</v>
      </c>
      <c r="X87" t="str">
        <f t="shared" si="49"/>
        <v/>
      </c>
      <c r="Y87" t="s">
        <v>183</v>
      </c>
      <c r="Z87" t="str">
        <f t="shared" si="50"/>
        <v/>
      </c>
      <c r="AA87" t="s">
        <v>183</v>
      </c>
      <c r="AB87" t="str">
        <f t="shared" si="51"/>
        <v/>
      </c>
      <c r="AC87" t="s">
        <v>183</v>
      </c>
      <c r="AD87" t="str">
        <f t="shared" si="52"/>
        <v/>
      </c>
      <c r="AE87" t="s">
        <v>183</v>
      </c>
      <c r="AF87" t="str">
        <f t="shared" si="53"/>
        <v/>
      </c>
      <c r="AH87">
        <f t="shared" ref="AH87:AH96" si="55">CEILING((A87+1)/10,1)</f>
        <v>7</v>
      </c>
      <c r="AI87">
        <f t="shared" si="28"/>
        <v>0</v>
      </c>
      <c r="AJ87">
        <f t="shared" si="29"/>
        <v>0</v>
      </c>
      <c r="AK87">
        <f>SUM(AI$22:AI87)</f>
        <v>60</v>
      </c>
      <c r="AL87">
        <f>SUM(AJ$22:AJ87)</f>
        <v>59</v>
      </c>
      <c r="AM87" s="279" t="str">
        <f t="shared" ref="AM87:AM96" si="56">IFERROR(AVERAGE(F87,J87,N87,R87,V87,Z87,AD87),"")</f>
        <v/>
      </c>
      <c r="AN87" t="str">
        <f t="shared" ref="AN87:AN96" si="57">IFERROR(AVERAGE(H87,L87,P87,T87,X87,AB87,AF87),"")</f>
        <v/>
      </c>
      <c r="AO87" s="279"/>
    </row>
    <row r="88" spans="1:41" x14ac:dyDescent="0.35">
      <c r="A88">
        <v>66</v>
      </c>
      <c r="B88" t="s">
        <v>55</v>
      </c>
      <c r="C88" s="276">
        <v>40944</v>
      </c>
      <c r="E88" t="s">
        <v>183</v>
      </c>
      <c r="F88" t="str">
        <f t="shared" si="54"/>
        <v/>
      </c>
      <c r="G88" t="s">
        <v>183</v>
      </c>
      <c r="H88" t="str">
        <f t="shared" si="54"/>
        <v/>
      </c>
      <c r="I88" t="s">
        <v>183</v>
      </c>
      <c r="J88" t="str">
        <f t="shared" si="42"/>
        <v/>
      </c>
      <c r="K88" t="s">
        <v>183</v>
      </c>
      <c r="L88" t="str">
        <f t="shared" si="43"/>
        <v/>
      </c>
      <c r="M88" t="s">
        <v>183</v>
      </c>
      <c r="N88" t="str">
        <f t="shared" si="44"/>
        <v/>
      </c>
      <c r="O88" t="s">
        <v>183</v>
      </c>
      <c r="P88" t="str">
        <f t="shared" si="45"/>
        <v/>
      </c>
      <c r="Q88" t="s">
        <v>183</v>
      </c>
      <c r="R88" t="str">
        <f t="shared" si="46"/>
        <v/>
      </c>
      <c r="S88" t="s">
        <v>183</v>
      </c>
      <c r="T88" t="str">
        <f t="shared" si="47"/>
        <v/>
      </c>
      <c r="U88">
        <v>9</v>
      </c>
      <c r="V88">
        <f t="shared" si="48"/>
        <v>1740</v>
      </c>
      <c r="W88">
        <v>8</v>
      </c>
      <c r="X88">
        <f t="shared" si="49"/>
        <v>1460</v>
      </c>
      <c r="Y88" t="s">
        <v>183</v>
      </c>
      <c r="Z88" t="str">
        <f t="shared" si="50"/>
        <v/>
      </c>
      <c r="AA88" t="s">
        <v>183</v>
      </c>
      <c r="AB88" t="str">
        <f t="shared" si="51"/>
        <v/>
      </c>
      <c r="AC88" t="s">
        <v>183</v>
      </c>
      <c r="AD88" t="str">
        <f t="shared" si="52"/>
        <v/>
      </c>
      <c r="AE88" t="s">
        <v>183</v>
      </c>
      <c r="AF88" t="str">
        <f t="shared" si="53"/>
        <v/>
      </c>
      <c r="AH88">
        <f t="shared" si="55"/>
        <v>7</v>
      </c>
      <c r="AI88">
        <f t="shared" si="28"/>
        <v>1</v>
      </c>
      <c r="AJ88">
        <f t="shared" si="29"/>
        <v>1</v>
      </c>
      <c r="AK88">
        <f>SUM(AI$22:AI88)</f>
        <v>61</v>
      </c>
      <c r="AL88">
        <f>SUM(AJ$22:AJ88)</f>
        <v>60</v>
      </c>
      <c r="AM88" s="279">
        <f t="shared" si="56"/>
        <v>1740</v>
      </c>
      <c r="AN88">
        <f t="shared" si="57"/>
        <v>1460</v>
      </c>
      <c r="AO88" s="279"/>
    </row>
    <row r="89" spans="1:41" x14ac:dyDescent="0.35">
      <c r="A89">
        <v>67</v>
      </c>
      <c r="B89" t="s">
        <v>56</v>
      </c>
      <c r="C89" s="276">
        <v>40945</v>
      </c>
      <c r="E89" t="s">
        <v>183</v>
      </c>
      <c r="F89" t="str">
        <f t="shared" si="54"/>
        <v/>
      </c>
      <c r="G89" t="s">
        <v>183</v>
      </c>
      <c r="H89" t="str">
        <f t="shared" si="54"/>
        <v/>
      </c>
      <c r="I89" t="s">
        <v>183</v>
      </c>
      <c r="J89" t="str">
        <f t="shared" si="42"/>
        <v/>
      </c>
      <c r="K89" t="s">
        <v>183</v>
      </c>
      <c r="L89" t="str">
        <f t="shared" si="43"/>
        <v/>
      </c>
      <c r="M89" t="s">
        <v>183</v>
      </c>
      <c r="N89" t="str">
        <f t="shared" si="44"/>
        <v/>
      </c>
      <c r="O89" t="s">
        <v>183</v>
      </c>
      <c r="P89" t="str">
        <f t="shared" si="45"/>
        <v/>
      </c>
      <c r="Q89" t="s">
        <v>183</v>
      </c>
      <c r="R89" t="str">
        <f t="shared" si="46"/>
        <v/>
      </c>
      <c r="S89" t="s">
        <v>183</v>
      </c>
      <c r="T89" t="str">
        <f t="shared" si="47"/>
        <v/>
      </c>
      <c r="U89" t="s">
        <v>183</v>
      </c>
      <c r="V89" t="str">
        <f t="shared" si="48"/>
        <v/>
      </c>
      <c r="W89" t="s">
        <v>183</v>
      </c>
      <c r="X89" t="str">
        <f t="shared" si="49"/>
        <v/>
      </c>
      <c r="Y89" t="s">
        <v>183</v>
      </c>
      <c r="Z89" t="str">
        <f t="shared" si="50"/>
        <v/>
      </c>
      <c r="AA89" t="s">
        <v>183</v>
      </c>
      <c r="AB89" t="str">
        <f t="shared" si="51"/>
        <v/>
      </c>
      <c r="AC89" t="s">
        <v>183</v>
      </c>
      <c r="AD89" t="str">
        <f t="shared" si="52"/>
        <v/>
      </c>
      <c r="AE89" t="s">
        <v>183</v>
      </c>
      <c r="AF89" t="str">
        <f t="shared" si="53"/>
        <v/>
      </c>
      <c r="AH89">
        <f t="shared" si="55"/>
        <v>7</v>
      </c>
      <c r="AI89">
        <f t="shared" si="28"/>
        <v>0</v>
      </c>
      <c r="AJ89">
        <f t="shared" si="29"/>
        <v>0</v>
      </c>
      <c r="AK89">
        <f>SUM(AI$22:AI89)</f>
        <v>61</v>
      </c>
      <c r="AL89">
        <f>SUM(AJ$22:AJ89)</f>
        <v>60</v>
      </c>
      <c r="AM89" s="279" t="str">
        <f t="shared" si="56"/>
        <v/>
      </c>
      <c r="AN89" t="str">
        <f t="shared" si="57"/>
        <v/>
      </c>
      <c r="AO89" s="279"/>
    </row>
    <row r="90" spans="1:41" x14ac:dyDescent="0.35">
      <c r="A90">
        <v>68</v>
      </c>
      <c r="B90" t="s">
        <v>57</v>
      </c>
      <c r="C90" s="276">
        <v>40946</v>
      </c>
      <c r="E90" t="s">
        <v>183</v>
      </c>
      <c r="F90" t="str">
        <f t="shared" si="54"/>
        <v/>
      </c>
      <c r="G90" t="s">
        <v>183</v>
      </c>
      <c r="H90" t="str">
        <f t="shared" si="54"/>
        <v/>
      </c>
      <c r="I90" t="s">
        <v>183</v>
      </c>
      <c r="J90" t="str">
        <f t="shared" si="42"/>
        <v/>
      </c>
      <c r="K90" t="s">
        <v>183</v>
      </c>
      <c r="L90" t="str">
        <f t="shared" si="43"/>
        <v/>
      </c>
      <c r="M90" t="s">
        <v>183</v>
      </c>
      <c r="N90" t="str">
        <f t="shared" si="44"/>
        <v/>
      </c>
      <c r="O90" t="s">
        <v>183</v>
      </c>
      <c r="P90" t="str">
        <f t="shared" si="45"/>
        <v/>
      </c>
      <c r="Q90">
        <v>8</v>
      </c>
      <c r="R90">
        <f t="shared" si="46"/>
        <v>2095</v>
      </c>
      <c r="S90" t="s">
        <v>183</v>
      </c>
      <c r="T90" t="str">
        <f t="shared" si="47"/>
        <v/>
      </c>
      <c r="U90" t="s">
        <v>183</v>
      </c>
      <c r="V90" t="str">
        <f t="shared" si="48"/>
        <v/>
      </c>
      <c r="W90">
        <v>9</v>
      </c>
      <c r="X90">
        <f t="shared" si="49"/>
        <v>1335</v>
      </c>
      <c r="Y90" t="s">
        <v>183</v>
      </c>
      <c r="Z90" t="str">
        <f t="shared" si="50"/>
        <v/>
      </c>
      <c r="AA90" t="s">
        <v>183</v>
      </c>
      <c r="AB90" t="str">
        <f t="shared" si="51"/>
        <v/>
      </c>
      <c r="AC90" t="s">
        <v>183</v>
      </c>
      <c r="AD90" t="str">
        <f t="shared" si="52"/>
        <v/>
      </c>
      <c r="AE90" t="s">
        <v>183</v>
      </c>
      <c r="AF90" t="str">
        <f t="shared" si="53"/>
        <v/>
      </c>
      <c r="AH90">
        <f t="shared" si="55"/>
        <v>7</v>
      </c>
      <c r="AI90">
        <f t="shared" si="28"/>
        <v>1</v>
      </c>
      <c r="AJ90">
        <f t="shared" si="29"/>
        <v>1</v>
      </c>
      <c r="AK90">
        <f>SUM(AI$22:AI90)</f>
        <v>62</v>
      </c>
      <c r="AL90">
        <f>SUM(AJ$22:AJ90)</f>
        <v>61</v>
      </c>
      <c r="AM90" s="279">
        <f t="shared" si="56"/>
        <v>2095</v>
      </c>
      <c r="AN90">
        <f t="shared" si="57"/>
        <v>1335</v>
      </c>
      <c r="AO90" s="279"/>
    </row>
    <row r="91" spans="1:41" x14ac:dyDescent="0.35">
      <c r="A91">
        <v>69</v>
      </c>
      <c r="B91" t="s">
        <v>58</v>
      </c>
      <c r="C91" s="276">
        <v>40947</v>
      </c>
      <c r="E91" t="s">
        <v>183</v>
      </c>
      <c r="F91" t="str">
        <f t="shared" si="54"/>
        <v/>
      </c>
      <c r="G91" t="s">
        <v>183</v>
      </c>
      <c r="H91" t="str">
        <f t="shared" si="54"/>
        <v/>
      </c>
      <c r="I91" t="s">
        <v>183</v>
      </c>
      <c r="J91" t="str">
        <f t="shared" si="42"/>
        <v/>
      </c>
      <c r="K91" t="s">
        <v>183</v>
      </c>
      <c r="L91" t="str">
        <f t="shared" si="43"/>
        <v/>
      </c>
      <c r="M91" t="s">
        <v>183</v>
      </c>
      <c r="N91" t="str">
        <f t="shared" si="44"/>
        <v/>
      </c>
      <c r="O91" t="s">
        <v>183</v>
      </c>
      <c r="P91" t="str">
        <f t="shared" si="45"/>
        <v/>
      </c>
      <c r="Q91">
        <v>9</v>
      </c>
      <c r="R91">
        <f t="shared" si="46"/>
        <v>1860</v>
      </c>
      <c r="S91">
        <v>8</v>
      </c>
      <c r="T91">
        <f t="shared" si="47"/>
        <v>1235</v>
      </c>
      <c r="U91" t="s">
        <v>183</v>
      </c>
      <c r="V91" t="str">
        <f t="shared" si="48"/>
        <v/>
      </c>
      <c r="W91" t="s">
        <v>183</v>
      </c>
      <c r="X91" t="str">
        <f t="shared" si="49"/>
        <v/>
      </c>
      <c r="Y91" t="s">
        <v>183</v>
      </c>
      <c r="Z91" t="str">
        <f t="shared" si="50"/>
        <v/>
      </c>
      <c r="AA91" t="s">
        <v>183</v>
      </c>
      <c r="AB91" t="str">
        <f t="shared" si="51"/>
        <v/>
      </c>
      <c r="AC91" t="s">
        <v>183</v>
      </c>
      <c r="AD91" t="str">
        <f t="shared" si="52"/>
        <v/>
      </c>
      <c r="AE91" t="s">
        <v>183</v>
      </c>
      <c r="AF91" t="str">
        <f t="shared" si="53"/>
        <v/>
      </c>
      <c r="AH91">
        <f t="shared" si="55"/>
        <v>7</v>
      </c>
      <c r="AI91">
        <f t="shared" si="28"/>
        <v>1</v>
      </c>
      <c r="AJ91">
        <f t="shared" si="29"/>
        <v>1</v>
      </c>
      <c r="AK91">
        <f>SUM(AI$22:AI91)</f>
        <v>63</v>
      </c>
      <c r="AL91">
        <f>SUM(AJ$22:AJ91)</f>
        <v>62</v>
      </c>
      <c r="AM91" s="279">
        <f t="shared" si="56"/>
        <v>1860</v>
      </c>
      <c r="AN91">
        <f t="shared" si="57"/>
        <v>1235</v>
      </c>
      <c r="AO91" s="279"/>
    </row>
    <row r="92" spans="1:41" x14ac:dyDescent="0.35">
      <c r="A92">
        <v>70</v>
      </c>
      <c r="B92" t="s">
        <v>52</v>
      </c>
      <c r="C92" s="276">
        <v>40948</v>
      </c>
      <c r="E92" t="s">
        <v>183</v>
      </c>
      <c r="F92" t="str">
        <f t="shared" si="54"/>
        <v/>
      </c>
      <c r="G92" t="s">
        <v>183</v>
      </c>
      <c r="H92" t="str">
        <f t="shared" si="54"/>
        <v/>
      </c>
      <c r="I92" t="s">
        <v>183</v>
      </c>
      <c r="J92" t="str">
        <f t="shared" si="42"/>
        <v/>
      </c>
      <c r="K92" t="s">
        <v>183</v>
      </c>
      <c r="L92" t="str">
        <f t="shared" si="43"/>
        <v/>
      </c>
      <c r="M92">
        <v>8</v>
      </c>
      <c r="N92">
        <f t="shared" si="44"/>
        <v>1845</v>
      </c>
      <c r="O92">
        <v>8</v>
      </c>
      <c r="P92">
        <f t="shared" si="45"/>
        <v>1380</v>
      </c>
      <c r="Q92" t="s">
        <v>183</v>
      </c>
      <c r="R92" t="str">
        <f t="shared" si="46"/>
        <v/>
      </c>
      <c r="S92">
        <v>9</v>
      </c>
      <c r="T92">
        <f t="shared" si="47"/>
        <v>1290</v>
      </c>
      <c r="U92" t="s">
        <v>183</v>
      </c>
      <c r="V92" t="str">
        <f t="shared" si="48"/>
        <v/>
      </c>
      <c r="W92" t="s">
        <v>183</v>
      </c>
      <c r="X92" t="str">
        <f t="shared" si="49"/>
        <v/>
      </c>
      <c r="Y92" t="s">
        <v>183</v>
      </c>
      <c r="Z92" t="str">
        <f t="shared" si="50"/>
        <v/>
      </c>
      <c r="AA92" t="s">
        <v>183</v>
      </c>
      <c r="AB92" t="str">
        <f t="shared" si="51"/>
        <v/>
      </c>
      <c r="AC92" t="s">
        <v>183</v>
      </c>
      <c r="AD92" t="str">
        <f t="shared" si="52"/>
        <v/>
      </c>
      <c r="AE92" t="s">
        <v>183</v>
      </c>
      <c r="AF92" t="str">
        <f t="shared" si="53"/>
        <v/>
      </c>
      <c r="AH92">
        <f t="shared" si="55"/>
        <v>8</v>
      </c>
      <c r="AI92">
        <f t="shared" si="28"/>
        <v>1</v>
      </c>
      <c r="AJ92">
        <f t="shared" si="29"/>
        <v>2</v>
      </c>
      <c r="AK92">
        <f>SUM(AI$22:AI92)</f>
        <v>64</v>
      </c>
      <c r="AL92">
        <f>SUM(AJ$22:AJ92)</f>
        <v>64</v>
      </c>
      <c r="AM92" s="279">
        <f t="shared" si="56"/>
        <v>1845</v>
      </c>
      <c r="AN92">
        <f t="shared" si="57"/>
        <v>1335</v>
      </c>
      <c r="AO92" s="279"/>
    </row>
    <row r="93" spans="1:41" x14ac:dyDescent="0.35">
      <c r="A93">
        <v>71</v>
      </c>
      <c r="B93" t="s">
        <v>53</v>
      </c>
      <c r="C93" s="276">
        <v>40949</v>
      </c>
      <c r="E93" t="s">
        <v>183</v>
      </c>
      <c r="F93" t="str">
        <f t="shared" si="54"/>
        <v/>
      </c>
      <c r="G93" t="s">
        <v>183</v>
      </c>
      <c r="H93" t="str">
        <f t="shared" si="54"/>
        <v/>
      </c>
      <c r="I93">
        <v>10</v>
      </c>
      <c r="J93">
        <f t="shared" si="42"/>
        <v>2065</v>
      </c>
      <c r="K93">
        <v>10</v>
      </c>
      <c r="L93">
        <f t="shared" si="43"/>
        <v>1325</v>
      </c>
      <c r="M93" t="s">
        <v>183</v>
      </c>
      <c r="N93" t="str">
        <f t="shared" si="44"/>
        <v/>
      </c>
      <c r="O93" t="s">
        <v>183</v>
      </c>
      <c r="P93" t="str">
        <f t="shared" si="45"/>
        <v/>
      </c>
      <c r="Q93">
        <v>10</v>
      </c>
      <c r="R93">
        <f t="shared" si="46"/>
        <v>1980</v>
      </c>
      <c r="S93" t="s">
        <v>183</v>
      </c>
      <c r="T93" t="str">
        <f t="shared" si="47"/>
        <v/>
      </c>
      <c r="U93">
        <v>10</v>
      </c>
      <c r="V93">
        <f t="shared" si="48"/>
        <v>1695</v>
      </c>
      <c r="W93" t="s">
        <v>183</v>
      </c>
      <c r="X93" t="str">
        <f t="shared" si="49"/>
        <v/>
      </c>
      <c r="Y93" t="s">
        <v>183</v>
      </c>
      <c r="Z93" t="str">
        <f t="shared" si="50"/>
        <v/>
      </c>
      <c r="AA93" t="s">
        <v>183</v>
      </c>
      <c r="AB93" t="str">
        <f t="shared" si="51"/>
        <v/>
      </c>
      <c r="AC93" t="s">
        <v>183</v>
      </c>
      <c r="AD93" t="str">
        <f t="shared" si="52"/>
        <v/>
      </c>
      <c r="AE93" t="s">
        <v>183</v>
      </c>
      <c r="AF93" t="str">
        <f t="shared" si="53"/>
        <v/>
      </c>
      <c r="AH93">
        <f t="shared" si="55"/>
        <v>8</v>
      </c>
      <c r="AI93">
        <f>COUNT(F93,J93,N93,R93,V93,Z93,AD93)</f>
        <v>3</v>
      </c>
      <c r="AJ93">
        <f>COUNT(H93,L93,P93,T93,X93,AC93,AF93)</f>
        <v>1</v>
      </c>
      <c r="AK93">
        <f>SUM(AI$22:AI93)</f>
        <v>67</v>
      </c>
      <c r="AL93">
        <f>SUM(AJ$22:AJ93)</f>
        <v>65</v>
      </c>
      <c r="AM93" s="279">
        <f t="shared" si="56"/>
        <v>1913.3333333333333</v>
      </c>
      <c r="AN93">
        <f t="shared" si="57"/>
        <v>1325</v>
      </c>
      <c r="AO93" s="279"/>
    </row>
    <row r="94" spans="1:41" x14ac:dyDescent="0.35">
      <c r="A94">
        <v>72</v>
      </c>
      <c r="B94" t="s">
        <v>54</v>
      </c>
      <c r="C94" s="276">
        <v>40950</v>
      </c>
      <c r="E94" t="s">
        <v>183</v>
      </c>
      <c r="F94" t="str">
        <f t="shared" si="54"/>
        <v/>
      </c>
      <c r="G94" t="s">
        <v>183</v>
      </c>
      <c r="H94" t="str">
        <f t="shared" si="54"/>
        <v/>
      </c>
      <c r="I94" t="s">
        <v>183</v>
      </c>
      <c r="J94" t="str">
        <f t="shared" si="42"/>
        <v/>
      </c>
      <c r="K94" t="s">
        <v>183</v>
      </c>
      <c r="L94" t="str">
        <f t="shared" si="43"/>
        <v/>
      </c>
      <c r="M94" t="s">
        <v>183</v>
      </c>
      <c r="N94" t="str">
        <f t="shared" si="44"/>
        <v/>
      </c>
      <c r="O94" t="s">
        <v>183</v>
      </c>
      <c r="P94" t="str">
        <f t="shared" si="45"/>
        <v/>
      </c>
      <c r="Q94" t="s">
        <v>183</v>
      </c>
      <c r="R94" t="str">
        <f t="shared" si="46"/>
        <v/>
      </c>
      <c r="S94">
        <v>10</v>
      </c>
      <c r="T94">
        <f t="shared" si="47"/>
        <v>1275</v>
      </c>
      <c r="U94" t="s">
        <v>183</v>
      </c>
      <c r="V94" t="str">
        <f t="shared" si="48"/>
        <v/>
      </c>
      <c r="W94" t="s">
        <v>183</v>
      </c>
      <c r="X94" t="str">
        <f t="shared" si="49"/>
        <v/>
      </c>
      <c r="Y94" t="s">
        <v>183</v>
      </c>
      <c r="Z94" t="str">
        <f t="shared" si="50"/>
        <v/>
      </c>
      <c r="AA94" t="s">
        <v>183</v>
      </c>
      <c r="AB94" t="str">
        <f t="shared" si="51"/>
        <v/>
      </c>
      <c r="AC94" t="s">
        <v>183</v>
      </c>
      <c r="AD94" t="str">
        <f t="shared" si="52"/>
        <v/>
      </c>
      <c r="AE94" t="s">
        <v>183</v>
      </c>
      <c r="AF94" t="str">
        <f t="shared" si="53"/>
        <v/>
      </c>
      <c r="AH94">
        <f t="shared" si="55"/>
        <v>8</v>
      </c>
      <c r="AI94">
        <f>COUNT(F94,J94,N94,R94,V94,Z94,AD94)</f>
        <v>0</v>
      </c>
      <c r="AJ94">
        <f>COUNT(H94,L94,P94,T94,X94,AC94,AF94)</f>
        <v>1</v>
      </c>
      <c r="AK94">
        <f>SUM(AI$22:AI94)</f>
        <v>67</v>
      </c>
      <c r="AL94">
        <f>SUM(AJ$22:AJ94)</f>
        <v>66</v>
      </c>
      <c r="AM94" s="279" t="str">
        <f t="shared" si="56"/>
        <v/>
      </c>
      <c r="AN94">
        <f t="shared" si="57"/>
        <v>1275</v>
      </c>
      <c r="AO94" s="279"/>
    </row>
    <row r="95" spans="1:41" x14ac:dyDescent="0.35">
      <c r="A95">
        <v>73</v>
      </c>
      <c r="B95" t="s">
        <v>55</v>
      </c>
      <c r="C95" s="276">
        <v>40951</v>
      </c>
      <c r="E95">
        <v>10</v>
      </c>
      <c r="F95">
        <f t="shared" si="54"/>
        <v>1830</v>
      </c>
      <c r="G95">
        <v>10</v>
      </c>
      <c r="H95">
        <f t="shared" si="54"/>
        <v>1235</v>
      </c>
      <c r="I95" t="s">
        <v>183</v>
      </c>
      <c r="J95" t="str">
        <f t="shared" si="42"/>
        <v/>
      </c>
      <c r="K95" t="s">
        <v>183</v>
      </c>
      <c r="L95" t="str">
        <f t="shared" si="43"/>
        <v/>
      </c>
      <c r="M95" t="s">
        <v>183</v>
      </c>
      <c r="N95" t="str">
        <f t="shared" si="44"/>
        <v/>
      </c>
      <c r="O95" t="s">
        <v>183</v>
      </c>
      <c r="P95" t="str">
        <f t="shared" si="45"/>
        <v/>
      </c>
      <c r="Q95" t="s">
        <v>183</v>
      </c>
      <c r="R95" t="str">
        <f t="shared" si="46"/>
        <v/>
      </c>
      <c r="S95" t="s">
        <v>183</v>
      </c>
      <c r="T95" t="str">
        <f t="shared" si="47"/>
        <v/>
      </c>
      <c r="U95" t="s">
        <v>183</v>
      </c>
      <c r="V95" t="str">
        <f t="shared" si="48"/>
        <v/>
      </c>
      <c r="W95">
        <v>10</v>
      </c>
      <c r="X95">
        <f t="shared" si="49"/>
        <v>1375</v>
      </c>
      <c r="Y95" t="s">
        <v>183</v>
      </c>
      <c r="Z95" t="str">
        <f t="shared" si="50"/>
        <v/>
      </c>
      <c r="AA95" t="s">
        <v>183</v>
      </c>
      <c r="AB95" t="str">
        <f t="shared" si="51"/>
        <v/>
      </c>
      <c r="AC95" t="s">
        <v>183</v>
      </c>
      <c r="AD95" t="str">
        <f t="shared" si="52"/>
        <v/>
      </c>
      <c r="AE95" t="s">
        <v>183</v>
      </c>
      <c r="AF95" t="str">
        <f t="shared" si="53"/>
        <v/>
      </c>
      <c r="AH95">
        <f t="shared" si="55"/>
        <v>8</v>
      </c>
      <c r="AI95">
        <f>COUNT(F95,J95,N95,R95,V95,Z95,AD95)</f>
        <v>1</v>
      </c>
      <c r="AJ95">
        <f>COUNT(H95,L95,P95,T95,X95,AC95,AF95)</f>
        <v>2</v>
      </c>
      <c r="AK95">
        <f>SUM(AI$22:AI95)</f>
        <v>68</v>
      </c>
      <c r="AL95">
        <f>SUM(AJ$22:AJ95)</f>
        <v>68</v>
      </c>
      <c r="AM95" s="279">
        <f t="shared" si="56"/>
        <v>1830</v>
      </c>
      <c r="AN95">
        <f t="shared" si="57"/>
        <v>1305</v>
      </c>
      <c r="AO95" s="279"/>
    </row>
    <row r="96" spans="1:41" x14ac:dyDescent="0.35">
      <c r="A96">
        <v>74</v>
      </c>
      <c r="B96" t="s">
        <v>56</v>
      </c>
      <c r="C96" s="276">
        <v>40952</v>
      </c>
      <c r="E96" t="s">
        <v>183</v>
      </c>
      <c r="F96" t="str">
        <f t="shared" si="54"/>
        <v/>
      </c>
      <c r="G96" t="s">
        <v>183</v>
      </c>
      <c r="H96" t="str">
        <f t="shared" si="54"/>
        <v/>
      </c>
      <c r="I96" t="s">
        <v>183</v>
      </c>
      <c r="J96" t="str">
        <f t="shared" si="42"/>
        <v/>
      </c>
      <c r="K96" t="s">
        <v>183</v>
      </c>
      <c r="L96" t="str">
        <f t="shared" si="43"/>
        <v/>
      </c>
      <c r="M96">
        <v>9</v>
      </c>
      <c r="N96">
        <f t="shared" si="44"/>
        <v>1950</v>
      </c>
      <c r="O96">
        <v>9</v>
      </c>
      <c r="P96">
        <f t="shared" si="45"/>
        <v>1585</v>
      </c>
      <c r="Q96" t="s">
        <v>183</v>
      </c>
      <c r="R96" t="str">
        <f t="shared" si="46"/>
        <v/>
      </c>
      <c r="S96" t="s">
        <v>183</v>
      </c>
      <c r="T96" t="str">
        <f t="shared" si="47"/>
        <v/>
      </c>
      <c r="U96" t="s">
        <v>183</v>
      </c>
      <c r="V96" t="str">
        <f t="shared" si="48"/>
        <v/>
      </c>
      <c r="W96" t="s">
        <v>183</v>
      </c>
      <c r="X96" t="str">
        <f t="shared" si="49"/>
        <v/>
      </c>
      <c r="Y96" t="s">
        <v>183</v>
      </c>
      <c r="Z96" t="str">
        <f t="shared" si="50"/>
        <v/>
      </c>
      <c r="AA96" t="s">
        <v>183</v>
      </c>
      <c r="AB96" t="str">
        <f t="shared" si="51"/>
        <v/>
      </c>
      <c r="AC96" t="s">
        <v>183</v>
      </c>
      <c r="AD96" t="str">
        <f t="shared" si="52"/>
        <v/>
      </c>
      <c r="AE96" t="s">
        <v>183</v>
      </c>
      <c r="AF96" t="str">
        <f t="shared" si="53"/>
        <v/>
      </c>
      <c r="AH96">
        <f t="shared" si="55"/>
        <v>8</v>
      </c>
      <c r="AI96">
        <f>COUNT(F96,J96,N96,R96,V96,Z96,AD96)</f>
        <v>1</v>
      </c>
      <c r="AJ96">
        <f>COUNT(H96,L96,P96,T96,X96,AC96,AF96)</f>
        <v>1</v>
      </c>
      <c r="AK96">
        <f>SUM(AI$22:AI96)</f>
        <v>69</v>
      </c>
      <c r="AL96">
        <f>SUM(AJ$22:AJ96)</f>
        <v>69</v>
      </c>
      <c r="AM96" s="279">
        <f t="shared" si="56"/>
        <v>1950</v>
      </c>
      <c r="AN96">
        <f t="shared" si="57"/>
        <v>1585</v>
      </c>
      <c r="AO96" s="279"/>
    </row>
    <row r="99" spans="3:4" x14ac:dyDescent="0.35">
      <c r="D99"/>
    </row>
    <row r="100" spans="3:4" x14ac:dyDescent="0.35">
      <c r="D100"/>
    </row>
    <row r="101" spans="3:4" x14ac:dyDescent="0.35">
      <c r="C101"/>
      <c r="D101"/>
    </row>
    <row r="102" spans="3:4" x14ac:dyDescent="0.35">
      <c r="C102"/>
      <c r="D102"/>
    </row>
    <row r="103" spans="3:4" x14ac:dyDescent="0.35">
      <c r="C103"/>
      <c r="D103"/>
    </row>
    <row r="104" spans="3:4" x14ac:dyDescent="0.35">
      <c r="C104"/>
      <c r="D104"/>
    </row>
    <row r="105" spans="3:4" x14ac:dyDescent="0.35">
      <c r="C105"/>
      <c r="D105"/>
    </row>
    <row r="106" spans="3:4" x14ac:dyDescent="0.35">
      <c r="C106"/>
      <c r="D106"/>
    </row>
    <row r="107" spans="3:4" x14ac:dyDescent="0.35">
      <c r="C107"/>
      <c r="D107"/>
    </row>
    <row r="108" spans="3:4" x14ac:dyDescent="0.35">
      <c r="C108"/>
      <c r="D108"/>
    </row>
    <row r="109" spans="3:4" x14ac:dyDescent="0.35">
      <c r="C109"/>
      <c r="D109"/>
    </row>
    <row r="110" spans="3:4" x14ac:dyDescent="0.35">
      <c r="C110"/>
      <c r="D110"/>
    </row>
    <row r="111" spans="3:4" x14ac:dyDescent="0.35">
      <c r="C111"/>
      <c r="D111"/>
    </row>
    <row r="112" spans="3:4" x14ac:dyDescent="0.35">
      <c r="C112"/>
      <c r="D112"/>
    </row>
    <row r="113" spans="3:4" x14ac:dyDescent="0.35">
      <c r="C113"/>
      <c r="D113"/>
    </row>
    <row r="114" spans="3:4" x14ac:dyDescent="0.35">
      <c r="C114"/>
      <c r="D114"/>
    </row>
    <row r="115" spans="3:4" x14ac:dyDescent="0.35">
      <c r="C115"/>
      <c r="D115"/>
    </row>
    <row r="116" spans="3:4" x14ac:dyDescent="0.35">
      <c r="C116"/>
      <c r="D116"/>
    </row>
    <row r="117" spans="3:4" x14ac:dyDescent="0.35">
      <c r="C117"/>
      <c r="D117"/>
    </row>
    <row r="118" spans="3:4" x14ac:dyDescent="0.35">
      <c r="C118"/>
      <c r="D118"/>
    </row>
    <row r="119" spans="3:4" x14ac:dyDescent="0.35">
      <c r="C119"/>
      <c r="D119"/>
    </row>
    <row r="120" spans="3:4" x14ac:dyDescent="0.35">
      <c r="C120"/>
      <c r="D120"/>
    </row>
    <row r="121" spans="3:4" x14ac:dyDescent="0.35">
      <c r="C121"/>
      <c r="D121"/>
    </row>
    <row r="122" spans="3:4" x14ac:dyDescent="0.35">
      <c r="C122"/>
      <c r="D122"/>
    </row>
    <row r="123" spans="3:4" x14ac:dyDescent="0.35">
      <c r="C123"/>
      <c r="D123"/>
    </row>
    <row r="124" spans="3:4" x14ac:dyDescent="0.35">
      <c r="C124"/>
      <c r="D124"/>
    </row>
    <row r="125" spans="3:4" x14ac:dyDescent="0.35">
      <c r="C125"/>
      <c r="D125"/>
    </row>
    <row r="126" spans="3:4" x14ac:dyDescent="0.35">
      <c r="C126"/>
      <c r="D126"/>
    </row>
    <row r="127" spans="3:4" x14ac:dyDescent="0.35">
      <c r="C127"/>
      <c r="D127"/>
    </row>
    <row r="128" spans="3:4" x14ac:dyDescent="0.35">
      <c r="C128"/>
      <c r="D128"/>
    </row>
    <row r="129" spans="3:4" x14ac:dyDescent="0.35">
      <c r="C129"/>
      <c r="D129"/>
    </row>
    <row r="130" spans="3:4" x14ac:dyDescent="0.35">
      <c r="C130"/>
      <c r="D130"/>
    </row>
    <row r="131" spans="3:4" x14ac:dyDescent="0.35">
      <c r="C131"/>
      <c r="D131"/>
    </row>
    <row r="132" spans="3:4" x14ac:dyDescent="0.35">
      <c r="C132"/>
      <c r="D132"/>
    </row>
    <row r="133" spans="3:4" x14ac:dyDescent="0.35">
      <c r="C133"/>
      <c r="D133"/>
    </row>
    <row r="134" spans="3:4" x14ac:dyDescent="0.35">
      <c r="C134"/>
      <c r="D134"/>
    </row>
    <row r="135" spans="3:4" x14ac:dyDescent="0.35">
      <c r="C135"/>
      <c r="D135"/>
    </row>
    <row r="136" spans="3:4" x14ac:dyDescent="0.35">
      <c r="C136"/>
      <c r="D136"/>
    </row>
    <row r="137" spans="3:4" x14ac:dyDescent="0.35">
      <c r="C137"/>
      <c r="D137"/>
    </row>
    <row r="138" spans="3:4" x14ac:dyDescent="0.35">
      <c r="C138"/>
      <c r="D138"/>
    </row>
    <row r="139" spans="3:4" x14ac:dyDescent="0.35">
      <c r="C139"/>
      <c r="D139"/>
    </row>
    <row r="140" spans="3:4" x14ac:dyDescent="0.35">
      <c r="C140"/>
      <c r="D140"/>
    </row>
    <row r="141" spans="3:4" x14ac:dyDescent="0.35">
      <c r="C141"/>
      <c r="D141"/>
    </row>
    <row r="142" spans="3:4" x14ac:dyDescent="0.35">
      <c r="C142"/>
      <c r="D142"/>
    </row>
    <row r="143" spans="3:4" x14ac:dyDescent="0.35">
      <c r="C143"/>
      <c r="D143"/>
    </row>
    <row r="144" spans="3:4" x14ac:dyDescent="0.35">
      <c r="C144"/>
      <c r="D144"/>
    </row>
    <row r="145" spans="3:4" x14ac:dyDescent="0.35">
      <c r="C145"/>
      <c r="D145"/>
    </row>
    <row r="146" spans="3:4" x14ac:dyDescent="0.35">
      <c r="C146"/>
      <c r="D146"/>
    </row>
    <row r="147" spans="3:4" x14ac:dyDescent="0.35">
      <c r="C147"/>
      <c r="D147"/>
    </row>
    <row r="148" spans="3:4" x14ac:dyDescent="0.35">
      <c r="C148"/>
      <c r="D148"/>
    </row>
    <row r="149" spans="3:4" x14ac:dyDescent="0.35">
      <c r="C149"/>
      <c r="D149"/>
    </row>
    <row r="150" spans="3:4" x14ac:dyDescent="0.35">
      <c r="C150"/>
      <c r="D150"/>
    </row>
    <row r="151" spans="3:4" x14ac:dyDescent="0.35">
      <c r="C151"/>
      <c r="D151"/>
    </row>
    <row r="152" spans="3:4" x14ac:dyDescent="0.35">
      <c r="C152"/>
      <c r="D152"/>
    </row>
    <row r="153" spans="3:4" x14ac:dyDescent="0.35">
      <c r="C153"/>
      <c r="D153"/>
    </row>
    <row r="154" spans="3:4" x14ac:dyDescent="0.35">
      <c r="C154"/>
      <c r="D154"/>
    </row>
    <row r="155" spans="3:4" x14ac:dyDescent="0.35">
      <c r="C155"/>
      <c r="D155"/>
    </row>
    <row r="156" spans="3:4" x14ac:dyDescent="0.35">
      <c r="C156"/>
      <c r="D156"/>
    </row>
    <row r="157" spans="3:4" x14ac:dyDescent="0.35">
      <c r="C157"/>
      <c r="D157"/>
    </row>
    <row r="158" spans="3:4" x14ac:dyDescent="0.35">
      <c r="C158"/>
      <c r="D158"/>
    </row>
    <row r="159" spans="3:4" x14ac:dyDescent="0.35">
      <c r="C159"/>
      <c r="D159"/>
    </row>
    <row r="160" spans="3:4" x14ac:dyDescent="0.35">
      <c r="C160"/>
      <c r="D160"/>
    </row>
    <row r="161" spans="3:4" x14ac:dyDescent="0.35">
      <c r="C161"/>
      <c r="D161"/>
    </row>
    <row r="162" spans="3:4" x14ac:dyDescent="0.35">
      <c r="C162"/>
      <c r="D162"/>
    </row>
    <row r="163" spans="3:4" x14ac:dyDescent="0.35">
      <c r="C163"/>
      <c r="D163"/>
    </row>
    <row r="164" spans="3:4" x14ac:dyDescent="0.35">
      <c r="C164"/>
      <c r="D164"/>
    </row>
    <row r="165" spans="3:4" x14ac:dyDescent="0.35">
      <c r="C165"/>
      <c r="D165"/>
    </row>
    <row r="166" spans="3:4" x14ac:dyDescent="0.35">
      <c r="C166"/>
      <c r="D166"/>
    </row>
    <row r="167" spans="3:4" x14ac:dyDescent="0.35">
      <c r="C167"/>
      <c r="D167"/>
    </row>
    <row r="168" spans="3:4" x14ac:dyDescent="0.35">
      <c r="C168"/>
      <c r="D168"/>
    </row>
    <row r="169" spans="3:4" x14ac:dyDescent="0.35">
      <c r="C169"/>
      <c r="D169"/>
    </row>
    <row r="170" spans="3:4" x14ac:dyDescent="0.35">
      <c r="C170"/>
      <c r="D170"/>
    </row>
    <row r="171" spans="3:4" x14ac:dyDescent="0.35">
      <c r="C171"/>
      <c r="D171"/>
    </row>
    <row r="172" spans="3:4" x14ac:dyDescent="0.35">
      <c r="C172"/>
      <c r="D172"/>
    </row>
    <row r="173" spans="3:4" x14ac:dyDescent="0.35">
      <c r="C173"/>
      <c r="D173"/>
    </row>
    <row r="174" spans="3:4" x14ac:dyDescent="0.35">
      <c r="C174"/>
      <c r="D174"/>
    </row>
    <row r="175" spans="3:4" x14ac:dyDescent="0.35">
      <c r="C175"/>
      <c r="D175"/>
    </row>
    <row r="176" spans="3:4" x14ac:dyDescent="0.35">
      <c r="C176"/>
      <c r="D176"/>
    </row>
    <row r="177" spans="3:4" x14ac:dyDescent="0.35">
      <c r="C177"/>
      <c r="D177"/>
    </row>
    <row r="178" spans="3:4" x14ac:dyDescent="0.35">
      <c r="C178"/>
      <c r="D178"/>
    </row>
    <row r="179" spans="3:4" x14ac:dyDescent="0.35">
      <c r="C179"/>
      <c r="D179"/>
    </row>
    <row r="180" spans="3:4" x14ac:dyDescent="0.35">
      <c r="C180"/>
      <c r="D180"/>
    </row>
    <row r="181" spans="3:4" x14ac:dyDescent="0.35">
      <c r="C181"/>
      <c r="D181"/>
    </row>
    <row r="182" spans="3:4" x14ac:dyDescent="0.35">
      <c r="C182"/>
      <c r="D182"/>
    </row>
    <row r="183" spans="3:4" x14ac:dyDescent="0.35">
      <c r="C183"/>
      <c r="D183"/>
    </row>
    <row r="184" spans="3:4" x14ac:dyDescent="0.35">
      <c r="C184"/>
      <c r="D184"/>
    </row>
    <row r="185" spans="3:4" x14ac:dyDescent="0.35">
      <c r="C185"/>
      <c r="D185"/>
    </row>
    <row r="186" spans="3:4" x14ac:dyDescent="0.35">
      <c r="C186"/>
      <c r="D186"/>
    </row>
    <row r="187" spans="3:4" x14ac:dyDescent="0.35">
      <c r="C187"/>
      <c r="D187"/>
    </row>
    <row r="188" spans="3:4" x14ac:dyDescent="0.35">
      <c r="C188"/>
      <c r="D188"/>
    </row>
    <row r="189" spans="3:4" x14ac:dyDescent="0.35">
      <c r="C189"/>
      <c r="D189"/>
    </row>
    <row r="190" spans="3:4" x14ac:dyDescent="0.35">
      <c r="C190"/>
      <c r="D190"/>
    </row>
    <row r="191" spans="3:4" x14ac:dyDescent="0.35">
      <c r="C191"/>
      <c r="D191"/>
    </row>
    <row r="192" spans="3:4" x14ac:dyDescent="0.35">
      <c r="C192"/>
      <c r="D192"/>
    </row>
    <row r="193" spans="3:4" x14ac:dyDescent="0.35">
      <c r="C193"/>
      <c r="D193"/>
    </row>
    <row r="194" spans="3:4" x14ac:dyDescent="0.35">
      <c r="C194"/>
      <c r="D194"/>
    </row>
    <row r="195" spans="3:4" x14ac:dyDescent="0.35">
      <c r="C195"/>
      <c r="D195"/>
    </row>
    <row r="196" spans="3:4" x14ac:dyDescent="0.35">
      <c r="C196"/>
      <c r="D196"/>
    </row>
    <row r="197" spans="3:4" x14ac:dyDescent="0.35">
      <c r="C197"/>
      <c r="D197"/>
    </row>
    <row r="198" spans="3:4" x14ac:dyDescent="0.35">
      <c r="C198"/>
      <c r="D198"/>
    </row>
    <row r="199" spans="3:4" x14ac:dyDescent="0.35">
      <c r="C199"/>
      <c r="D199"/>
    </row>
    <row r="200" spans="3:4" x14ac:dyDescent="0.35">
      <c r="C200"/>
      <c r="D200"/>
    </row>
    <row r="201" spans="3:4" x14ac:dyDescent="0.35">
      <c r="C201"/>
      <c r="D201"/>
    </row>
    <row r="202" spans="3:4" x14ac:dyDescent="0.35">
      <c r="C202"/>
      <c r="D202"/>
    </row>
    <row r="203" spans="3:4" x14ac:dyDescent="0.35">
      <c r="C203"/>
      <c r="D203"/>
    </row>
    <row r="204" spans="3:4" x14ac:dyDescent="0.35">
      <c r="C204"/>
      <c r="D204"/>
    </row>
    <row r="205" spans="3:4" x14ac:dyDescent="0.35">
      <c r="C205"/>
      <c r="D205"/>
    </row>
    <row r="206" spans="3:4" x14ac:dyDescent="0.35">
      <c r="C206"/>
      <c r="D206"/>
    </row>
    <row r="207" spans="3:4" x14ac:dyDescent="0.35">
      <c r="C207"/>
      <c r="D207"/>
    </row>
    <row r="208" spans="3:4" x14ac:dyDescent="0.35">
      <c r="C208"/>
      <c r="D208"/>
    </row>
    <row r="209" spans="3:4" x14ac:dyDescent="0.35">
      <c r="C209"/>
      <c r="D209"/>
    </row>
    <row r="210" spans="3:4" x14ac:dyDescent="0.35">
      <c r="C210"/>
      <c r="D210"/>
    </row>
    <row r="211" spans="3:4" x14ac:dyDescent="0.35">
      <c r="C211"/>
      <c r="D211"/>
    </row>
    <row r="212" spans="3:4" x14ac:dyDescent="0.35">
      <c r="C212"/>
      <c r="D212"/>
    </row>
    <row r="213" spans="3:4" x14ac:dyDescent="0.35">
      <c r="C213"/>
      <c r="D213"/>
    </row>
    <row r="214" spans="3:4" x14ac:dyDescent="0.35">
      <c r="C214"/>
      <c r="D214"/>
    </row>
    <row r="215" spans="3:4" x14ac:dyDescent="0.35">
      <c r="C215"/>
      <c r="D215"/>
    </row>
    <row r="216" spans="3:4" x14ac:dyDescent="0.35">
      <c r="C216"/>
      <c r="D216"/>
    </row>
    <row r="217" spans="3:4" x14ac:dyDescent="0.35">
      <c r="C217"/>
      <c r="D217"/>
    </row>
    <row r="218" spans="3:4" x14ac:dyDescent="0.35">
      <c r="C218"/>
      <c r="D218"/>
    </row>
    <row r="219" spans="3:4" x14ac:dyDescent="0.35">
      <c r="C219"/>
      <c r="D219"/>
    </row>
    <row r="220" spans="3:4" x14ac:dyDescent="0.35">
      <c r="C220"/>
      <c r="D220"/>
    </row>
    <row r="221" spans="3:4" x14ac:dyDescent="0.35">
      <c r="C221"/>
      <c r="D221"/>
    </row>
  </sheetData>
  <mergeCells count="23">
    <mergeCell ref="O20:P20"/>
    <mergeCell ref="Q20:R20"/>
    <mergeCell ref="S20:T20"/>
    <mergeCell ref="E20:F20"/>
    <mergeCell ref="G20:H20"/>
    <mergeCell ref="I20:J20"/>
    <mergeCell ref="K20:L20"/>
    <mergeCell ref="M20:N20"/>
    <mergeCell ref="AC19:AF19"/>
    <mergeCell ref="E19:H19"/>
    <mergeCell ref="I19:L19"/>
    <mergeCell ref="M19:P19"/>
    <mergeCell ref="Q19:T19"/>
    <mergeCell ref="U19:X19"/>
    <mergeCell ref="Y19:AB19"/>
    <mergeCell ref="U20:V20"/>
    <mergeCell ref="AI20:AJ20"/>
    <mergeCell ref="AK20:AL20"/>
    <mergeCell ref="Y20:Z20"/>
    <mergeCell ref="AA20:AB20"/>
    <mergeCell ref="AC20:AD20"/>
    <mergeCell ref="AE20:AF20"/>
    <mergeCell ref="W20:X20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W221"/>
  <sheetViews>
    <sheetView zoomScale="80" zoomScaleNormal="80" workbookViewId="0">
      <selection activeCell="H2" sqref="H2"/>
    </sheetView>
  </sheetViews>
  <sheetFormatPr defaultColWidth="8.90625" defaultRowHeight="14.5" x14ac:dyDescent="0.35"/>
  <cols>
    <col min="1" max="1" width="6.08984375" customWidth="1"/>
    <col min="2" max="2" width="9.6328125" customWidth="1"/>
    <col min="3" max="4" width="6.81640625" style="1" customWidth="1"/>
    <col min="5" max="5" width="3.90625" customWidth="1"/>
    <col min="6" max="6" width="5.1796875" customWidth="1"/>
    <col min="7" max="7" width="3.90625" customWidth="1"/>
    <col min="8" max="9" width="5.1796875" customWidth="1"/>
    <col min="10" max="10" width="3.90625" customWidth="1"/>
    <col min="11" max="11" width="5.1796875" customWidth="1"/>
    <col min="12" max="12" width="3.90625" customWidth="1"/>
    <col min="13" max="14" width="5.1796875" customWidth="1"/>
    <col min="15" max="15" width="3.90625" customWidth="1"/>
    <col min="16" max="16" width="5.1796875" customWidth="1"/>
    <col min="17" max="17" width="3.90625" customWidth="1"/>
    <col min="18" max="19" width="5.1796875" customWidth="1"/>
    <col min="20" max="20" width="3.90625" customWidth="1"/>
    <col min="21" max="21" width="5.1796875" customWidth="1"/>
    <col min="22" max="22" width="3.90625" customWidth="1"/>
    <col min="23" max="24" width="5.1796875" customWidth="1"/>
    <col min="25" max="25" width="3.90625" customWidth="1"/>
    <col min="26" max="26" width="5.1796875" customWidth="1"/>
    <col min="27" max="27" width="3.90625" customWidth="1"/>
    <col min="28" max="29" width="5.1796875" customWidth="1"/>
    <col min="30" max="30" width="3.90625" customWidth="1"/>
    <col min="31" max="31" width="5.1796875" customWidth="1"/>
    <col min="32" max="32" width="3.90625" customWidth="1"/>
    <col min="33" max="34" width="5.1796875" customWidth="1"/>
    <col min="35" max="35" width="3.90625" customWidth="1"/>
    <col min="36" max="36" width="5.1796875" customWidth="1"/>
    <col min="37" max="37" width="3.90625" customWidth="1"/>
    <col min="38" max="38" width="5.1796875" customWidth="1"/>
    <col min="40" max="40" width="3.54296875" customWidth="1"/>
    <col min="45" max="45" width="11.6328125" customWidth="1"/>
    <col min="48" max="48" width="13.36328125" bestFit="1" customWidth="1"/>
    <col min="49" max="50" width="20.1796875" bestFit="1" customWidth="1"/>
  </cols>
  <sheetData>
    <row r="1" spans="3:39" x14ac:dyDescent="0.35">
      <c r="C1" s="61" t="s">
        <v>186</v>
      </c>
      <c r="D1" s="61"/>
      <c r="F1" s="61" t="s">
        <v>74</v>
      </c>
      <c r="G1" s="61"/>
      <c r="H1" s="61" t="s">
        <v>75</v>
      </c>
      <c r="I1" s="61"/>
      <c r="J1" s="61" t="s">
        <v>162</v>
      </c>
      <c r="K1" s="61" t="s">
        <v>76</v>
      </c>
      <c r="M1" s="61" t="s">
        <v>77</v>
      </c>
      <c r="N1" s="61"/>
      <c r="O1" s="61" t="s">
        <v>162</v>
      </c>
      <c r="P1" s="61" t="s">
        <v>78</v>
      </c>
      <c r="R1" s="61" t="s">
        <v>79</v>
      </c>
      <c r="S1" s="61"/>
      <c r="T1" s="61" t="s">
        <v>162</v>
      </c>
      <c r="U1" s="61" t="s">
        <v>80</v>
      </c>
      <c r="W1" s="61" t="s">
        <v>81</v>
      </c>
      <c r="X1" s="61"/>
      <c r="Y1" s="61" t="s">
        <v>162</v>
      </c>
      <c r="Z1" s="61" t="s">
        <v>82</v>
      </c>
      <c r="AB1" s="61" t="s">
        <v>83</v>
      </c>
      <c r="AC1" s="61"/>
      <c r="AD1" s="61" t="s">
        <v>162</v>
      </c>
      <c r="AE1" s="61" t="s">
        <v>84</v>
      </c>
      <c r="AG1" s="61" t="s">
        <v>85</v>
      </c>
      <c r="AH1" s="61"/>
      <c r="AI1" s="61" t="s">
        <v>162</v>
      </c>
      <c r="AJ1" s="61" t="s">
        <v>86</v>
      </c>
      <c r="AL1" s="61" t="s">
        <v>87</v>
      </c>
      <c r="AM1" s="61" t="s">
        <v>162</v>
      </c>
    </row>
    <row r="2" spans="3:39" x14ac:dyDescent="0.35">
      <c r="C2" s="61">
        <v>1</v>
      </c>
      <c r="D2" s="61"/>
      <c r="F2">
        <v>1405</v>
      </c>
      <c r="H2">
        <v>670</v>
      </c>
      <c r="J2">
        <f>(F2-H2)/F2</f>
        <v>0.52313167259786475</v>
      </c>
      <c r="K2">
        <v>1690</v>
      </c>
      <c r="M2">
        <v>1280</v>
      </c>
      <c r="O2">
        <f>(K2-M2)/K2</f>
        <v>0.24260355029585798</v>
      </c>
      <c r="P2">
        <v>1815</v>
      </c>
      <c r="R2">
        <v>1240</v>
      </c>
      <c r="T2">
        <f>(P2-R2)/P2</f>
        <v>0.3168044077134986</v>
      </c>
      <c r="U2">
        <v>1670</v>
      </c>
      <c r="W2">
        <v>1105</v>
      </c>
      <c r="Y2">
        <f>(U2-W2)/U2</f>
        <v>0.33832335329341318</v>
      </c>
      <c r="Z2">
        <v>1710</v>
      </c>
      <c r="AB2">
        <v>1195</v>
      </c>
      <c r="AD2">
        <f>(Z2-AB2)/Z2</f>
        <v>0.30116959064327486</v>
      </c>
      <c r="AE2">
        <v>1780</v>
      </c>
      <c r="AG2">
        <v>1370</v>
      </c>
      <c r="AI2">
        <f>(AE2-AG2)/AE2</f>
        <v>0.2303370786516854</v>
      </c>
      <c r="AJ2">
        <v>1480</v>
      </c>
      <c r="AL2">
        <v>1380</v>
      </c>
      <c r="AM2">
        <f>(AJ2-AL2)/AJ2</f>
        <v>6.7567567567567571E-2</v>
      </c>
    </row>
    <row r="3" spans="3:39" x14ac:dyDescent="0.35">
      <c r="C3" s="61">
        <v>2</v>
      </c>
      <c r="D3" s="61"/>
      <c r="F3">
        <v>1840</v>
      </c>
      <c r="H3">
        <v>1210</v>
      </c>
      <c r="J3">
        <f t="shared" ref="J3:J12" si="0">(F3-H3)/F3</f>
        <v>0.34239130434782611</v>
      </c>
      <c r="K3">
        <v>1790</v>
      </c>
      <c r="M3">
        <v>1330</v>
      </c>
      <c r="O3">
        <f t="shared" ref="O3:O12" si="1">(K3-M3)/K3</f>
        <v>0.25698324022346369</v>
      </c>
      <c r="P3">
        <v>1780</v>
      </c>
      <c r="R3">
        <v>1350</v>
      </c>
      <c r="T3">
        <f t="shared" ref="T3:T12" si="2">(P3-R3)/P3</f>
        <v>0.24157303370786518</v>
      </c>
      <c r="U3">
        <v>1840</v>
      </c>
      <c r="W3">
        <v>1325</v>
      </c>
      <c r="Y3">
        <f t="shared" ref="Y3:Y12" si="3">(U3-W3)/U3</f>
        <v>0.27989130434782611</v>
      </c>
      <c r="Z3">
        <v>1635</v>
      </c>
      <c r="AB3">
        <v>1340</v>
      </c>
      <c r="AD3">
        <f t="shared" ref="AD3:AD12" si="4">(Z3-AB3)/Z3</f>
        <v>0.18042813455657492</v>
      </c>
      <c r="AE3">
        <v>1605</v>
      </c>
      <c r="AG3">
        <v>1560</v>
      </c>
      <c r="AI3">
        <f t="shared" ref="AI3:AI11" si="5">(AE3-AG3)/AE3</f>
        <v>2.8037383177570093E-2</v>
      </c>
      <c r="AJ3">
        <v>1680</v>
      </c>
      <c r="AL3">
        <v>1450</v>
      </c>
      <c r="AM3">
        <f t="shared" ref="AM3:AM12" si="6">(AJ3-AL3)/AJ3</f>
        <v>0.13690476190476192</v>
      </c>
    </row>
    <row r="4" spans="3:39" x14ac:dyDescent="0.35">
      <c r="C4" s="61">
        <v>3</v>
      </c>
      <c r="D4" s="61"/>
      <c r="F4">
        <v>1830</v>
      </c>
      <c r="H4">
        <v>1100</v>
      </c>
      <c r="J4">
        <f t="shared" si="0"/>
        <v>0.39890710382513661</v>
      </c>
      <c r="K4">
        <v>2070</v>
      </c>
      <c r="M4">
        <v>1235</v>
      </c>
      <c r="O4">
        <f t="shared" si="1"/>
        <v>0.40338164251207731</v>
      </c>
      <c r="P4">
        <v>1935</v>
      </c>
      <c r="R4">
        <v>1350</v>
      </c>
      <c r="T4">
        <f t="shared" si="2"/>
        <v>0.30232558139534882</v>
      </c>
      <c r="U4">
        <v>1930</v>
      </c>
      <c r="W4">
        <v>1205</v>
      </c>
      <c r="Y4">
        <f t="shared" si="3"/>
        <v>0.37564766839378239</v>
      </c>
      <c r="Z4">
        <v>1950</v>
      </c>
      <c r="AB4">
        <v>1580</v>
      </c>
      <c r="AD4">
        <f t="shared" si="4"/>
        <v>0.18974358974358974</v>
      </c>
      <c r="AE4">
        <v>1870</v>
      </c>
      <c r="AG4">
        <v>1545</v>
      </c>
      <c r="AI4">
        <f t="shared" si="5"/>
        <v>0.17379679144385027</v>
      </c>
      <c r="AJ4">
        <v>1770</v>
      </c>
      <c r="AL4">
        <v>1530</v>
      </c>
      <c r="AM4">
        <f t="shared" si="6"/>
        <v>0.13559322033898305</v>
      </c>
    </row>
    <row r="5" spans="3:39" x14ac:dyDescent="0.35">
      <c r="C5" s="61">
        <v>4</v>
      </c>
      <c r="D5" s="61"/>
      <c r="F5">
        <v>2180</v>
      </c>
      <c r="H5">
        <v>960</v>
      </c>
      <c r="J5">
        <f t="shared" si="0"/>
        <v>0.55963302752293576</v>
      </c>
      <c r="K5">
        <v>1875</v>
      </c>
      <c r="M5">
        <v>1130</v>
      </c>
      <c r="O5">
        <f t="shared" si="1"/>
        <v>0.39733333333333332</v>
      </c>
      <c r="P5">
        <v>1525</v>
      </c>
      <c r="R5">
        <v>975</v>
      </c>
      <c r="T5">
        <f t="shared" si="2"/>
        <v>0.36065573770491804</v>
      </c>
      <c r="U5">
        <v>1740</v>
      </c>
      <c r="W5">
        <v>1365</v>
      </c>
      <c r="Y5">
        <f t="shared" si="3"/>
        <v>0.21551724137931033</v>
      </c>
      <c r="Z5">
        <v>1935</v>
      </c>
      <c r="AB5">
        <v>1440</v>
      </c>
      <c r="AD5">
        <f t="shared" si="4"/>
        <v>0.2558139534883721</v>
      </c>
      <c r="AE5">
        <v>2020</v>
      </c>
      <c r="AG5">
        <v>1805</v>
      </c>
      <c r="AI5">
        <f t="shared" si="5"/>
        <v>0.10643564356435643</v>
      </c>
      <c r="AJ5">
        <v>1440</v>
      </c>
      <c r="AL5">
        <v>1510</v>
      </c>
      <c r="AM5">
        <f t="shared" si="6"/>
        <v>-4.8611111111111112E-2</v>
      </c>
    </row>
    <row r="6" spans="3:39" x14ac:dyDescent="0.35">
      <c r="C6" s="61">
        <v>5</v>
      </c>
      <c r="D6" s="61"/>
      <c r="F6">
        <v>1800</v>
      </c>
      <c r="H6">
        <v>840</v>
      </c>
      <c r="J6">
        <f t="shared" si="0"/>
        <v>0.53333333333333333</v>
      </c>
      <c r="K6">
        <v>1775</v>
      </c>
      <c r="M6">
        <v>1245</v>
      </c>
      <c r="O6">
        <f t="shared" si="1"/>
        <v>0.29859154929577464</v>
      </c>
      <c r="P6">
        <v>1770</v>
      </c>
      <c r="R6">
        <v>1275</v>
      </c>
      <c r="T6">
        <f t="shared" si="2"/>
        <v>0.27966101694915252</v>
      </c>
      <c r="U6">
        <v>1875</v>
      </c>
      <c r="W6">
        <v>1410</v>
      </c>
      <c r="Y6">
        <f t="shared" si="3"/>
        <v>0.248</v>
      </c>
      <c r="Z6">
        <v>1830</v>
      </c>
      <c r="AB6">
        <v>1500</v>
      </c>
      <c r="AD6">
        <f t="shared" si="4"/>
        <v>0.18032786885245902</v>
      </c>
      <c r="AE6">
        <v>2090</v>
      </c>
      <c r="AG6">
        <v>1785</v>
      </c>
      <c r="AI6">
        <f t="shared" si="5"/>
        <v>0.145933014354067</v>
      </c>
      <c r="AJ6">
        <v>1650</v>
      </c>
      <c r="AL6">
        <v>1760</v>
      </c>
      <c r="AM6">
        <f t="shared" si="6"/>
        <v>-6.6666666666666666E-2</v>
      </c>
    </row>
    <row r="7" spans="3:39" x14ac:dyDescent="0.35">
      <c r="C7" s="61">
        <v>6</v>
      </c>
      <c r="D7" s="61"/>
      <c r="F7">
        <v>1815</v>
      </c>
      <c r="H7">
        <v>1345</v>
      </c>
      <c r="J7">
        <f t="shared" si="0"/>
        <v>0.25895316804407714</v>
      </c>
      <c r="K7">
        <v>1765</v>
      </c>
      <c r="M7">
        <v>1170</v>
      </c>
      <c r="O7">
        <f t="shared" si="1"/>
        <v>0.33711048158640228</v>
      </c>
      <c r="P7">
        <v>1815</v>
      </c>
      <c r="R7">
        <v>1335</v>
      </c>
      <c r="T7">
        <f t="shared" si="2"/>
        <v>0.26446280991735538</v>
      </c>
      <c r="U7">
        <v>1710</v>
      </c>
      <c r="W7">
        <v>1215</v>
      </c>
      <c r="Y7">
        <f t="shared" si="3"/>
        <v>0.28947368421052633</v>
      </c>
      <c r="Z7">
        <v>2130</v>
      </c>
      <c r="AB7">
        <v>1485</v>
      </c>
      <c r="AD7">
        <f t="shared" si="4"/>
        <v>0.30281690140845069</v>
      </c>
      <c r="AE7">
        <v>1740</v>
      </c>
      <c r="AG7">
        <v>1585</v>
      </c>
      <c r="AI7">
        <f t="shared" si="5"/>
        <v>8.9080459770114945E-2</v>
      </c>
      <c r="AJ7">
        <v>1890</v>
      </c>
      <c r="AL7">
        <v>1785</v>
      </c>
      <c r="AM7">
        <f t="shared" si="6"/>
        <v>5.5555555555555552E-2</v>
      </c>
    </row>
    <row r="8" spans="3:39" x14ac:dyDescent="0.35">
      <c r="C8" s="61">
        <v>7</v>
      </c>
      <c r="D8" s="61"/>
      <c r="F8">
        <v>2040</v>
      </c>
      <c r="H8">
        <v>1110</v>
      </c>
      <c r="J8">
        <f t="shared" si="0"/>
        <v>0.45588235294117646</v>
      </c>
      <c r="K8">
        <v>1680</v>
      </c>
      <c r="M8">
        <v>1125</v>
      </c>
      <c r="O8">
        <f t="shared" si="1"/>
        <v>0.33035714285714285</v>
      </c>
      <c r="P8">
        <v>1635</v>
      </c>
      <c r="R8">
        <v>1220</v>
      </c>
      <c r="T8">
        <f t="shared" si="2"/>
        <v>0.25382262996941896</v>
      </c>
      <c r="U8">
        <v>1905</v>
      </c>
      <c r="W8">
        <v>1325</v>
      </c>
      <c r="Y8">
        <f t="shared" si="3"/>
        <v>0.30446194225721784</v>
      </c>
      <c r="Z8">
        <v>1890</v>
      </c>
      <c r="AB8">
        <v>1440</v>
      </c>
      <c r="AD8">
        <f t="shared" si="4"/>
        <v>0.23809523809523808</v>
      </c>
      <c r="AE8">
        <v>1710</v>
      </c>
      <c r="AG8">
        <v>1350</v>
      </c>
      <c r="AI8">
        <f t="shared" si="5"/>
        <v>0.21052631578947367</v>
      </c>
      <c r="AJ8">
        <v>1815</v>
      </c>
      <c r="AL8">
        <v>1745</v>
      </c>
      <c r="AM8">
        <f t="shared" si="6"/>
        <v>3.8567493112947659E-2</v>
      </c>
    </row>
    <row r="9" spans="3:39" x14ac:dyDescent="0.35">
      <c r="C9" s="61">
        <v>8</v>
      </c>
      <c r="D9" s="61"/>
      <c r="F9">
        <v>1725</v>
      </c>
      <c r="H9">
        <v>865</v>
      </c>
      <c r="J9">
        <f t="shared" si="0"/>
        <v>0.49855072463768119</v>
      </c>
      <c r="K9">
        <v>1905</v>
      </c>
      <c r="M9">
        <v>1250</v>
      </c>
      <c r="O9">
        <f t="shared" si="1"/>
        <v>0.34383202099737531</v>
      </c>
      <c r="P9">
        <v>1845</v>
      </c>
      <c r="R9">
        <v>1380</v>
      </c>
      <c r="T9">
        <f t="shared" si="2"/>
        <v>0.25203252032520324</v>
      </c>
      <c r="U9">
        <v>2095</v>
      </c>
      <c r="W9">
        <v>1235</v>
      </c>
      <c r="Y9">
        <f t="shared" si="3"/>
        <v>0.41050119331742241</v>
      </c>
      <c r="Z9">
        <v>2085</v>
      </c>
      <c r="AB9">
        <v>1460</v>
      </c>
      <c r="AD9">
        <f t="shared" si="4"/>
        <v>0.29976019184652281</v>
      </c>
      <c r="AE9">
        <v>2025</v>
      </c>
      <c r="AG9">
        <v>1665</v>
      </c>
      <c r="AI9">
        <f t="shared" si="5"/>
        <v>0.17777777777777778</v>
      </c>
      <c r="AJ9">
        <v>1910</v>
      </c>
      <c r="AL9">
        <v>1505</v>
      </c>
      <c r="AM9">
        <f t="shared" si="6"/>
        <v>0.21204188481675393</v>
      </c>
    </row>
    <row r="10" spans="3:39" x14ac:dyDescent="0.35">
      <c r="C10" s="61">
        <v>9</v>
      </c>
      <c r="D10" s="61"/>
      <c r="F10">
        <v>1935</v>
      </c>
      <c r="H10">
        <v>1320</v>
      </c>
      <c r="J10">
        <f t="shared" si="0"/>
        <v>0.31782945736434109</v>
      </c>
      <c r="K10">
        <v>1805</v>
      </c>
      <c r="M10">
        <v>1155</v>
      </c>
      <c r="O10">
        <f t="shared" si="1"/>
        <v>0.36011080332409973</v>
      </c>
      <c r="P10">
        <v>1950</v>
      </c>
      <c r="R10">
        <v>1585</v>
      </c>
      <c r="T10">
        <f t="shared" si="2"/>
        <v>0.18717948717948718</v>
      </c>
      <c r="U10">
        <v>1860</v>
      </c>
      <c r="W10">
        <v>1290</v>
      </c>
      <c r="Y10">
        <f t="shared" si="3"/>
        <v>0.30645161290322581</v>
      </c>
      <c r="Z10">
        <v>1740</v>
      </c>
      <c r="AB10">
        <v>1335</v>
      </c>
      <c r="AD10">
        <f t="shared" si="4"/>
        <v>0.23275862068965517</v>
      </c>
      <c r="AE10">
        <v>2100</v>
      </c>
      <c r="AG10">
        <v>1415</v>
      </c>
      <c r="AI10">
        <f t="shared" si="5"/>
        <v>0.3261904761904762</v>
      </c>
      <c r="AJ10">
        <v>1490</v>
      </c>
      <c r="AL10">
        <v>1260</v>
      </c>
      <c r="AM10">
        <f t="shared" si="6"/>
        <v>0.15436241610738255</v>
      </c>
    </row>
    <row r="11" spans="3:39" x14ac:dyDescent="0.35">
      <c r="C11" s="61">
        <v>10</v>
      </c>
      <c r="D11" s="61"/>
      <c r="F11">
        <v>1830</v>
      </c>
      <c r="H11">
        <v>1235</v>
      </c>
      <c r="J11">
        <f t="shared" si="0"/>
        <v>0.3251366120218579</v>
      </c>
      <c r="K11">
        <v>2065</v>
      </c>
      <c r="M11">
        <v>1325</v>
      </c>
      <c r="O11">
        <f t="shared" si="1"/>
        <v>0.3583535108958838</v>
      </c>
      <c r="U11">
        <v>1980</v>
      </c>
      <c r="W11">
        <v>1275</v>
      </c>
      <c r="Y11">
        <f t="shared" si="3"/>
        <v>0.35606060606060608</v>
      </c>
      <c r="Z11">
        <v>1695</v>
      </c>
      <c r="AB11">
        <v>1375</v>
      </c>
      <c r="AD11">
        <f t="shared" si="4"/>
        <v>0.1887905604719764</v>
      </c>
      <c r="AE11">
        <v>1890</v>
      </c>
      <c r="AG11">
        <v>1275</v>
      </c>
      <c r="AI11">
        <f t="shared" si="5"/>
        <v>0.32539682539682541</v>
      </c>
      <c r="AJ11">
        <v>1710</v>
      </c>
      <c r="AL11">
        <v>1395</v>
      </c>
      <c r="AM11">
        <f t="shared" si="6"/>
        <v>0.18421052631578946</v>
      </c>
    </row>
    <row r="12" spans="3:39" x14ac:dyDescent="0.35">
      <c r="C12" t="s">
        <v>60</v>
      </c>
      <c r="D12"/>
      <c r="F12">
        <f>AVERAGE(F2:F11)</f>
        <v>1840</v>
      </c>
      <c r="H12">
        <f>AVERAGE(H2:H11)</f>
        <v>1065.5</v>
      </c>
      <c r="J12">
        <f t="shared" si="0"/>
        <v>0.42092391304347826</v>
      </c>
      <c r="K12">
        <f>AVERAGE(K2:K11)</f>
        <v>1842</v>
      </c>
      <c r="M12">
        <f>AVERAGE(M2:M11)</f>
        <v>1224.5</v>
      </c>
      <c r="O12">
        <f t="shared" si="1"/>
        <v>0.33523344191096632</v>
      </c>
      <c r="P12">
        <f>AVERAGE(P2:P11)</f>
        <v>1785.5555555555557</v>
      </c>
      <c r="R12">
        <f>AVERAGE(R2:R11)</f>
        <v>1301.1111111111111</v>
      </c>
      <c r="T12">
        <f t="shared" si="2"/>
        <v>0.27131300560049787</v>
      </c>
      <c r="U12">
        <f>AVERAGE(U2:U11)</f>
        <v>1860.5</v>
      </c>
      <c r="W12">
        <f>AVERAGE(W2:W11)</f>
        <v>1275</v>
      </c>
      <c r="Y12">
        <f t="shared" si="3"/>
        <v>0.31470034936844932</v>
      </c>
      <c r="Z12">
        <f>AVERAGE(Z2:Z11)</f>
        <v>1860</v>
      </c>
      <c r="AB12">
        <f>AVERAGE(AB2:AB11)</f>
        <v>1415</v>
      </c>
      <c r="AD12">
        <f t="shared" si="4"/>
        <v>0.239247311827957</v>
      </c>
      <c r="AE12">
        <f>AVERAGE(AE2:AE11)</f>
        <v>1883</v>
      </c>
      <c r="AG12">
        <f>AVERAGE(AG2:AG11)</f>
        <v>1535.5</v>
      </c>
      <c r="AI12">
        <f>(AE12-AG12)/AE12</f>
        <v>0.18454593733404143</v>
      </c>
      <c r="AJ12">
        <f>AVERAGE(AJ2:AJ11)</f>
        <v>1683.5</v>
      </c>
      <c r="AL12">
        <f>AVERAGE(AL2:AL11)</f>
        <v>1532</v>
      </c>
      <c r="AM12">
        <f t="shared" si="6"/>
        <v>8.9991089991089984E-2</v>
      </c>
    </row>
    <row r="13" spans="3:39" x14ac:dyDescent="0.35">
      <c r="C13" t="s">
        <v>22</v>
      </c>
      <c r="D13"/>
      <c r="F13">
        <f>((F12-H12)/F12)*100</f>
        <v>42.092391304347828</v>
      </c>
      <c r="K13">
        <f>((K12-M12)/K12)*100</f>
        <v>33.523344191096633</v>
      </c>
      <c r="P13">
        <f>((P12-R12)/P12)*100</f>
        <v>27.131300560049787</v>
      </c>
      <c r="U13">
        <f>((U12-W12)/U12)*100</f>
        <v>31.470034936844932</v>
      </c>
      <c r="Z13">
        <f>((Z12-AB12)/Z12)*100</f>
        <v>23.9247311827957</v>
      </c>
      <c r="AE13">
        <f>((AE12-AG12)/AE12)*100</f>
        <v>18.454593733404142</v>
      </c>
      <c r="AJ13">
        <f>((AJ12-AL12)/AJ12)*100</f>
        <v>8.9991089991089979</v>
      </c>
    </row>
    <row r="14" spans="3:39" x14ac:dyDescent="0.35">
      <c r="C14"/>
      <c r="D14"/>
    </row>
    <row r="16" spans="3:39" x14ac:dyDescent="0.35">
      <c r="C16" s="262"/>
      <c r="D16" s="262"/>
    </row>
    <row r="17" spans="1:49" x14ac:dyDescent="0.35">
      <c r="C17" s="262"/>
      <c r="D17" s="262"/>
    </row>
    <row r="18" spans="1:49" ht="15" thickBot="1" x14ac:dyDescent="0.4">
      <c r="A18" s="74"/>
      <c r="B18" s="74"/>
      <c r="C18" s="284"/>
      <c r="D18" s="284"/>
      <c r="E18" s="284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</row>
    <row r="19" spans="1:49" x14ac:dyDescent="0.35">
      <c r="A19" s="286"/>
      <c r="B19" s="287"/>
      <c r="C19" s="288"/>
      <c r="D19" s="288"/>
      <c r="E19" s="365" t="s">
        <v>133</v>
      </c>
      <c r="F19" s="366"/>
      <c r="G19" s="366"/>
      <c r="H19" s="368"/>
      <c r="I19" s="294"/>
      <c r="J19" s="365" t="s">
        <v>43</v>
      </c>
      <c r="K19" s="366"/>
      <c r="L19" s="366"/>
      <c r="M19" s="368"/>
      <c r="N19" s="294"/>
      <c r="O19" s="365" t="s">
        <v>44</v>
      </c>
      <c r="P19" s="366"/>
      <c r="Q19" s="366"/>
      <c r="R19" s="368"/>
      <c r="S19" s="294"/>
      <c r="T19" s="365" t="s">
        <v>45</v>
      </c>
      <c r="U19" s="366"/>
      <c r="V19" s="366"/>
      <c r="W19" s="368"/>
      <c r="X19" s="294"/>
      <c r="Y19" s="365" t="s">
        <v>46</v>
      </c>
      <c r="Z19" s="366"/>
      <c r="AA19" s="366"/>
      <c r="AB19" s="368"/>
      <c r="AC19" s="294"/>
      <c r="AD19" s="365" t="s">
        <v>48</v>
      </c>
      <c r="AE19" s="366"/>
      <c r="AF19" s="366"/>
      <c r="AG19" s="368"/>
      <c r="AH19" s="294"/>
      <c r="AI19" s="365" t="s">
        <v>49</v>
      </c>
      <c r="AJ19" s="366"/>
      <c r="AK19" s="366"/>
      <c r="AL19" s="367"/>
    </row>
    <row r="20" spans="1:49" x14ac:dyDescent="0.35">
      <c r="A20" s="359" t="s">
        <v>203</v>
      </c>
      <c r="B20" s="360"/>
      <c r="C20" s="361"/>
      <c r="D20"/>
      <c r="E20" s="362" t="s">
        <v>184</v>
      </c>
      <c r="F20" s="363"/>
      <c r="G20" s="362" t="s">
        <v>185</v>
      </c>
      <c r="H20" s="363"/>
      <c r="I20" s="53"/>
      <c r="J20" s="362" t="s">
        <v>184</v>
      </c>
      <c r="K20" s="363"/>
      <c r="L20" s="362" t="s">
        <v>185</v>
      </c>
      <c r="M20" s="363"/>
      <c r="N20" s="53"/>
      <c r="O20" s="362" t="s">
        <v>184</v>
      </c>
      <c r="P20" s="363"/>
      <c r="Q20" s="362" t="s">
        <v>185</v>
      </c>
      <c r="R20" s="363"/>
      <c r="S20" s="53"/>
      <c r="T20" s="362" t="s">
        <v>184</v>
      </c>
      <c r="U20" s="363"/>
      <c r="V20" s="362" t="s">
        <v>185</v>
      </c>
      <c r="W20" s="363"/>
      <c r="X20" s="53"/>
      <c r="Y20" s="362" t="s">
        <v>184</v>
      </c>
      <c r="Z20" s="363"/>
      <c r="AA20" s="362" t="s">
        <v>185</v>
      </c>
      <c r="AB20" s="363"/>
      <c r="AC20" s="53"/>
      <c r="AD20" s="362" t="s">
        <v>184</v>
      </c>
      <c r="AE20" s="363"/>
      <c r="AF20" s="362" t="s">
        <v>185</v>
      </c>
      <c r="AG20" s="363"/>
      <c r="AH20" s="53"/>
      <c r="AI20" s="362" t="s">
        <v>184</v>
      </c>
      <c r="AJ20" s="363"/>
      <c r="AK20" s="362" t="s">
        <v>185</v>
      </c>
      <c r="AL20" s="364"/>
      <c r="AO20" s="358"/>
      <c r="AP20" s="358"/>
      <c r="AQ20" s="358"/>
      <c r="AR20" s="358"/>
    </row>
    <row r="21" spans="1:49" x14ac:dyDescent="0.35">
      <c r="A21" s="289" t="s">
        <v>169</v>
      </c>
      <c r="B21" s="273" t="s">
        <v>202</v>
      </c>
      <c r="C21" s="273" t="s">
        <v>50</v>
      </c>
      <c r="D21" s="273"/>
      <c r="E21" s="277" t="s">
        <v>186</v>
      </c>
      <c r="F21" s="278" t="s">
        <v>29</v>
      </c>
      <c r="G21" s="277" t="s">
        <v>186</v>
      </c>
      <c r="H21" s="278" t="s">
        <v>29</v>
      </c>
      <c r="I21" s="273"/>
      <c r="J21" s="277" t="s">
        <v>186</v>
      </c>
      <c r="K21" s="278" t="s">
        <v>29</v>
      </c>
      <c r="L21" s="277" t="s">
        <v>186</v>
      </c>
      <c r="M21" s="278" t="s">
        <v>29</v>
      </c>
      <c r="N21" s="273"/>
      <c r="O21" s="277" t="s">
        <v>186</v>
      </c>
      <c r="P21" s="278" t="s">
        <v>29</v>
      </c>
      <c r="Q21" s="277" t="s">
        <v>186</v>
      </c>
      <c r="R21" s="278" t="s">
        <v>29</v>
      </c>
      <c r="S21" s="273"/>
      <c r="T21" s="277" t="s">
        <v>186</v>
      </c>
      <c r="U21" s="278" t="s">
        <v>29</v>
      </c>
      <c r="V21" s="277" t="s">
        <v>186</v>
      </c>
      <c r="W21" s="278" t="s">
        <v>29</v>
      </c>
      <c r="X21" s="273"/>
      <c r="Y21" s="277" t="s">
        <v>186</v>
      </c>
      <c r="Z21" s="278" t="s">
        <v>29</v>
      </c>
      <c r="AA21" s="277" t="s">
        <v>186</v>
      </c>
      <c r="AB21" s="278" t="s">
        <v>29</v>
      </c>
      <c r="AC21" s="273"/>
      <c r="AD21" s="277" t="s">
        <v>186</v>
      </c>
      <c r="AE21" s="278" t="s">
        <v>29</v>
      </c>
      <c r="AF21" s="277" t="s">
        <v>186</v>
      </c>
      <c r="AG21" s="278" t="s">
        <v>29</v>
      </c>
      <c r="AH21" s="273"/>
      <c r="AI21" s="277" t="s">
        <v>186</v>
      </c>
      <c r="AJ21" s="278" t="s">
        <v>29</v>
      </c>
      <c r="AK21" s="277" t="s">
        <v>186</v>
      </c>
      <c r="AL21" s="290" t="s">
        <v>29</v>
      </c>
      <c r="AN21" s="61"/>
      <c r="AO21" s="61"/>
      <c r="AP21" s="61"/>
      <c r="AQ21" s="61"/>
      <c r="AR21" s="61"/>
      <c r="AS21" s="61"/>
      <c r="AT21" s="61"/>
      <c r="AU21" s="61"/>
    </row>
    <row r="22" spans="1:49" x14ac:dyDescent="0.35">
      <c r="A22" s="65">
        <v>1</v>
      </c>
      <c r="B22" t="s">
        <v>52</v>
      </c>
      <c r="C22" s="276">
        <v>40878</v>
      </c>
      <c r="D22" s="279"/>
      <c r="E22" s="54"/>
      <c r="F22" t="str">
        <f t="shared" ref="F22:F85" si="7">IF(OR(ISBLANK(E22),ISTEXT(E22)),"",LOOKUP(E22,$C$2:$C$11,F$2:F$11))</f>
        <v/>
      </c>
      <c r="H22" s="58" t="str">
        <f t="shared" ref="H22:H85" si="8">IF(OR(ISBLANK(G22),ISTEXT(G22)),"",LOOKUP(G22,$C$2:$C$11,H$2:H$11))</f>
        <v/>
      </c>
      <c r="J22" s="54"/>
      <c r="K22" t="str">
        <f t="shared" ref="K22:K85" si="9">IF(OR(ISBLANK(J22),ISTEXT(J22)),"",LOOKUP(J22,$C$2:$C$11,K$2:K$11))</f>
        <v/>
      </c>
      <c r="M22" s="58" t="str">
        <f t="shared" ref="M22:M85" si="10">IF(OR(ISBLANK(L22),ISTEXT(L22)),"",LOOKUP(L22,$C$2:$C$11,M$2:M$11))</f>
        <v/>
      </c>
      <c r="O22" s="54"/>
      <c r="P22" t="str">
        <f t="shared" ref="P22:P85" si="11">IF(OR(ISBLANK(O22),ISTEXT(O22)),"",LOOKUP(O22,$C$2:$C$11,P$2:P$11))</f>
        <v/>
      </c>
      <c r="R22" s="58" t="str">
        <f t="shared" ref="R22:R85" si="12">IF(OR(ISBLANK(Q22),ISTEXT(Q22)),"",LOOKUP(Q22,$C$2:$C$11,R$2:R$11))</f>
        <v/>
      </c>
      <c r="S22">
        <v>4</v>
      </c>
      <c r="T22" s="54">
        <v>1</v>
      </c>
      <c r="U22">
        <f t="shared" ref="U22:U85" si="13">IF(OR(ISBLANK(T22),ISTEXT(T22)),"",LOOKUP(T22,$C$2:$C$11,U$2:U$11))</f>
        <v>1670</v>
      </c>
      <c r="W22" s="58" t="str">
        <f t="shared" ref="W22:W85" si="14">IF(OR(ISBLANK(V22),ISTEXT(V22)),"",LOOKUP(V22,$C$2:$C$11,W$2:W$11))</f>
        <v/>
      </c>
      <c r="Y22" s="54"/>
      <c r="Z22" t="str">
        <f t="shared" ref="Z22:Z85" si="15">IF(OR(ISBLANK(Y22),ISTEXT(Y22)),"",LOOKUP(Y22,$C$2:$C$11,Z$2:Z$11))</f>
        <v/>
      </c>
      <c r="AB22" s="58" t="str">
        <f t="shared" ref="AB22:AB85" si="16">IF(OR(ISBLANK(AA22),ISTEXT(AA22)),"",LOOKUP(AA22,$C$2:$C$11,AB$2:AB$11))</f>
        <v/>
      </c>
      <c r="AC22">
        <v>6</v>
      </c>
      <c r="AD22" s="54">
        <v>1</v>
      </c>
      <c r="AE22">
        <f t="shared" ref="AE22:AE85" si="17">IF(OR(ISBLANK(AD22),ISTEXT(AD22)),"",LOOKUP(AD22,$C$2:$C$11,AE$2:AE$11))</f>
        <v>1780</v>
      </c>
      <c r="AG22" s="58" t="str">
        <f t="shared" ref="AG22:AG85" si="18">IF(OR(ISBLANK(AF22),ISTEXT(AF22)),"",LOOKUP(AF22,$C$2:$C$11,AG$2:AG$11))</f>
        <v/>
      </c>
      <c r="AI22" s="54"/>
      <c r="AJ22" t="str">
        <f t="shared" ref="AJ22:AJ85" si="19">IF(OR(ISBLANK(AI22),ISTEXT(AI22)),"",LOOKUP(AI22,$C$2:$C$11,AJ$2:AJ$11))</f>
        <v/>
      </c>
      <c r="AL22" s="66" t="str">
        <f t="shared" ref="AL22:AL85" si="20">IF(OR(ISBLANK(AK22),ISTEXT(AK22)),"",LOOKUP(AK22,$C$2:$C$11,AL$2:AL$11))</f>
        <v/>
      </c>
      <c r="AS22" s="279"/>
      <c r="AU22" s="279"/>
      <c r="AW22" s="1"/>
    </row>
    <row r="23" spans="1:49" x14ac:dyDescent="0.35">
      <c r="A23" s="65">
        <v>2</v>
      </c>
      <c r="B23" t="s">
        <v>53</v>
      </c>
      <c r="C23" s="276">
        <v>40879</v>
      </c>
      <c r="D23" s="279">
        <v>1</v>
      </c>
      <c r="E23" s="54">
        <v>1</v>
      </c>
      <c r="F23">
        <f t="shared" si="7"/>
        <v>1405</v>
      </c>
      <c r="G23">
        <v>1</v>
      </c>
      <c r="H23" s="58">
        <f t="shared" si="8"/>
        <v>670</v>
      </c>
      <c r="J23" s="54"/>
      <c r="K23" t="str">
        <f t="shared" si="9"/>
        <v/>
      </c>
      <c r="L23" t="s">
        <v>183</v>
      </c>
      <c r="M23" s="58" t="str">
        <f t="shared" si="10"/>
        <v/>
      </c>
      <c r="O23" s="54"/>
      <c r="P23" t="str">
        <f t="shared" si="11"/>
        <v/>
      </c>
      <c r="Q23" t="s">
        <v>183</v>
      </c>
      <c r="R23" s="58" t="str">
        <f t="shared" si="12"/>
        <v/>
      </c>
      <c r="T23" s="54" t="s">
        <v>183</v>
      </c>
      <c r="U23" t="str">
        <f t="shared" si="13"/>
        <v/>
      </c>
      <c r="V23">
        <v>1</v>
      </c>
      <c r="W23" s="58">
        <f t="shared" si="14"/>
        <v>1105</v>
      </c>
      <c r="X23">
        <v>5</v>
      </c>
      <c r="Y23" s="54">
        <v>1</v>
      </c>
      <c r="Z23">
        <f t="shared" si="15"/>
        <v>1710</v>
      </c>
      <c r="AA23" t="s">
        <v>183</v>
      </c>
      <c r="AB23" s="58" t="str">
        <f t="shared" si="16"/>
        <v/>
      </c>
      <c r="AD23" s="54" t="s">
        <v>183</v>
      </c>
      <c r="AE23" t="str">
        <f t="shared" si="17"/>
        <v/>
      </c>
      <c r="AF23" t="s">
        <v>183</v>
      </c>
      <c r="AG23" s="58" t="str">
        <f t="shared" si="18"/>
        <v/>
      </c>
      <c r="AI23" s="54" t="s">
        <v>183</v>
      </c>
      <c r="AJ23" t="str">
        <f t="shared" si="19"/>
        <v/>
      </c>
      <c r="AK23" t="s">
        <v>183</v>
      </c>
      <c r="AL23" s="66" t="str">
        <f t="shared" si="20"/>
        <v/>
      </c>
      <c r="AS23" s="279"/>
      <c r="AU23" s="279"/>
      <c r="AW23" s="1"/>
    </row>
    <row r="24" spans="1:49" x14ac:dyDescent="0.35">
      <c r="A24" s="65">
        <v>3</v>
      </c>
      <c r="B24" t="s">
        <v>54</v>
      </c>
      <c r="C24" s="276">
        <v>40880</v>
      </c>
      <c r="D24" s="279"/>
      <c r="E24" s="54"/>
      <c r="F24" t="str">
        <f t="shared" si="7"/>
        <v/>
      </c>
      <c r="H24" s="58" t="str">
        <f t="shared" si="8"/>
        <v/>
      </c>
      <c r="J24" s="54"/>
      <c r="K24" t="str">
        <f t="shared" si="9"/>
        <v/>
      </c>
      <c r="L24" t="s">
        <v>183</v>
      </c>
      <c r="M24" s="58" t="str">
        <f t="shared" si="10"/>
        <v/>
      </c>
      <c r="O24" s="54"/>
      <c r="P24" t="str">
        <f t="shared" si="11"/>
        <v/>
      </c>
      <c r="Q24" t="s">
        <v>183</v>
      </c>
      <c r="R24" s="58" t="str">
        <f t="shared" si="12"/>
        <v/>
      </c>
      <c r="T24" s="54" t="s">
        <v>183</v>
      </c>
      <c r="U24" t="str">
        <f t="shared" si="13"/>
        <v/>
      </c>
      <c r="V24" t="s">
        <v>183</v>
      </c>
      <c r="W24" s="58" t="str">
        <f t="shared" si="14"/>
        <v/>
      </c>
      <c r="Y24" s="54" t="s">
        <v>183</v>
      </c>
      <c r="Z24" t="str">
        <f t="shared" si="15"/>
        <v/>
      </c>
      <c r="AA24" t="s">
        <v>183</v>
      </c>
      <c r="AB24" s="58" t="str">
        <f t="shared" si="16"/>
        <v/>
      </c>
      <c r="AD24" s="54" t="s">
        <v>183</v>
      </c>
      <c r="AE24" t="str">
        <f t="shared" si="17"/>
        <v/>
      </c>
      <c r="AF24" t="s">
        <v>183</v>
      </c>
      <c r="AG24" s="58" t="str">
        <f t="shared" si="18"/>
        <v/>
      </c>
      <c r="AH24">
        <v>7</v>
      </c>
      <c r="AI24" s="54">
        <v>1</v>
      </c>
      <c r="AJ24">
        <f t="shared" si="19"/>
        <v>1480</v>
      </c>
      <c r="AK24" t="s">
        <v>183</v>
      </c>
      <c r="AL24" s="66" t="str">
        <f t="shared" si="20"/>
        <v/>
      </c>
      <c r="AS24" s="279"/>
      <c r="AU24" s="279"/>
      <c r="AW24" s="1"/>
    </row>
    <row r="25" spans="1:49" x14ac:dyDescent="0.35">
      <c r="A25" s="65">
        <v>4</v>
      </c>
      <c r="B25" t="s">
        <v>55</v>
      </c>
      <c r="C25" s="276">
        <v>40881</v>
      </c>
      <c r="D25" s="279"/>
      <c r="E25" s="54"/>
      <c r="F25" t="str">
        <f t="shared" si="7"/>
        <v/>
      </c>
      <c r="G25" t="s">
        <v>183</v>
      </c>
      <c r="H25" s="58" t="str">
        <f t="shared" si="8"/>
        <v/>
      </c>
      <c r="J25" s="54"/>
      <c r="K25" t="str">
        <f t="shared" si="9"/>
        <v/>
      </c>
      <c r="L25" t="s">
        <v>183</v>
      </c>
      <c r="M25" s="58" t="str">
        <f t="shared" si="10"/>
        <v/>
      </c>
      <c r="O25" s="54"/>
      <c r="P25" t="str">
        <f t="shared" si="11"/>
        <v/>
      </c>
      <c r="Q25" t="s">
        <v>183</v>
      </c>
      <c r="R25" s="58" t="str">
        <f t="shared" si="12"/>
        <v/>
      </c>
      <c r="T25" s="54" t="s">
        <v>183</v>
      </c>
      <c r="U25" t="str">
        <f t="shared" si="13"/>
        <v/>
      </c>
      <c r="V25" t="s">
        <v>183</v>
      </c>
      <c r="W25" s="58" t="str">
        <f t="shared" si="14"/>
        <v/>
      </c>
      <c r="Y25" s="54" t="s">
        <v>183</v>
      </c>
      <c r="Z25" t="str">
        <f t="shared" si="15"/>
        <v/>
      </c>
      <c r="AA25">
        <v>1</v>
      </c>
      <c r="AB25" s="58">
        <f t="shared" si="16"/>
        <v>1195</v>
      </c>
      <c r="AD25" s="54" t="s">
        <v>183</v>
      </c>
      <c r="AE25" t="str">
        <f t="shared" si="17"/>
        <v/>
      </c>
      <c r="AF25" t="s">
        <v>183</v>
      </c>
      <c r="AG25" s="58" t="str">
        <f t="shared" si="18"/>
        <v/>
      </c>
      <c r="AI25" s="54" t="s">
        <v>183</v>
      </c>
      <c r="AJ25" t="str">
        <f t="shared" si="19"/>
        <v/>
      </c>
      <c r="AK25" t="s">
        <v>183</v>
      </c>
      <c r="AL25" s="66" t="str">
        <f t="shared" si="20"/>
        <v/>
      </c>
      <c r="AS25" s="279"/>
      <c r="AU25" s="279"/>
      <c r="AW25" s="1"/>
    </row>
    <row r="26" spans="1:49" x14ac:dyDescent="0.35">
      <c r="A26" s="65">
        <v>5</v>
      </c>
      <c r="B26" t="s">
        <v>56</v>
      </c>
      <c r="C26" s="276">
        <v>40882</v>
      </c>
      <c r="D26" s="279"/>
      <c r="E26" s="54"/>
      <c r="F26" t="str">
        <f t="shared" si="7"/>
        <v/>
      </c>
      <c r="G26" t="s">
        <v>183</v>
      </c>
      <c r="H26" s="58" t="str">
        <f t="shared" si="8"/>
        <v/>
      </c>
      <c r="J26" s="54"/>
      <c r="K26" t="str">
        <f t="shared" si="9"/>
        <v/>
      </c>
      <c r="L26" t="s">
        <v>183</v>
      </c>
      <c r="M26" s="58" t="str">
        <f t="shared" si="10"/>
        <v/>
      </c>
      <c r="O26" s="54"/>
      <c r="P26" t="str">
        <f t="shared" si="11"/>
        <v/>
      </c>
      <c r="Q26" t="s">
        <v>183</v>
      </c>
      <c r="R26" s="58" t="str">
        <f t="shared" si="12"/>
        <v/>
      </c>
      <c r="T26" s="54" t="s">
        <v>183</v>
      </c>
      <c r="U26" t="str">
        <f t="shared" si="13"/>
        <v/>
      </c>
      <c r="V26" t="s">
        <v>183</v>
      </c>
      <c r="W26" s="58" t="str">
        <f t="shared" si="14"/>
        <v/>
      </c>
      <c r="Y26" s="54" t="s">
        <v>183</v>
      </c>
      <c r="Z26" t="str">
        <f t="shared" si="15"/>
        <v/>
      </c>
      <c r="AA26" t="s">
        <v>183</v>
      </c>
      <c r="AB26" s="58" t="str">
        <f t="shared" si="16"/>
        <v/>
      </c>
      <c r="AD26" s="54" t="s">
        <v>183</v>
      </c>
      <c r="AE26" t="str">
        <f t="shared" si="17"/>
        <v/>
      </c>
      <c r="AF26" t="s">
        <v>183</v>
      </c>
      <c r="AG26" s="58" t="str">
        <f t="shared" si="18"/>
        <v/>
      </c>
      <c r="AI26" s="54" t="s">
        <v>183</v>
      </c>
      <c r="AJ26" t="str">
        <f t="shared" si="19"/>
        <v/>
      </c>
      <c r="AK26" t="s">
        <v>183</v>
      </c>
      <c r="AL26" s="66" t="str">
        <f t="shared" si="20"/>
        <v/>
      </c>
      <c r="AS26" s="279"/>
      <c r="AU26" s="279"/>
      <c r="AW26" s="1"/>
    </row>
    <row r="27" spans="1:49" x14ac:dyDescent="0.35">
      <c r="A27" s="65">
        <v>6</v>
      </c>
      <c r="B27" t="s">
        <v>57</v>
      </c>
      <c r="C27" s="276">
        <v>40883</v>
      </c>
      <c r="D27" s="279"/>
      <c r="E27" s="54"/>
      <c r="F27" t="str">
        <f t="shared" si="7"/>
        <v/>
      </c>
      <c r="G27" t="s">
        <v>183</v>
      </c>
      <c r="H27" s="58" t="str">
        <f t="shared" si="8"/>
        <v/>
      </c>
      <c r="J27" s="54"/>
      <c r="K27" t="str">
        <f t="shared" si="9"/>
        <v/>
      </c>
      <c r="L27" t="s">
        <v>183</v>
      </c>
      <c r="M27" s="58" t="str">
        <f t="shared" si="10"/>
        <v/>
      </c>
      <c r="O27" s="54"/>
      <c r="P27" t="str">
        <f t="shared" si="11"/>
        <v/>
      </c>
      <c r="Q27" t="s">
        <v>183</v>
      </c>
      <c r="R27" s="58" t="str">
        <f t="shared" si="12"/>
        <v/>
      </c>
      <c r="T27" s="54" t="s">
        <v>183</v>
      </c>
      <c r="U27" t="str">
        <f t="shared" si="13"/>
        <v/>
      </c>
      <c r="V27" t="s">
        <v>183</v>
      </c>
      <c r="W27" s="58" t="str">
        <f t="shared" si="14"/>
        <v/>
      </c>
      <c r="Y27" s="54" t="s">
        <v>183</v>
      </c>
      <c r="Z27" t="str">
        <f t="shared" si="15"/>
        <v/>
      </c>
      <c r="AA27" t="s">
        <v>183</v>
      </c>
      <c r="AB27" s="58" t="str">
        <f t="shared" si="16"/>
        <v/>
      </c>
      <c r="AD27" s="54" t="s">
        <v>183</v>
      </c>
      <c r="AE27" t="str">
        <f t="shared" si="17"/>
        <v/>
      </c>
      <c r="AF27" t="s">
        <v>183</v>
      </c>
      <c r="AG27" s="58" t="str">
        <f t="shared" si="18"/>
        <v/>
      </c>
      <c r="AI27" s="54" t="s">
        <v>183</v>
      </c>
      <c r="AJ27" t="str">
        <f t="shared" si="19"/>
        <v/>
      </c>
      <c r="AK27" t="s">
        <v>183</v>
      </c>
      <c r="AL27" s="66" t="str">
        <f t="shared" si="20"/>
        <v/>
      </c>
      <c r="AS27" s="279"/>
      <c r="AU27" s="279"/>
      <c r="AW27" s="1"/>
    </row>
    <row r="28" spans="1:49" x14ac:dyDescent="0.35">
      <c r="A28" s="65">
        <v>7</v>
      </c>
      <c r="B28" t="s">
        <v>58</v>
      </c>
      <c r="C28" s="276">
        <v>40884</v>
      </c>
      <c r="D28" s="279">
        <v>1</v>
      </c>
      <c r="E28" s="54">
        <v>2</v>
      </c>
      <c r="F28">
        <f t="shared" si="7"/>
        <v>1840</v>
      </c>
      <c r="G28">
        <v>2</v>
      </c>
      <c r="H28" s="58">
        <f t="shared" si="8"/>
        <v>1210</v>
      </c>
      <c r="I28">
        <v>2</v>
      </c>
      <c r="J28" s="54">
        <v>1</v>
      </c>
      <c r="K28">
        <f t="shared" si="9"/>
        <v>1690</v>
      </c>
      <c r="L28">
        <v>1</v>
      </c>
      <c r="M28" s="58">
        <f t="shared" si="10"/>
        <v>1280</v>
      </c>
      <c r="O28" s="54"/>
      <c r="P28" t="str">
        <f t="shared" si="11"/>
        <v/>
      </c>
      <c r="Q28" t="s">
        <v>183</v>
      </c>
      <c r="R28" s="58" t="str">
        <f t="shared" si="12"/>
        <v/>
      </c>
      <c r="T28" s="54" t="s">
        <v>183</v>
      </c>
      <c r="U28" t="str">
        <f t="shared" si="13"/>
        <v/>
      </c>
      <c r="V28" t="s">
        <v>183</v>
      </c>
      <c r="W28" s="58" t="str">
        <f t="shared" si="14"/>
        <v/>
      </c>
      <c r="Y28" s="54" t="s">
        <v>183</v>
      </c>
      <c r="Z28" t="str">
        <f t="shared" si="15"/>
        <v/>
      </c>
      <c r="AA28" t="s">
        <v>183</v>
      </c>
      <c r="AB28" s="58" t="str">
        <f t="shared" si="16"/>
        <v/>
      </c>
      <c r="AD28" s="54" t="s">
        <v>183</v>
      </c>
      <c r="AE28" t="str">
        <f t="shared" si="17"/>
        <v/>
      </c>
      <c r="AF28">
        <v>1</v>
      </c>
      <c r="AG28" s="58">
        <f t="shared" si="18"/>
        <v>1370</v>
      </c>
      <c r="AI28" s="54" t="s">
        <v>183</v>
      </c>
      <c r="AJ28" t="str">
        <f t="shared" si="19"/>
        <v/>
      </c>
      <c r="AK28" t="s">
        <v>183</v>
      </c>
      <c r="AL28" s="66" t="str">
        <f t="shared" si="20"/>
        <v/>
      </c>
      <c r="AS28" s="279"/>
      <c r="AU28" s="279"/>
      <c r="AW28" s="1"/>
    </row>
    <row r="29" spans="1:49" x14ac:dyDescent="0.35">
      <c r="A29" s="65">
        <v>8</v>
      </c>
      <c r="B29" t="s">
        <v>52</v>
      </c>
      <c r="C29" s="276">
        <v>40885</v>
      </c>
      <c r="D29" s="279"/>
      <c r="E29" s="54"/>
      <c r="F29" t="str">
        <f t="shared" si="7"/>
        <v/>
      </c>
      <c r="G29" t="s">
        <v>183</v>
      </c>
      <c r="H29" s="58" t="str">
        <f t="shared" si="8"/>
        <v/>
      </c>
      <c r="J29" s="54"/>
      <c r="K29" t="str">
        <f t="shared" si="9"/>
        <v/>
      </c>
      <c r="L29" t="s">
        <v>183</v>
      </c>
      <c r="M29" s="58" t="str">
        <f t="shared" si="10"/>
        <v/>
      </c>
      <c r="O29" s="54"/>
      <c r="P29" t="str">
        <f t="shared" si="11"/>
        <v/>
      </c>
      <c r="Q29" t="s">
        <v>183</v>
      </c>
      <c r="R29" s="58" t="str">
        <f t="shared" si="12"/>
        <v/>
      </c>
      <c r="T29" s="54" t="s">
        <v>183</v>
      </c>
      <c r="U29" t="str">
        <f t="shared" si="13"/>
        <v/>
      </c>
      <c r="V29" t="s">
        <v>183</v>
      </c>
      <c r="W29" s="58" t="str">
        <f t="shared" si="14"/>
        <v/>
      </c>
      <c r="Y29" s="54" t="s">
        <v>183</v>
      </c>
      <c r="Z29" t="str">
        <f t="shared" si="15"/>
        <v/>
      </c>
      <c r="AA29" t="s">
        <v>183</v>
      </c>
      <c r="AB29" s="58" t="str">
        <f t="shared" si="16"/>
        <v/>
      </c>
      <c r="AD29" s="54" t="s">
        <v>183</v>
      </c>
      <c r="AE29" t="str">
        <f t="shared" si="17"/>
        <v/>
      </c>
      <c r="AF29" t="s">
        <v>183</v>
      </c>
      <c r="AG29" s="58" t="str">
        <f t="shared" si="18"/>
        <v/>
      </c>
      <c r="AI29" s="54" t="s">
        <v>183</v>
      </c>
      <c r="AJ29" t="str">
        <f t="shared" si="19"/>
        <v/>
      </c>
      <c r="AK29" t="s">
        <v>183</v>
      </c>
      <c r="AL29" s="66" t="str">
        <f t="shared" si="20"/>
        <v/>
      </c>
      <c r="AS29" s="279"/>
      <c r="AU29" s="279"/>
      <c r="AW29" s="1"/>
    </row>
    <row r="30" spans="1:49" x14ac:dyDescent="0.35">
      <c r="A30" s="65">
        <v>9</v>
      </c>
      <c r="B30" t="s">
        <v>53</v>
      </c>
      <c r="C30" s="276">
        <v>40886</v>
      </c>
      <c r="D30" s="279"/>
      <c r="E30" s="54"/>
      <c r="F30" t="str">
        <f t="shared" si="7"/>
        <v/>
      </c>
      <c r="G30" t="s">
        <v>183</v>
      </c>
      <c r="H30" s="58" t="str">
        <f t="shared" si="8"/>
        <v/>
      </c>
      <c r="I30">
        <v>2</v>
      </c>
      <c r="J30" s="54">
        <v>2</v>
      </c>
      <c r="K30">
        <f t="shared" si="9"/>
        <v>1790</v>
      </c>
      <c r="L30">
        <v>2</v>
      </c>
      <c r="M30" s="58">
        <f t="shared" si="10"/>
        <v>1330</v>
      </c>
      <c r="O30" s="54"/>
      <c r="P30" t="str">
        <f t="shared" si="11"/>
        <v/>
      </c>
      <c r="Q30" t="s">
        <v>183</v>
      </c>
      <c r="R30" s="58" t="str">
        <f t="shared" si="12"/>
        <v/>
      </c>
      <c r="T30" s="54" t="s">
        <v>183</v>
      </c>
      <c r="U30" t="str">
        <f t="shared" si="13"/>
        <v/>
      </c>
      <c r="V30" t="s">
        <v>183</v>
      </c>
      <c r="W30" s="58" t="str">
        <f t="shared" si="14"/>
        <v/>
      </c>
      <c r="Y30" s="54" t="s">
        <v>183</v>
      </c>
      <c r="Z30" t="str">
        <f t="shared" si="15"/>
        <v/>
      </c>
      <c r="AA30" t="s">
        <v>183</v>
      </c>
      <c r="AB30" s="58" t="str">
        <f t="shared" si="16"/>
        <v/>
      </c>
      <c r="AC30">
        <v>6</v>
      </c>
      <c r="AD30" s="54">
        <v>2</v>
      </c>
      <c r="AE30">
        <f t="shared" si="17"/>
        <v>1605</v>
      </c>
      <c r="AF30" t="s">
        <v>183</v>
      </c>
      <c r="AG30" s="58" t="str">
        <f t="shared" si="18"/>
        <v/>
      </c>
      <c r="AH30">
        <v>7</v>
      </c>
      <c r="AI30" s="54">
        <v>2</v>
      </c>
      <c r="AJ30">
        <f t="shared" si="19"/>
        <v>1680</v>
      </c>
      <c r="AK30" t="s">
        <v>183</v>
      </c>
      <c r="AL30" s="66" t="str">
        <f t="shared" si="20"/>
        <v/>
      </c>
      <c r="AS30" s="279"/>
      <c r="AU30" s="279"/>
      <c r="AW30" s="1"/>
    </row>
    <row r="31" spans="1:49" x14ac:dyDescent="0.35">
      <c r="A31" s="65">
        <v>10</v>
      </c>
      <c r="B31" t="s">
        <v>54</v>
      </c>
      <c r="C31" s="276">
        <v>40887</v>
      </c>
      <c r="D31" s="279"/>
      <c r="E31" s="54"/>
      <c r="F31" t="str">
        <f t="shared" si="7"/>
        <v/>
      </c>
      <c r="G31" t="s">
        <v>183</v>
      </c>
      <c r="H31" s="58" t="str">
        <f t="shared" si="8"/>
        <v/>
      </c>
      <c r="J31" s="54"/>
      <c r="K31" t="str">
        <f t="shared" si="9"/>
        <v/>
      </c>
      <c r="L31" t="s">
        <v>183</v>
      </c>
      <c r="M31" s="58" t="str">
        <f t="shared" si="10"/>
        <v/>
      </c>
      <c r="N31">
        <v>3</v>
      </c>
      <c r="O31" s="54">
        <v>1</v>
      </c>
      <c r="P31">
        <f t="shared" si="11"/>
        <v>1815</v>
      </c>
      <c r="Q31">
        <v>1</v>
      </c>
      <c r="R31" s="58">
        <f t="shared" si="12"/>
        <v>1240</v>
      </c>
      <c r="T31" s="54" t="s">
        <v>183</v>
      </c>
      <c r="U31" t="str">
        <f t="shared" si="13"/>
        <v/>
      </c>
      <c r="V31" t="s">
        <v>183</v>
      </c>
      <c r="W31" s="58" t="str">
        <f t="shared" si="14"/>
        <v/>
      </c>
      <c r="Y31" s="54" t="s">
        <v>183</v>
      </c>
      <c r="Z31" t="str">
        <f t="shared" si="15"/>
        <v/>
      </c>
      <c r="AA31" t="s">
        <v>183</v>
      </c>
      <c r="AB31" s="58" t="str">
        <f t="shared" si="16"/>
        <v/>
      </c>
      <c r="AD31" s="54" t="s">
        <v>183</v>
      </c>
      <c r="AE31" t="str">
        <f t="shared" si="17"/>
        <v/>
      </c>
      <c r="AF31" t="s">
        <v>183</v>
      </c>
      <c r="AG31" s="58" t="str">
        <f t="shared" si="18"/>
        <v/>
      </c>
      <c r="AH31">
        <v>7</v>
      </c>
      <c r="AI31" s="54">
        <v>3</v>
      </c>
      <c r="AJ31">
        <f t="shared" si="19"/>
        <v>1770</v>
      </c>
      <c r="AK31" t="s">
        <v>183</v>
      </c>
      <c r="AL31" s="66" t="str">
        <f t="shared" si="20"/>
        <v/>
      </c>
      <c r="AS31" s="279"/>
      <c r="AU31" s="279"/>
    </row>
    <row r="32" spans="1:49" x14ac:dyDescent="0.35">
      <c r="A32" s="65">
        <v>11</v>
      </c>
      <c r="B32" t="s">
        <v>55</v>
      </c>
      <c r="C32" s="276">
        <v>40888</v>
      </c>
      <c r="D32" s="279"/>
      <c r="E32" s="54"/>
      <c r="F32" t="str">
        <f t="shared" si="7"/>
        <v/>
      </c>
      <c r="G32" t="s">
        <v>183</v>
      </c>
      <c r="H32" s="58" t="str">
        <f t="shared" si="8"/>
        <v/>
      </c>
      <c r="J32" s="54"/>
      <c r="K32" t="str">
        <f t="shared" si="9"/>
        <v/>
      </c>
      <c r="L32" t="s">
        <v>183</v>
      </c>
      <c r="M32" s="58" t="str">
        <f t="shared" si="10"/>
        <v/>
      </c>
      <c r="O32" s="54"/>
      <c r="P32" t="str">
        <f t="shared" si="11"/>
        <v/>
      </c>
      <c r="Q32" t="s">
        <v>183</v>
      </c>
      <c r="R32" s="58" t="str">
        <f t="shared" si="12"/>
        <v/>
      </c>
      <c r="S32">
        <v>4</v>
      </c>
      <c r="T32" s="54">
        <v>2</v>
      </c>
      <c r="U32">
        <f t="shared" si="13"/>
        <v>1840</v>
      </c>
      <c r="V32" t="s">
        <v>183</v>
      </c>
      <c r="W32" s="58" t="str">
        <f t="shared" si="14"/>
        <v/>
      </c>
      <c r="Y32" s="54" t="s">
        <v>183</v>
      </c>
      <c r="Z32" t="str">
        <f t="shared" si="15"/>
        <v/>
      </c>
      <c r="AA32" t="s">
        <v>183</v>
      </c>
      <c r="AB32" s="58" t="str">
        <f t="shared" si="16"/>
        <v/>
      </c>
      <c r="AD32" s="54" t="s">
        <v>183</v>
      </c>
      <c r="AE32" t="str">
        <f t="shared" si="17"/>
        <v/>
      </c>
      <c r="AF32" t="s">
        <v>183</v>
      </c>
      <c r="AG32" s="58" t="str">
        <f t="shared" si="18"/>
        <v/>
      </c>
      <c r="AH32">
        <v>7</v>
      </c>
      <c r="AI32" s="54">
        <v>4</v>
      </c>
      <c r="AJ32">
        <f t="shared" si="19"/>
        <v>1440</v>
      </c>
      <c r="AK32" t="s">
        <v>183</v>
      </c>
      <c r="AL32" s="66" t="str">
        <f t="shared" si="20"/>
        <v/>
      </c>
      <c r="AS32" s="279"/>
      <c r="AU32" s="279"/>
    </row>
    <row r="33" spans="1:47" x14ac:dyDescent="0.35">
      <c r="A33" s="65">
        <v>12</v>
      </c>
      <c r="B33" t="s">
        <v>56</v>
      </c>
      <c r="C33" s="276">
        <v>40889</v>
      </c>
      <c r="D33" s="279"/>
      <c r="E33" s="54"/>
      <c r="F33" t="str">
        <f t="shared" si="7"/>
        <v/>
      </c>
      <c r="G33" t="s">
        <v>183</v>
      </c>
      <c r="H33" s="58" t="str">
        <f t="shared" si="8"/>
        <v/>
      </c>
      <c r="J33" s="54"/>
      <c r="K33" t="str">
        <f t="shared" si="9"/>
        <v/>
      </c>
      <c r="L33" t="s">
        <v>183</v>
      </c>
      <c r="M33" s="58" t="str">
        <f t="shared" si="10"/>
        <v/>
      </c>
      <c r="O33" s="54"/>
      <c r="P33" t="str">
        <f t="shared" si="11"/>
        <v/>
      </c>
      <c r="Q33" t="s">
        <v>183</v>
      </c>
      <c r="R33" s="58" t="str">
        <f t="shared" si="12"/>
        <v/>
      </c>
      <c r="T33" s="54" t="s">
        <v>183</v>
      </c>
      <c r="U33" t="str">
        <f t="shared" si="13"/>
        <v/>
      </c>
      <c r="V33">
        <v>2</v>
      </c>
      <c r="W33" s="58">
        <f t="shared" si="14"/>
        <v>1325</v>
      </c>
      <c r="X33">
        <v>5</v>
      </c>
      <c r="Y33" s="54">
        <v>2</v>
      </c>
      <c r="Z33">
        <f t="shared" si="15"/>
        <v>1635</v>
      </c>
      <c r="AA33" t="s">
        <v>183</v>
      </c>
      <c r="AB33" s="58" t="str">
        <f t="shared" si="16"/>
        <v/>
      </c>
      <c r="AC33">
        <v>6</v>
      </c>
      <c r="AD33" s="54">
        <v>3</v>
      </c>
      <c r="AE33">
        <f t="shared" si="17"/>
        <v>1870</v>
      </c>
      <c r="AF33" t="s">
        <v>183</v>
      </c>
      <c r="AG33" s="58" t="str">
        <f t="shared" si="18"/>
        <v/>
      </c>
      <c r="AI33" s="54" t="s">
        <v>183</v>
      </c>
      <c r="AJ33" t="str">
        <f t="shared" si="19"/>
        <v/>
      </c>
      <c r="AK33" t="s">
        <v>183</v>
      </c>
      <c r="AL33" s="66" t="str">
        <f t="shared" si="20"/>
        <v/>
      </c>
      <c r="AS33" s="279"/>
      <c r="AU33" s="279"/>
    </row>
    <row r="34" spans="1:47" x14ac:dyDescent="0.35">
      <c r="A34" s="65">
        <v>13</v>
      </c>
      <c r="B34" t="s">
        <v>57</v>
      </c>
      <c r="C34" s="276">
        <v>40890</v>
      </c>
      <c r="D34" s="279"/>
      <c r="E34" s="54"/>
      <c r="F34" t="str">
        <f t="shared" si="7"/>
        <v/>
      </c>
      <c r="G34" t="s">
        <v>183</v>
      </c>
      <c r="H34" s="58" t="str">
        <f t="shared" si="8"/>
        <v/>
      </c>
      <c r="J34" s="54"/>
      <c r="K34" t="str">
        <f t="shared" si="9"/>
        <v/>
      </c>
      <c r="L34" t="s">
        <v>183</v>
      </c>
      <c r="M34" s="58" t="str">
        <f t="shared" si="10"/>
        <v/>
      </c>
      <c r="N34">
        <v>3</v>
      </c>
      <c r="O34" s="54">
        <v>2</v>
      </c>
      <c r="P34">
        <f t="shared" si="11"/>
        <v>1780</v>
      </c>
      <c r="Q34">
        <v>2</v>
      </c>
      <c r="R34" s="58">
        <f t="shared" si="12"/>
        <v>1350</v>
      </c>
      <c r="T34" s="54" t="s">
        <v>183</v>
      </c>
      <c r="U34" t="str">
        <f t="shared" si="13"/>
        <v/>
      </c>
      <c r="V34" t="s">
        <v>183</v>
      </c>
      <c r="W34" s="58" t="str">
        <f t="shared" si="14"/>
        <v/>
      </c>
      <c r="Y34" s="54" t="s">
        <v>183</v>
      </c>
      <c r="Z34" t="str">
        <f t="shared" si="15"/>
        <v/>
      </c>
      <c r="AA34" t="s">
        <v>183</v>
      </c>
      <c r="AB34" s="58" t="str">
        <f t="shared" si="16"/>
        <v/>
      </c>
      <c r="AD34" s="54" t="s">
        <v>183</v>
      </c>
      <c r="AE34" t="str">
        <f t="shared" si="17"/>
        <v/>
      </c>
      <c r="AF34" t="s">
        <v>183</v>
      </c>
      <c r="AG34" s="58" t="str">
        <f t="shared" si="18"/>
        <v/>
      </c>
      <c r="AI34" s="54" t="s">
        <v>183</v>
      </c>
      <c r="AJ34" t="str">
        <f t="shared" si="19"/>
        <v/>
      </c>
      <c r="AK34" t="s">
        <v>183</v>
      </c>
      <c r="AL34" s="66" t="str">
        <f t="shared" si="20"/>
        <v/>
      </c>
      <c r="AS34" s="279"/>
      <c r="AU34" s="279"/>
    </row>
    <row r="35" spans="1:47" x14ac:dyDescent="0.35">
      <c r="A35" s="65">
        <v>14</v>
      </c>
      <c r="B35" t="s">
        <v>58</v>
      </c>
      <c r="C35" s="276">
        <v>40891</v>
      </c>
      <c r="D35" s="279">
        <v>1</v>
      </c>
      <c r="E35" s="54">
        <v>3</v>
      </c>
      <c r="F35">
        <f t="shared" si="7"/>
        <v>1830</v>
      </c>
      <c r="G35">
        <v>3</v>
      </c>
      <c r="H35" s="58">
        <f t="shared" si="8"/>
        <v>1100</v>
      </c>
      <c r="J35" s="54"/>
      <c r="K35" t="str">
        <f t="shared" si="9"/>
        <v/>
      </c>
      <c r="L35" t="s">
        <v>183</v>
      </c>
      <c r="M35" s="58" t="str">
        <f t="shared" si="10"/>
        <v/>
      </c>
      <c r="O35" s="54"/>
      <c r="P35" t="str">
        <f t="shared" si="11"/>
        <v/>
      </c>
      <c r="Q35" t="s">
        <v>183</v>
      </c>
      <c r="R35" s="58" t="str">
        <f t="shared" si="12"/>
        <v/>
      </c>
      <c r="T35" s="54" t="s">
        <v>183</v>
      </c>
      <c r="U35" t="str">
        <f t="shared" si="13"/>
        <v/>
      </c>
      <c r="V35" t="s">
        <v>183</v>
      </c>
      <c r="W35" s="58" t="str">
        <f t="shared" si="14"/>
        <v/>
      </c>
      <c r="Y35" s="54" t="s">
        <v>183</v>
      </c>
      <c r="Z35" t="str">
        <f t="shared" si="15"/>
        <v/>
      </c>
      <c r="AA35">
        <v>2</v>
      </c>
      <c r="AB35" s="58">
        <f t="shared" si="16"/>
        <v>1340</v>
      </c>
      <c r="AD35" s="54" t="s">
        <v>183</v>
      </c>
      <c r="AE35" t="str">
        <f t="shared" si="17"/>
        <v/>
      </c>
      <c r="AF35" t="s">
        <v>183</v>
      </c>
      <c r="AG35" s="58" t="str">
        <f t="shared" si="18"/>
        <v/>
      </c>
      <c r="AH35">
        <v>7</v>
      </c>
      <c r="AI35" s="54">
        <v>5</v>
      </c>
      <c r="AJ35">
        <f t="shared" si="19"/>
        <v>1650</v>
      </c>
      <c r="AK35" t="s">
        <v>183</v>
      </c>
      <c r="AL35" s="66" t="str">
        <f t="shared" si="20"/>
        <v/>
      </c>
      <c r="AS35" s="279"/>
      <c r="AU35" s="279"/>
    </row>
    <row r="36" spans="1:47" x14ac:dyDescent="0.35">
      <c r="A36" s="65">
        <v>15</v>
      </c>
      <c r="B36" t="s">
        <v>52</v>
      </c>
      <c r="C36" s="276">
        <v>40892</v>
      </c>
      <c r="D36" s="279">
        <v>1</v>
      </c>
      <c r="E36" s="54">
        <v>4</v>
      </c>
      <c r="F36">
        <f t="shared" si="7"/>
        <v>2180</v>
      </c>
      <c r="G36">
        <v>4</v>
      </c>
      <c r="H36" s="58">
        <f t="shared" si="8"/>
        <v>960</v>
      </c>
      <c r="J36" s="54"/>
      <c r="K36" t="str">
        <f t="shared" si="9"/>
        <v/>
      </c>
      <c r="L36" t="s">
        <v>183</v>
      </c>
      <c r="M36" s="58" t="str">
        <f t="shared" si="10"/>
        <v/>
      </c>
      <c r="O36" s="54"/>
      <c r="P36" t="str">
        <f t="shared" si="11"/>
        <v/>
      </c>
      <c r="Q36" t="s">
        <v>183</v>
      </c>
      <c r="R36" s="58" t="str">
        <f t="shared" si="12"/>
        <v/>
      </c>
      <c r="T36" s="54" t="s">
        <v>183</v>
      </c>
      <c r="U36" t="str">
        <f t="shared" si="13"/>
        <v/>
      </c>
      <c r="V36" t="s">
        <v>183</v>
      </c>
      <c r="W36" s="58" t="str">
        <f t="shared" si="14"/>
        <v/>
      </c>
      <c r="Y36" s="54" t="s">
        <v>183</v>
      </c>
      <c r="Z36" t="str">
        <f t="shared" si="15"/>
        <v/>
      </c>
      <c r="AA36" t="s">
        <v>183</v>
      </c>
      <c r="AB36" s="58" t="str">
        <f t="shared" si="16"/>
        <v/>
      </c>
      <c r="AD36" s="54" t="s">
        <v>183</v>
      </c>
      <c r="AE36" t="str">
        <f t="shared" si="17"/>
        <v/>
      </c>
      <c r="AF36">
        <v>2</v>
      </c>
      <c r="AG36" s="58">
        <f t="shared" si="18"/>
        <v>1560</v>
      </c>
      <c r="AH36">
        <v>7</v>
      </c>
      <c r="AI36" s="54">
        <v>6</v>
      </c>
      <c r="AJ36">
        <f t="shared" si="19"/>
        <v>1890</v>
      </c>
      <c r="AK36" t="s">
        <v>183</v>
      </c>
      <c r="AL36" s="66" t="str">
        <f t="shared" si="20"/>
        <v/>
      </c>
      <c r="AS36" s="279"/>
      <c r="AU36" s="279"/>
    </row>
    <row r="37" spans="1:47" x14ac:dyDescent="0.35">
      <c r="A37" s="65">
        <v>16</v>
      </c>
      <c r="B37" t="s">
        <v>53</v>
      </c>
      <c r="C37" s="276">
        <v>40893</v>
      </c>
      <c r="D37" s="279"/>
      <c r="E37" s="54"/>
      <c r="F37" t="str">
        <f t="shared" si="7"/>
        <v/>
      </c>
      <c r="G37" t="s">
        <v>183</v>
      </c>
      <c r="H37" s="58" t="str">
        <f t="shared" si="8"/>
        <v/>
      </c>
      <c r="J37" s="54"/>
      <c r="K37" t="str">
        <f t="shared" si="9"/>
        <v/>
      </c>
      <c r="L37" t="s">
        <v>183</v>
      </c>
      <c r="M37" s="58" t="str">
        <f t="shared" si="10"/>
        <v/>
      </c>
      <c r="O37" s="54"/>
      <c r="P37" t="str">
        <f t="shared" si="11"/>
        <v/>
      </c>
      <c r="Q37" t="s">
        <v>183</v>
      </c>
      <c r="R37" s="58" t="str">
        <f t="shared" si="12"/>
        <v/>
      </c>
      <c r="T37" s="54" t="s">
        <v>183</v>
      </c>
      <c r="U37" t="str">
        <f t="shared" si="13"/>
        <v/>
      </c>
      <c r="V37" t="s">
        <v>183</v>
      </c>
      <c r="W37" s="58" t="str">
        <f t="shared" si="14"/>
        <v/>
      </c>
      <c r="X37">
        <v>5</v>
      </c>
      <c r="Y37" s="54">
        <v>3</v>
      </c>
      <c r="Z37">
        <f t="shared" si="15"/>
        <v>1950</v>
      </c>
      <c r="AA37" t="s">
        <v>183</v>
      </c>
      <c r="AB37" s="58" t="str">
        <f t="shared" si="16"/>
        <v/>
      </c>
      <c r="AD37" s="54" t="s">
        <v>183</v>
      </c>
      <c r="AE37" t="str">
        <f t="shared" si="17"/>
        <v/>
      </c>
      <c r="AF37" t="s">
        <v>183</v>
      </c>
      <c r="AG37" s="58" t="str">
        <f t="shared" si="18"/>
        <v/>
      </c>
      <c r="AI37" s="54" t="s">
        <v>183</v>
      </c>
      <c r="AJ37" t="str">
        <f t="shared" si="19"/>
        <v/>
      </c>
      <c r="AK37" t="s">
        <v>183</v>
      </c>
      <c r="AL37" s="66" t="str">
        <f t="shared" si="20"/>
        <v/>
      </c>
      <c r="AS37" s="279"/>
      <c r="AU37" s="279"/>
    </row>
    <row r="38" spans="1:47" x14ac:dyDescent="0.35">
      <c r="A38" s="65">
        <v>17</v>
      </c>
      <c r="B38" t="s">
        <v>54</v>
      </c>
      <c r="C38" s="276">
        <v>40894</v>
      </c>
      <c r="D38" s="279"/>
      <c r="E38" s="54"/>
      <c r="F38" t="str">
        <f t="shared" si="7"/>
        <v/>
      </c>
      <c r="G38" t="s">
        <v>183</v>
      </c>
      <c r="H38" s="58" t="str">
        <f t="shared" si="8"/>
        <v/>
      </c>
      <c r="J38" s="54"/>
      <c r="K38" t="str">
        <f t="shared" si="9"/>
        <v/>
      </c>
      <c r="L38" t="s">
        <v>183</v>
      </c>
      <c r="M38" s="58" t="str">
        <f t="shared" si="10"/>
        <v/>
      </c>
      <c r="O38" s="54"/>
      <c r="P38" t="str">
        <f t="shared" si="11"/>
        <v/>
      </c>
      <c r="Q38" t="s">
        <v>183</v>
      </c>
      <c r="R38" s="58" t="str">
        <f t="shared" si="12"/>
        <v/>
      </c>
      <c r="T38" s="54" t="s">
        <v>183</v>
      </c>
      <c r="U38" t="str">
        <f t="shared" si="13"/>
        <v/>
      </c>
      <c r="V38" t="s">
        <v>183</v>
      </c>
      <c r="W38" s="58" t="str">
        <f t="shared" si="14"/>
        <v/>
      </c>
      <c r="Y38" s="54" t="s">
        <v>183</v>
      </c>
      <c r="Z38" t="str">
        <f t="shared" si="15"/>
        <v/>
      </c>
      <c r="AA38" t="s">
        <v>183</v>
      </c>
      <c r="AB38" s="58" t="str">
        <f t="shared" si="16"/>
        <v/>
      </c>
      <c r="AD38" s="54" t="s">
        <v>183</v>
      </c>
      <c r="AE38" t="str">
        <f t="shared" si="17"/>
        <v/>
      </c>
      <c r="AF38" t="s">
        <v>183</v>
      </c>
      <c r="AG38" s="58" t="str">
        <f t="shared" si="18"/>
        <v/>
      </c>
      <c r="AH38">
        <v>7</v>
      </c>
      <c r="AI38" s="54">
        <v>7</v>
      </c>
      <c r="AJ38">
        <f t="shared" si="19"/>
        <v>1815</v>
      </c>
      <c r="AK38" t="s">
        <v>183</v>
      </c>
      <c r="AL38" s="66" t="str">
        <f t="shared" si="20"/>
        <v/>
      </c>
      <c r="AS38" s="279"/>
      <c r="AU38" s="279"/>
    </row>
    <row r="39" spans="1:47" x14ac:dyDescent="0.35">
      <c r="A39" s="65">
        <v>18</v>
      </c>
      <c r="B39" t="s">
        <v>55</v>
      </c>
      <c r="C39" s="276">
        <v>40895</v>
      </c>
      <c r="D39" s="279"/>
      <c r="E39" s="54"/>
      <c r="F39" t="str">
        <f t="shared" si="7"/>
        <v/>
      </c>
      <c r="G39" t="s">
        <v>183</v>
      </c>
      <c r="H39" s="58" t="str">
        <f t="shared" si="8"/>
        <v/>
      </c>
      <c r="J39" s="54"/>
      <c r="K39" t="str">
        <f t="shared" si="9"/>
        <v/>
      </c>
      <c r="L39" t="s">
        <v>183</v>
      </c>
      <c r="M39" s="58" t="str">
        <f t="shared" si="10"/>
        <v/>
      </c>
      <c r="O39" s="54"/>
      <c r="P39" t="str">
        <f t="shared" si="11"/>
        <v/>
      </c>
      <c r="Q39" t="s">
        <v>183</v>
      </c>
      <c r="R39" s="58" t="str">
        <f t="shared" si="12"/>
        <v/>
      </c>
      <c r="T39" s="54" t="s">
        <v>183</v>
      </c>
      <c r="U39" t="str">
        <f t="shared" si="13"/>
        <v/>
      </c>
      <c r="V39" t="s">
        <v>183</v>
      </c>
      <c r="W39" s="58" t="str">
        <f t="shared" si="14"/>
        <v/>
      </c>
      <c r="Y39" s="54" t="s">
        <v>183</v>
      </c>
      <c r="Z39" t="str">
        <f t="shared" si="15"/>
        <v/>
      </c>
      <c r="AA39">
        <v>3</v>
      </c>
      <c r="AB39" s="58">
        <f t="shared" si="16"/>
        <v>1580</v>
      </c>
      <c r="AD39" s="54" t="s">
        <v>183</v>
      </c>
      <c r="AE39" t="str">
        <f t="shared" si="17"/>
        <v/>
      </c>
      <c r="AF39">
        <v>3</v>
      </c>
      <c r="AG39" s="58">
        <f t="shared" si="18"/>
        <v>1545</v>
      </c>
      <c r="AI39" s="54" t="s">
        <v>183</v>
      </c>
      <c r="AJ39" t="str">
        <f t="shared" si="19"/>
        <v/>
      </c>
      <c r="AK39" t="s">
        <v>183</v>
      </c>
      <c r="AL39" s="66" t="str">
        <f t="shared" si="20"/>
        <v/>
      </c>
      <c r="AS39" s="279"/>
      <c r="AU39" s="279"/>
    </row>
    <row r="40" spans="1:47" x14ac:dyDescent="0.35">
      <c r="A40" s="65">
        <v>19</v>
      </c>
      <c r="B40" t="s">
        <v>56</v>
      </c>
      <c r="C40" s="276">
        <v>40896</v>
      </c>
      <c r="D40" s="279"/>
      <c r="E40" s="54"/>
      <c r="F40" t="str">
        <f t="shared" si="7"/>
        <v/>
      </c>
      <c r="G40" t="s">
        <v>183</v>
      </c>
      <c r="H40" s="58" t="str">
        <f t="shared" si="8"/>
        <v/>
      </c>
      <c r="I40">
        <v>2</v>
      </c>
      <c r="J40" s="54">
        <v>3</v>
      </c>
      <c r="K40">
        <f t="shared" si="9"/>
        <v>2070</v>
      </c>
      <c r="L40">
        <v>3</v>
      </c>
      <c r="M40" s="58">
        <f t="shared" si="10"/>
        <v>1235</v>
      </c>
      <c r="O40" s="54"/>
      <c r="P40" t="str">
        <f t="shared" si="11"/>
        <v/>
      </c>
      <c r="Q40" t="s">
        <v>183</v>
      </c>
      <c r="R40" s="58" t="str">
        <f t="shared" si="12"/>
        <v/>
      </c>
      <c r="T40" s="54" t="s">
        <v>183</v>
      </c>
      <c r="U40" t="str">
        <f t="shared" si="13"/>
        <v/>
      </c>
      <c r="V40" t="s">
        <v>183</v>
      </c>
      <c r="W40" s="58" t="str">
        <f t="shared" si="14"/>
        <v/>
      </c>
      <c r="Y40" s="54" t="s">
        <v>183</v>
      </c>
      <c r="Z40" t="str">
        <f t="shared" si="15"/>
        <v/>
      </c>
      <c r="AA40" t="s">
        <v>183</v>
      </c>
      <c r="AB40" s="58" t="str">
        <f t="shared" si="16"/>
        <v/>
      </c>
      <c r="AD40" s="54" t="s">
        <v>183</v>
      </c>
      <c r="AE40" t="str">
        <f t="shared" si="17"/>
        <v/>
      </c>
      <c r="AF40" t="s">
        <v>183</v>
      </c>
      <c r="AG40" s="58" t="str">
        <f t="shared" si="18"/>
        <v/>
      </c>
      <c r="AH40">
        <v>7</v>
      </c>
      <c r="AI40" s="54">
        <v>8</v>
      </c>
      <c r="AJ40">
        <f t="shared" si="19"/>
        <v>1910</v>
      </c>
      <c r="AK40" t="s">
        <v>183</v>
      </c>
      <c r="AL40" s="66" t="str">
        <f t="shared" si="20"/>
        <v/>
      </c>
      <c r="AS40" s="279"/>
      <c r="AU40" s="279"/>
    </row>
    <row r="41" spans="1:47" x14ac:dyDescent="0.35">
      <c r="A41" s="65">
        <v>20</v>
      </c>
      <c r="B41" t="s">
        <v>57</v>
      </c>
      <c r="C41" s="276">
        <v>40897</v>
      </c>
      <c r="D41" s="279"/>
      <c r="E41" s="54"/>
      <c r="F41" t="str">
        <f t="shared" si="7"/>
        <v/>
      </c>
      <c r="G41" t="s">
        <v>183</v>
      </c>
      <c r="H41" s="58" t="str">
        <f t="shared" si="8"/>
        <v/>
      </c>
      <c r="J41" s="54"/>
      <c r="K41" t="str">
        <f t="shared" si="9"/>
        <v/>
      </c>
      <c r="L41" t="s">
        <v>183</v>
      </c>
      <c r="M41" s="58" t="str">
        <f t="shared" si="10"/>
        <v/>
      </c>
      <c r="N41">
        <v>3</v>
      </c>
      <c r="O41" s="54">
        <v>3</v>
      </c>
      <c r="P41">
        <f t="shared" si="11"/>
        <v>1935</v>
      </c>
      <c r="Q41">
        <v>3</v>
      </c>
      <c r="R41" s="58">
        <f t="shared" si="12"/>
        <v>1350</v>
      </c>
      <c r="S41">
        <v>4</v>
      </c>
      <c r="T41" s="54">
        <v>3</v>
      </c>
      <c r="U41">
        <f t="shared" si="13"/>
        <v>1930</v>
      </c>
      <c r="V41" t="s">
        <v>183</v>
      </c>
      <c r="W41" s="58" t="str">
        <f t="shared" si="14"/>
        <v/>
      </c>
      <c r="Y41" s="54" t="s">
        <v>183</v>
      </c>
      <c r="Z41" t="str">
        <f t="shared" si="15"/>
        <v/>
      </c>
      <c r="AA41" t="s">
        <v>183</v>
      </c>
      <c r="AB41" s="58" t="str">
        <f t="shared" si="16"/>
        <v/>
      </c>
      <c r="AC41">
        <v>6</v>
      </c>
      <c r="AD41" s="54">
        <v>4</v>
      </c>
      <c r="AE41">
        <f t="shared" si="17"/>
        <v>2020</v>
      </c>
      <c r="AF41" t="s">
        <v>183</v>
      </c>
      <c r="AG41" s="58" t="str">
        <f t="shared" si="18"/>
        <v/>
      </c>
      <c r="AI41" s="54" t="s">
        <v>183</v>
      </c>
      <c r="AJ41" t="str">
        <f t="shared" si="19"/>
        <v/>
      </c>
      <c r="AK41" t="s">
        <v>183</v>
      </c>
      <c r="AL41" s="66" t="str">
        <f t="shared" si="20"/>
        <v/>
      </c>
      <c r="AS41" s="279"/>
      <c r="AU41" s="279"/>
    </row>
    <row r="42" spans="1:47" x14ac:dyDescent="0.35">
      <c r="A42" s="65">
        <v>21</v>
      </c>
      <c r="B42" t="s">
        <v>58</v>
      </c>
      <c r="C42" s="276">
        <v>40898</v>
      </c>
      <c r="D42" s="279"/>
      <c r="E42" s="54"/>
      <c r="F42" t="str">
        <f t="shared" si="7"/>
        <v/>
      </c>
      <c r="G42" t="s">
        <v>183</v>
      </c>
      <c r="H42" s="58" t="str">
        <f t="shared" si="8"/>
        <v/>
      </c>
      <c r="I42">
        <v>2</v>
      </c>
      <c r="J42" s="54">
        <v>4</v>
      </c>
      <c r="K42">
        <f t="shared" si="9"/>
        <v>1875</v>
      </c>
      <c r="L42">
        <v>4</v>
      </c>
      <c r="M42" s="58">
        <f t="shared" si="10"/>
        <v>1130</v>
      </c>
      <c r="O42" s="54"/>
      <c r="P42" t="str">
        <f t="shared" si="11"/>
        <v/>
      </c>
      <c r="Q42" t="s">
        <v>183</v>
      </c>
      <c r="R42" s="58" t="str">
        <f t="shared" si="12"/>
        <v/>
      </c>
      <c r="T42" s="54" t="s">
        <v>183</v>
      </c>
      <c r="U42" t="str">
        <f t="shared" si="13"/>
        <v/>
      </c>
      <c r="V42">
        <v>3</v>
      </c>
      <c r="W42" s="58">
        <f t="shared" si="14"/>
        <v>1205</v>
      </c>
      <c r="Y42" s="54" t="s">
        <v>183</v>
      </c>
      <c r="Z42" t="str">
        <f t="shared" si="15"/>
        <v/>
      </c>
      <c r="AA42" t="s">
        <v>183</v>
      </c>
      <c r="AB42" s="58" t="str">
        <f t="shared" si="16"/>
        <v/>
      </c>
      <c r="AD42" s="54" t="s">
        <v>183</v>
      </c>
      <c r="AE42" t="str">
        <f t="shared" si="17"/>
        <v/>
      </c>
      <c r="AF42" t="s">
        <v>183</v>
      </c>
      <c r="AG42" s="58" t="str">
        <f t="shared" si="18"/>
        <v/>
      </c>
      <c r="AI42" s="54" t="s">
        <v>183</v>
      </c>
      <c r="AJ42" t="str">
        <f t="shared" si="19"/>
        <v/>
      </c>
      <c r="AK42" t="s">
        <v>183</v>
      </c>
      <c r="AL42" s="66" t="str">
        <f t="shared" si="20"/>
        <v/>
      </c>
      <c r="AS42" s="279"/>
      <c r="AU42" s="279"/>
    </row>
    <row r="43" spans="1:47" x14ac:dyDescent="0.35">
      <c r="A43" s="65">
        <v>22</v>
      </c>
      <c r="B43" t="s">
        <v>52</v>
      </c>
      <c r="C43" s="276">
        <v>40899</v>
      </c>
      <c r="D43" s="279"/>
      <c r="E43" s="54"/>
      <c r="F43" t="str">
        <f t="shared" si="7"/>
        <v/>
      </c>
      <c r="G43" t="s">
        <v>183</v>
      </c>
      <c r="H43" s="58" t="str">
        <f t="shared" si="8"/>
        <v/>
      </c>
      <c r="J43" s="54"/>
      <c r="K43" t="str">
        <f t="shared" si="9"/>
        <v/>
      </c>
      <c r="L43" t="s">
        <v>183</v>
      </c>
      <c r="M43" s="58" t="str">
        <f t="shared" si="10"/>
        <v/>
      </c>
      <c r="O43" s="54"/>
      <c r="P43" t="str">
        <f t="shared" si="11"/>
        <v/>
      </c>
      <c r="Q43" t="s">
        <v>183</v>
      </c>
      <c r="R43" s="58" t="str">
        <f t="shared" si="12"/>
        <v/>
      </c>
      <c r="T43" s="54" t="s">
        <v>183</v>
      </c>
      <c r="U43" t="str">
        <f t="shared" si="13"/>
        <v/>
      </c>
      <c r="V43" t="s">
        <v>183</v>
      </c>
      <c r="W43" s="58" t="str">
        <f t="shared" si="14"/>
        <v/>
      </c>
      <c r="Y43" s="54" t="s">
        <v>183</v>
      </c>
      <c r="Z43" t="str">
        <f t="shared" si="15"/>
        <v/>
      </c>
      <c r="AA43" t="s">
        <v>183</v>
      </c>
      <c r="AB43" s="58" t="str">
        <f t="shared" si="16"/>
        <v/>
      </c>
      <c r="AD43" s="54" t="s">
        <v>183</v>
      </c>
      <c r="AE43" t="str">
        <f t="shared" si="17"/>
        <v/>
      </c>
      <c r="AF43" t="s">
        <v>183</v>
      </c>
      <c r="AG43" s="58" t="str">
        <f t="shared" si="18"/>
        <v/>
      </c>
      <c r="AH43">
        <v>7</v>
      </c>
      <c r="AI43" s="54">
        <v>9</v>
      </c>
      <c r="AJ43">
        <f t="shared" si="19"/>
        <v>1490</v>
      </c>
      <c r="AK43" t="s">
        <v>183</v>
      </c>
      <c r="AL43" s="66" t="str">
        <f t="shared" si="20"/>
        <v/>
      </c>
      <c r="AS43" s="279"/>
      <c r="AU43" s="279"/>
    </row>
    <row r="44" spans="1:47" x14ac:dyDescent="0.35">
      <c r="A44" s="65">
        <v>23</v>
      </c>
      <c r="B44" t="s">
        <v>53</v>
      </c>
      <c r="C44" s="276">
        <v>40900</v>
      </c>
      <c r="D44" s="279"/>
      <c r="E44" s="54"/>
      <c r="F44" t="str">
        <f t="shared" si="7"/>
        <v/>
      </c>
      <c r="G44" t="s">
        <v>183</v>
      </c>
      <c r="H44" s="58" t="str">
        <f t="shared" si="8"/>
        <v/>
      </c>
      <c r="J44" s="54"/>
      <c r="K44" t="str">
        <f t="shared" si="9"/>
        <v/>
      </c>
      <c r="L44" t="s">
        <v>183</v>
      </c>
      <c r="M44" s="58" t="str">
        <f t="shared" si="10"/>
        <v/>
      </c>
      <c r="O44" s="54"/>
      <c r="P44" t="str">
        <f t="shared" si="11"/>
        <v/>
      </c>
      <c r="Q44" t="s">
        <v>183</v>
      </c>
      <c r="R44" s="58" t="str">
        <f t="shared" si="12"/>
        <v/>
      </c>
      <c r="T44" s="54" t="s">
        <v>183</v>
      </c>
      <c r="U44" t="str">
        <f t="shared" si="13"/>
        <v/>
      </c>
      <c r="V44" t="s">
        <v>183</v>
      </c>
      <c r="W44" s="58" t="str">
        <f t="shared" si="14"/>
        <v/>
      </c>
      <c r="Y44" s="54" t="s">
        <v>183</v>
      </c>
      <c r="Z44" t="str">
        <f t="shared" si="15"/>
        <v/>
      </c>
      <c r="AA44" t="s">
        <v>183</v>
      </c>
      <c r="AB44" s="58" t="str">
        <f t="shared" si="16"/>
        <v/>
      </c>
      <c r="AC44">
        <v>6</v>
      </c>
      <c r="AD44" s="54">
        <v>5</v>
      </c>
      <c r="AE44">
        <f t="shared" si="17"/>
        <v>2090</v>
      </c>
      <c r="AF44" t="s">
        <v>183</v>
      </c>
      <c r="AG44" s="58" t="str">
        <f t="shared" si="18"/>
        <v/>
      </c>
      <c r="AH44">
        <v>7</v>
      </c>
      <c r="AI44" s="54">
        <v>10</v>
      </c>
      <c r="AJ44">
        <f t="shared" si="19"/>
        <v>1710</v>
      </c>
      <c r="AK44" t="s">
        <v>183</v>
      </c>
      <c r="AL44" s="66" t="str">
        <f t="shared" si="20"/>
        <v/>
      </c>
      <c r="AS44" s="279"/>
      <c r="AU44" s="279"/>
    </row>
    <row r="45" spans="1:47" x14ac:dyDescent="0.35">
      <c r="A45" s="65">
        <v>24</v>
      </c>
      <c r="B45" t="s">
        <v>54</v>
      </c>
      <c r="C45" s="276">
        <v>40901</v>
      </c>
      <c r="D45" s="279"/>
      <c r="E45" s="54"/>
      <c r="F45" t="str">
        <f t="shared" si="7"/>
        <v/>
      </c>
      <c r="G45" t="s">
        <v>183</v>
      </c>
      <c r="H45" s="58" t="str">
        <f t="shared" si="8"/>
        <v/>
      </c>
      <c r="J45" s="54"/>
      <c r="K45" t="str">
        <f t="shared" si="9"/>
        <v/>
      </c>
      <c r="L45" t="s">
        <v>183</v>
      </c>
      <c r="M45" s="58" t="str">
        <f t="shared" si="10"/>
        <v/>
      </c>
      <c r="O45" s="54"/>
      <c r="P45" t="str">
        <f t="shared" si="11"/>
        <v/>
      </c>
      <c r="Q45" t="s">
        <v>183</v>
      </c>
      <c r="R45" s="58" t="str">
        <f t="shared" si="12"/>
        <v/>
      </c>
      <c r="T45" s="54" t="s">
        <v>183</v>
      </c>
      <c r="U45" t="str">
        <f t="shared" si="13"/>
        <v/>
      </c>
      <c r="V45" t="s">
        <v>183</v>
      </c>
      <c r="W45" s="58" t="str">
        <f t="shared" si="14"/>
        <v/>
      </c>
      <c r="Y45" s="54" t="s">
        <v>183</v>
      </c>
      <c r="Z45" t="str">
        <f t="shared" si="15"/>
        <v/>
      </c>
      <c r="AA45" t="s">
        <v>183</v>
      </c>
      <c r="AB45" s="58" t="str">
        <f t="shared" si="16"/>
        <v/>
      </c>
      <c r="AD45" s="54" t="s">
        <v>183</v>
      </c>
      <c r="AE45" t="str">
        <f t="shared" si="17"/>
        <v/>
      </c>
      <c r="AF45" t="s">
        <v>183</v>
      </c>
      <c r="AG45" s="58" t="str">
        <f t="shared" si="18"/>
        <v/>
      </c>
      <c r="AI45" s="54" t="s">
        <v>183</v>
      </c>
      <c r="AJ45" t="str">
        <f t="shared" si="19"/>
        <v/>
      </c>
      <c r="AK45" t="s">
        <v>183</v>
      </c>
      <c r="AL45" s="66" t="str">
        <f t="shared" si="20"/>
        <v/>
      </c>
      <c r="AS45" s="279"/>
      <c r="AU45" s="279"/>
    </row>
    <row r="46" spans="1:47" x14ac:dyDescent="0.35">
      <c r="A46" s="65">
        <v>25</v>
      </c>
      <c r="B46" t="s">
        <v>55</v>
      </c>
      <c r="C46" s="276">
        <v>40902</v>
      </c>
      <c r="D46" s="279"/>
      <c r="E46" s="54"/>
      <c r="F46" t="str">
        <f t="shared" si="7"/>
        <v/>
      </c>
      <c r="G46" t="s">
        <v>183</v>
      </c>
      <c r="H46" s="58" t="str">
        <f t="shared" si="8"/>
        <v/>
      </c>
      <c r="J46" s="54"/>
      <c r="K46" t="str">
        <f t="shared" si="9"/>
        <v/>
      </c>
      <c r="L46" t="s">
        <v>183</v>
      </c>
      <c r="M46" s="58" t="str">
        <f t="shared" si="10"/>
        <v/>
      </c>
      <c r="O46" s="54"/>
      <c r="P46" t="str">
        <f t="shared" si="11"/>
        <v/>
      </c>
      <c r="Q46" t="s">
        <v>183</v>
      </c>
      <c r="R46" s="58" t="str">
        <f t="shared" si="12"/>
        <v/>
      </c>
      <c r="T46" s="54" t="s">
        <v>183</v>
      </c>
      <c r="U46" t="str">
        <f t="shared" si="13"/>
        <v/>
      </c>
      <c r="V46" t="s">
        <v>183</v>
      </c>
      <c r="W46" s="58" t="str">
        <f t="shared" si="14"/>
        <v/>
      </c>
      <c r="Y46" s="54" t="s">
        <v>183</v>
      </c>
      <c r="Z46" t="str">
        <f t="shared" si="15"/>
        <v/>
      </c>
      <c r="AA46" t="s">
        <v>183</v>
      </c>
      <c r="AB46" s="58" t="str">
        <f t="shared" si="16"/>
        <v/>
      </c>
      <c r="AD46" s="54" t="s">
        <v>183</v>
      </c>
      <c r="AE46" t="str">
        <f t="shared" si="17"/>
        <v/>
      </c>
      <c r="AF46" t="s">
        <v>183</v>
      </c>
      <c r="AG46" s="58" t="str">
        <f t="shared" si="18"/>
        <v/>
      </c>
      <c r="AI46" s="54" t="s">
        <v>183</v>
      </c>
      <c r="AJ46" t="str">
        <f t="shared" si="19"/>
        <v/>
      </c>
      <c r="AK46" t="s">
        <v>183</v>
      </c>
      <c r="AL46" s="66" t="str">
        <f t="shared" si="20"/>
        <v/>
      </c>
      <c r="AS46" s="279"/>
      <c r="AU46" s="279"/>
    </row>
    <row r="47" spans="1:47" x14ac:dyDescent="0.35">
      <c r="A47" s="65">
        <v>26</v>
      </c>
      <c r="B47" t="s">
        <v>56</v>
      </c>
      <c r="C47" s="276">
        <v>40903</v>
      </c>
      <c r="D47" s="279"/>
      <c r="E47" s="54"/>
      <c r="F47" t="str">
        <f t="shared" si="7"/>
        <v/>
      </c>
      <c r="G47" t="s">
        <v>183</v>
      </c>
      <c r="H47" s="58" t="str">
        <f t="shared" si="8"/>
        <v/>
      </c>
      <c r="J47" s="54"/>
      <c r="K47" t="str">
        <f t="shared" si="9"/>
        <v/>
      </c>
      <c r="L47" t="s">
        <v>183</v>
      </c>
      <c r="M47" s="58" t="str">
        <f t="shared" si="10"/>
        <v/>
      </c>
      <c r="O47" s="54"/>
      <c r="P47" t="str">
        <f t="shared" si="11"/>
        <v/>
      </c>
      <c r="Q47" t="s">
        <v>183</v>
      </c>
      <c r="R47" s="58" t="str">
        <f t="shared" si="12"/>
        <v/>
      </c>
      <c r="T47" s="54" t="s">
        <v>183</v>
      </c>
      <c r="U47" t="str">
        <f t="shared" si="13"/>
        <v/>
      </c>
      <c r="V47" t="s">
        <v>183</v>
      </c>
      <c r="W47" s="58" t="str">
        <f t="shared" si="14"/>
        <v/>
      </c>
      <c r="Y47" s="54" t="s">
        <v>183</v>
      </c>
      <c r="Z47" t="str">
        <f t="shared" si="15"/>
        <v/>
      </c>
      <c r="AA47" t="s">
        <v>183</v>
      </c>
      <c r="AB47" s="58" t="str">
        <f t="shared" si="16"/>
        <v/>
      </c>
      <c r="AD47" s="54" t="s">
        <v>183</v>
      </c>
      <c r="AE47" t="str">
        <f t="shared" si="17"/>
        <v/>
      </c>
      <c r="AF47">
        <v>4</v>
      </c>
      <c r="AG47" s="58">
        <f t="shared" si="18"/>
        <v>1805</v>
      </c>
      <c r="AI47" s="54" t="s">
        <v>183</v>
      </c>
      <c r="AJ47" t="str">
        <f t="shared" si="19"/>
        <v/>
      </c>
      <c r="AK47" t="s">
        <v>183</v>
      </c>
      <c r="AL47" s="66" t="str">
        <f t="shared" si="20"/>
        <v/>
      </c>
      <c r="AS47" s="279"/>
      <c r="AU47" s="279"/>
    </row>
    <row r="48" spans="1:47" x14ac:dyDescent="0.35">
      <c r="A48" s="65">
        <v>27</v>
      </c>
      <c r="B48" t="s">
        <v>57</v>
      </c>
      <c r="C48" s="276">
        <v>40904</v>
      </c>
      <c r="D48" s="279"/>
      <c r="E48" s="54"/>
      <c r="F48" t="str">
        <f t="shared" si="7"/>
        <v/>
      </c>
      <c r="G48" t="s">
        <v>183</v>
      </c>
      <c r="H48" s="58" t="str">
        <f t="shared" si="8"/>
        <v/>
      </c>
      <c r="J48" s="54"/>
      <c r="K48" t="str">
        <f t="shared" si="9"/>
        <v/>
      </c>
      <c r="L48" t="s">
        <v>183</v>
      </c>
      <c r="M48" s="58" t="str">
        <f t="shared" si="10"/>
        <v/>
      </c>
      <c r="O48" s="54"/>
      <c r="P48" t="str">
        <f t="shared" si="11"/>
        <v/>
      </c>
      <c r="Q48" t="s">
        <v>183</v>
      </c>
      <c r="R48" s="58" t="str">
        <f t="shared" si="12"/>
        <v/>
      </c>
      <c r="S48">
        <v>4</v>
      </c>
      <c r="T48" s="54">
        <v>4</v>
      </c>
      <c r="U48">
        <f t="shared" si="13"/>
        <v>1740</v>
      </c>
      <c r="V48" t="s">
        <v>183</v>
      </c>
      <c r="W48" s="58" t="str">
        <f t="shared" si="14"/>
        <v/>
      </c>
      <c r="X48">
        <v>5</v>
      </c>
      <c r="Y48" s="54">
        <v>4</v>
      </c>
      <c r="Z48">
        <f t="shared" si="15"/>
        <v>1935</v>
      </c>
      <c r="AA48" t="s">
        <v>183</v>
      </c>
      <c r="AB48" s="58" t="str">
        <f t="shared" si="16"/>
        <v/>
      </c>
      <c r="AD48" s="54" t="s">
        <v>183</v>
      </c>
      <c r="AE48" t="str">
        <f t="shared" si="17"/>
        <v/>
      </c>
      <c r="AF48" t="s">
        <v>183</v>
      </c>
      <c r="AG48" s="58" t="str">
        <f t="shared" si="18"/>
        <v/>
      </c>
      <c r="AI48" s="54" t="s">
        <v>183</v>
      </c>
      <c r="AJ48" t="str">
        <f t="shared" si="19"/>
        <v/>
      </c>
      <c r="AK48" t="s">
        <v>183</v>
      </c>
      <c r="AL48" s="66" t="str">
        <f t="shared" si="20"/>
        <v/>
      </c>
      <c r="AS48" s="279"/>
      <c r="AU48" s="279"/>
    </row>
    <row r="49" spans="1:47" x14ac:dyDescent="0.35">
      <c r="A49" s="65">
        <v>28</v>
      </c>
      <c r="B49" t="s">
        <v>58</v>
      </c>
      <c r="C49" s="276">
        <v>40905</v>
      </c>
      <c r="D49" s="279">
        <v>1</v>
      </c>
      <c r="E49" s="54">
        <v>5</v>
      </c>
      <c r="F49">
        <f t="shared" si="7"/>
        <v>1800</v>
      </c>
      <c r="G49">
        <v>5</v>
      </c>
      <c r="H49" s="58">
        <f t="shared" si="8"/>
        <v>840</v>
      </c>
      <c r="J49" s="54"/>
      <c r="K49" t="str">
        <f t="shared" si="9"/>
        <v/>
      </c>
      <c r="L49" t="s">
        <v>183</v>
      </c>
      <c r="M49" s="58" t="str">
        <f t="shared" si="10"/>
        <v/>
      </c>
      <c r="O49" s="54"/>
      <c r="P49" t="str">
        <f t="shared" si="11"/>
        <v/>
      </c>
      <c r="Q49" t="s">
        <v>183</v>
      </c>
      <c r="R49" s="58" t="str">
        <f t="shared" si="12"/>
        <v/>
      </c>
      <c r="T49" s="54" t="s">
        <v>183</v>
      </c>
      <c r="U49" t="str">
        <f t="shared" si="13"/>
        <v/>
      </c>
      <c r="V49">
        <v>4</v>
      </c>
      <c r="W49" s="58">
        <f t="shared" si="14"/>
        <v>1365</v>
      </c>
      <c r="Y49" s="54" t="s">
        <v>183</v>
      </c>
      <c r="Z49" t="str">
        <f t="shared" si="15"/>
        <v/>
      </c>
      <c r="AA49" t="s">
        <v>183</v>
      </c>
      <c r="AB49" s="58" t="str">
        <f t="shared" si="16"/>
        <v/>
      </c>
      <c r="AD49" s="54" t="s">
        <v>183</v>
      </c>
      <c r="AE49" t="str">
        <f t="shared" si="17"/>
        <v/>
      </c>
      <c r="AF49" t="s">
        <v>183</v>
      </c>
      <c r="AG49" s="58" t="str">
        <f t="shared" si="18"/>
        <v/>
      </c>
      <c r="AI49" s="54" t="s">
        <v>183</v>
      </c>
      <c r="AJ49" t="str">
        <f t="shared" si="19"/>
        <v/>
      </c>
      <c r="AK49" t="s">
        <v>183</v>
      </c>
      <c r="AL49" s="66" t="str">
        <f t="shared" si="20"/>
        <v/>
      </c>
      <c r="AS49" s="279"/>
      <c r="AU49" s="279"/>
    </row>
    <row r="50" spans="1:47" x14ac:dyDescent="0.35">
      <c r="A50" s="65">
        <v>29</v>
      </c>
      <c r="B50" t="s">
        <v>52</v>
      </c>
      <c r="C50" s="276">
        <v>40906</v>
      </c>
      <c r="D50" s="279"/>
      <c r="E50" s="54"/>
      <c r="F50" t="str">
        <f t="shared" si="7"/>
        <v/>
      </c>
      <c r="G50" t="s">
        <v>183</v>
      </c>
      <c r="H50" s="58" t="str">
        <f t="shared" si="8"/>
        <v/>
      </c>
      <c r="I50">
        <v>2</v>
      </c>
      <c r="J50" s="54">
        <v>5</v>
      </c>
      <c r="K50">
        <f t="shared" si="9"/>
        <v>1775</v>
      </c>
      <c r="L50">
        <v>5</v>
      </c>
      <c r="M50" s="58">
        <f t="shared" si="10"/>
        <v>1245</v>
      </c>
      <c r="O50" s="54"/>
      <c r="P50" t="str">
        <f t="shared" si="11"/>
        <v/>
      </c>
      <c r="Q50" t="s">
        <v>183</v>
      </c>
      <c r="R50" s="58" t="str">
        <f t="shared" si="12"/>
        <v/>
      </c>
      <c r="T50" s="54" t="s">
        <v>183</v>
      </c>
      <c r="U50" t="str">
        <f t="shared" si="13"/>
        <v/>
      </c>
      <c r="V50" t="s">
        <v>183</v>
      </c>
      <c r="W50" s="58" t="str">
        <f t="shared" si="14"/>
        <v/>
      </c>
      <c r="Y50" s="54" t="s">
        <v>183</v>
      </c>
      <c r="Z50" t="str">
        <f t="shared" si="15"/>
        <v/>
      </c>
      <c r="AA50">
        <v>4</v>
      </c>
      <c r="AB50" s="58">
        <f t="shared" si="16"/>
        <v>1440</v>
      </c>
      <c r="AD50" s="54" t="s">
        <v>183</v>
      </c>
      <c r="AE50" t="str">
        <f t="shared" si="17"/>
        <v/>
      </c>
      <c r="AF50">
        <v>5</v>
      </c>
      <c r="AG50" s="58">
        <f t="shared" si="18"/>
        <v>1785</v>
      </c>
      <c r="AI50" s="54" t="s">
        <v>183</v>
      </c>
      <c r="AJ50" t="str">
        <f t="shared" si="19"/>
        <v/>
      </c>
      <c r="AK50" t="s">
        <v>183</v>
      </c>
      <c r="AL50" s="66" t="str">
        <f t="shared" si="20"/>
        <v/>
      </c>
      <c r="AS50" s="279"/>
      <c r="AU50" s="279"/>
    </row>
    <row r="51" spans="1:47" x14ac:dyDescent="0.35">
      <c r="A51" s="65">
        <v>30</v>
      </c>
      <c r="B51" t="s">
        <v>53</v>
      </c>
      <c r="C51" s="276">
        <v>40907</v>
      </c>
      <c r="D51" s="279"/>
      <c r="E51" s="54"/>
      <c r="F51" t="str">
        <f t="shared" si="7"/>
        <v/>
      </c>
      <c r="G51" t="s">
        <v>183</v>
      </c>
      <c r="H51" s="58" t="str">
        <f t="shared" si="8"/>
        <v/>
      </c>
      <c r="J51" s="54"/>
      <c r="K51" t="str">
        <f t="shared" si="9"/>
        <v/>
      </c>
      <c r="L51" t="s">
        <v>183</v>
      </c>
      <c r="M51" s="58" t="str">
        <f t="shared" si="10"/>
        <v/>
      </c>
      <c r="O51" s="54"/>
      <c r="P51" t="str">
        <f t="shared" si="11"/>
        <v/>
      </c>
      <c r="Q51" t="s">
        <v>183</v>
      </c>
      <c r="R51" s="58" t="str">
        <f t="shared" si="12"/>
        <v/>
      </c>
      <c r="T51" s="54" t="s">
        <v>183</v>
      </c>
      <c r="U51" t="str">
        <f t="shared" si="13"/>
        <v/>
      </c>
      <c r="V51" t="s">
        <v>183</v>
      </c>
      <c r="W51" s="58" t="str">
        <f t="shared" si="14"/>
        <v/>
      </c>
      <c r="Y51" s="54" t="s">
        <v>183</v>
      </c>
      <c r="Z51" t="str">
        <f t="shared" si="15"/>
        <v/>
      </c>
      <c r="AA51" t="s">
        <v>183</v>
      </c>
      <c r="AB51" s="58" t="str">
        <f t="shared" si="16"/>
        <v/>
      </c>
      <c r="AD51" s="54" t="s">
        <v>183</v>
      </c>
      <c r="AE51" t="str">
        <f t="shared" si="17"/>
        <v/>
      </c>
      <c r="AF51" t="s">
        <v>183</v>
      </c>
      <c r="AG51" s="58" t="str">
        <f t="shared" si="18"/>
        <v/>
      </c>
      <c r="AI51" s="54" t="s">
        <v>183</v>
      </c>
      <c r="AJ51" t="str">
        <f t="shared" si="19"/>
        <v/>
      </c>
      <c r="AK51" t="s">
        <v>183</v>
      </c>
      <c r="AL51" s="66" t="str">
        <f t="shared" si="20"/>
        <v/>
      </c>
      <c r="AS51" s="279"/>
      <c r="AU51" s="279"/>
    </row>
    <row r="52" spans="1:47" x14ac:dyDescent="0.35">
      <c r="A52" s="65">
        <v>31</v>
      </c>
      <c r="B52" t="s">
        <v>54</v>
      </c>
      <c r="C52" s="276">
        <v>40908</v>
      </c>
      <c r="D52" s="279"/>
      <c r="E52" s="54"/>
      <c r="F52" t="str">
        <f t="shared" si="7"/>
        <v/>
      </c>
      <c r="G52" t="s">
        <v>183</v>
      </c>
      <c r="H52" s="58" t="str">
        <f t="shared" si="8"/>
        <v/>
      </c>
      <c r="J52" s="54"/>
      <c r="K52" t="str">
        <f t="shared" si="9"/>
        <v/>
      </c>
      <c r="L52" t="s">
        <v>183</v>
      </c>
      <c r="M52" s="58" t="str">
        <f t="shared" si="10"/>
        <v/>
      </c>
      <c r="N52">
        <v>3</v>
      </c>
      <c r="O52" s="54">
        <v>4</v>
      </c>
      <c r="P52">
        <f t="shared" si="11"/>
        <v>1525</v>
      </c>
      <c r="Q52">
        <v>4</v>
      </c>
      <c r="R52" s="58">
        <f t="shared" si="12"/>
        <v>975</v>
      </c>
      <c r="T52" s="54" t="s">
        <v>183</v>
      </c>
      <c r="U52" t="str">
        <f t="shared" si="13"/>
        <v/>
      </c>
      <c r="V52" t="s">
        <v>183</v>
      </c>
      <c r="W52" s="58" t="str">
        <f t="shared" si="14"/>
        <v/>
      </c>
      <c r="Y52" s="54" t="s">
        <v>183</v>
      </c>
      <c r="Z52" t="str">
        <f t="shared" si="15"/>
        <v/>
      </c>
      <c r="AA52" t="s">
        <v>183</v>
      </c>
      <c r="AB52" s="58" t="str">
        <f t="shared" si="16"/>
        <v/>
      </c>
      <c r="AD52" s="54" t="s">
        <v>183</v>
      </c>
      <c r="AE52" t="str">
        <f t="shared" si="17"/>
        <v/>
      </c>
      <c r="AF52" t="s">
        <v>183</v>
      </c>
      <c r="AG52" s="58" t="str">
        <f t="shared" si="18"/>
        <v/>
      </c>
      <c r="AI52" s="54" t="s">
        <v>183</v>
      </c>
      <c r="AJ52" t="str">
        <f t="shared" si="19"/>
        <v/>
      </c>
      <c r="AK52" t="s">
        <v>183</v>
      </c>
      <c r="AL52" s="66" t="str">
        <f t="shared" si="20"/>
        <v/>
      </c>
      <c r="AS52" s="279"/>
      <c r="AU52" s="279"/>
    </row>
    <row r="53" spans="1:47" x14ac:dyDescent="0.35">
      <c r="A53" s="65">
        <v>32</v>
      </c>
      <c r="B53" t="s">
        <v>55</v>
      </c>
      <c r="C53" s="276">
        <v>40909</v>
      </c>
      <c r="D53" s="279"/>
      <c r="E53" s="54"/>
      <c r="F53" t="str">
        <f t="shared" si="7"/>
        <v/>
      </c>
      <c r="G53" t="s">
        <v>183</v>
      </c>
      <c r="H53" s="58" t="str">
        <f t="shared" si="8"/>
        <v/>
      </c>
      <c r="J53" s="54"/>
      <c r="K53" t="str">
        <f t="shared" si="9"/>
        <v/>
      </c>
      <c r="L53" t="s">
        <v>183</v>
      </c>
      <c r="M53" s="58" t="str">
        <f t="shared" si="10"/>
        <v/>
      </c>
      <c r="O53" s="54"/>
      <c r="P53" t="str">
        <f t="shared" si="11"/>
        <v/>
      </c>
      <c r="Q53" t="s">
        <v>183</v>
      </c>
      <c r="R53" s="58" t="str">
        <f t="shared" si="12"/>
        <v/>
      </c>
      <c r="T53" s="54" t="s">
        <v>183</v>
      </c>
      <c r="U53" t="str">
        <f t="shared" si="13"/>
        <v/>
      </c>
      <c r="V53" t="s">
        <v>183</v>
      </c>
      <c r="W53" s="58" t="str">
        <f t="shared" si="14"/>
        <v/>
      </c>
      <c r="Y53" s="54" t="s">
        <v>183</v>
      </c>
      <c r="Z53" t="str">
        <f t="shared" si="15"/>
        <v/>
      </c>
      <c r="AA53" t="s">
        <v>183</v>
      </c>
      <c r="AB53" s="58" t="str">
        <f t="shared" si="16"/>
        <v/>
      </c>
      <c r="AD53" s="54" t="s">
        <v>183</v>
      </c>
      <c r="AE53" t="str">
        <f t="shared" si="17"/>
        <v/>
      </c>
      <c r="AF53" t="s">
        <v>183</v>
      </c>
      <c r="AG53" s="58" t="str">
        <f t="shared" si="18"/>
        <v/>
      </c>
      <c r="AI53" s="54" t="s">
        <v>183</v>
      </c>
      <c r="AJ53" t="str">
        <f t="shared" si="19"/>
        <v/>
      </c>
      <c r="AK53" t="s">
        <v>183</v>
      </c>
      <c r="AL53" s="66" t="str">
        <f t="shared" si="20"/>
        <v/>
      </c>
      <c r="AS53" s="279"/>
      <c r="AU53" s="279"/>
    </row>
    <row r="54" spans="1:47" x14ac:dyDescent="0.35">
      <c r="A54" s="65">
        <v>33</v>
      </c>
      <c r="B54" t="s">
        <v>56</v>
      </c>
      <c r="C54" s="276">
        <v>40910</v>
      </c>
      <c r="D54" s="279"/>
      <c r="E54" s="54"/>
      <c r="F54" t="str">
        <f t="shared" si="7"/>
        <v/>
      </c>
      <c r="G54" t="s">
        <v>183</v>
      </c>
      <c r="H54" s="58" t="str">
        <f t="shared" si="8"/>
        <v/>
      </c>
      <c r="J54" s="54"/>
      <c r="K54" t="str">
        <f t="shared" si="9"/>
        <v/>
      </c>
      <c r="L54" t="s">
        <v>183</v>
      </c>
      <c r="M54" s="58" t="str">
        <f t="shared" si="10"/>
        <v/>
      </c>
      <c r="O54" s="54"/>
      <c r="P54" t="str">
        <f t="shared" si="11"/>
        <v/>
      </c>
      <c r="Q54" t="s">
        <v>183</v>
      </c>
      <c r="R54" s="58" t="str">
        <f t="shared" si="12"/>
        <v/>
      </c>
      <c r="T54" s="54" t="s">
        <v>183</v>
      </c>
      <c r="U54" t="str">
        <f t="shared" si="13"/>
        <v/>
      </c>
      <c r="V54" t="s">
        <v>183</v>
      </c>
      <c r="W54" s="58" t="str">
        <f t="shared" si="14"/>
        <v/>
      </c>
      <c r="Y54" s="54" t="s">
        <v>183</v>
      </c>
      <c r="Z54" t="str">
        <f t="shared" si="15"/>
        <v/>
      </c>
      <c r="AA54" t="s">
        <v>183</v>
      </c>
      <c r="AB54" s="58" t="str">
        <f t="shared" si="16"/>
        <v/>
      </c>
      <c r="AD54" s="54" t="s">
        <v>183</v>
      </c>
      <c r="AE54" t="str">
        <f t="shared" si="17"/>
        <v/>
      </c>
      <c r="AF54" t="s">
        <v>183</v>
      </c>
      <c r="AG54" s="58" t="str">
        <f t="shared" si="18"/>
        <v/>
      </c>
      <c r="AI54" s="54" t="s">
        <v>183</v>
      </c>
      <c r="AJ54" t="str">
        <f t="shared" si="19"/>
        <v/>
      </c>
      <c r="AK54" t="s">
        <v>183</v>
      </c>
      <c r="AL54" s="66" t="str">
        <f t="shared" si="20"/>
        <v/>
      </c>
      <c r="AS54" s="279"/>
      <c r="AU54" s="279"/>
    </row>
    <row r="55" spans="1:47" x14ac:dyDescent="0.35">
      <c r="A55" s="65">
        <v>34</v>
      </c>
      <c r="B55" t="s">
        <v>57</v>
      </c>
      <c r="C55" s="276">
        <v>40911</v>
      </c>
      <c r="D55" s="279"/>
      <c r="E55" s="54"/>
      <c r="F55" t="str">
        <f t="shared" si="7"/>
        <v/>
      </c>
      <c r="G55" t="s">
        <v>183</v>
      </c>
      <c r="H55" s="58" t="str">
        <f t="shared" si="8"/>
        <v/>
      </c>
      <c r="J55" s="54"/>
      <c r="K55" t="str">
        <f t="shared" si="9"/>
        <v/>
      </c>
      <c r="L55" t="s">
        <v>183</v>
      </c>
      <c r="M55" s="58" t="str">
        <f t="shared" si="10"/>
        <v/>
      </c>
      <c r="O55" s="54"/>
      <c r="P55" t="str">
        <f t="shared" si="11"/>
        <v/>
      </c>
      <c r="Q55" t="s">
        <v>183</v>
      </c>
      <c r="R55" s="58" t="str">
        <f t="shared" si="12"/>
        <v/>
      </c>
      <c r="T55" s="54" t="s">
        <v>183</v>
      </c>
      <c r="U55" t="str">
        <f t="shared" si="13"/>
        <v/>
      </c>
      <c r="V55" t="s">
        <v>183</v>
      </c>
      <c r="W55" s="58" t="str">
        <f t="shared" si="14"/>
        <v/>
      </c>
      <c r="Y55" s="54" t="s">
        <v>183</v>
      </c>
      <c r="Z55" t="str">
        <f t="shared" si="15"/>
        <v/>
      </c>
      <c r="AA55" t="s">
        <v>183</v>
      </c>
      <c r="AB55" s="58" t="str">
        <f t="shared" si="16"/>
        <v/>
      </c>
      <c r="AC55">
        <v>6</v>
      </c>
      <c r="AD55" s="54">
        <v>6</v>
      </c>
      <c r="AE55">
        <f t="shared" si="17"/>
        <v>1740</v>
      </c>
      <c r="AF55" t="s">
        <v>183</v>
      </c>
      <c r="AG55" s="58" t="str">
        <f t="shared" si="18"/>
        <v/>
      </c>
      <c r="AI55" s="54" t="s">
        <v>183</v>
      </c>
      <c r="AJ55" t="str">
        <f t="shared" si="19"/>
        <v/>
      </c>
      <c r="AK55" t="s">
        <v>183</v>
      </c>
      <c r="AL55" s="66" t="str">
        <f t="shared" si="20"/>
        <v/>
      </c>
      <c r="AS55" s="279"/>
      <c r="AU55" s="279"/>
    </row>
    <row r="56" spans="1:47" x14ac:dyDescent="0.35">
      <c r="A56" s="65">
        <v>35</v>
      </c>
      <c r="B56" t="s">
        <v>58</v>
      </c>
      <c r="C56" s="276">
        <v>40912</v>
      </c>
      <c r="D56" s="279"/>
      <c r="E56" s="54"/>
      <c r="F56" t="str">
        <f t="shared" si="7"/>
        <v/>
      </c>
      <c r="G56" t="s">
        <v>183</v>
      </c>
      <c r="H56" s="58" t="str">
        <f t="shared" si="8"/>
        <v/>
      </c>
      <c r="J56" s="54"/>
      <c r="K56" t="str">
        <f t="shared" si="9"/>
        <v/>
      </c>
      <c r="L56" t="s">
        <v>183</v>
      </c>
      <c r="M56" s="58" t="str">
        <f t="shared" si="10"/>
        <v/>
      </c>
      <c r="O56" s="54"/>
      <c r="P56" t="str">
        <f t="shared" si="11"/>
        <v/>
      </c>
      <c r="Q56" t="s">
        <v>183</v>
      </c>
      <c r="R56" s="58" t="str">
        <f t="shared" si="12"/>
        <v/>
      </c>
      <c r="T56" s="54" t="s">
        <v>183</v>
      </c>
      <c r="U56" t="str">
        <f t="shared" si="13"/>
        <v/>
      </c>
      <c r="V56" t="s">
        <v>183</v>
      </c>
      <c r="W56" s="58" t="str">
        <f t="shared" si="14"/>
        <v/>
      </c>
      <c r="Y56" s="54" t="s">
        <v>183</v>
      </c>
      <c r="Z56" t="str">
        <f t="shared" si="15"/>
        <v/>
      </c>
      <c r="AA56" t="s">
        <v>183</v>
      </c>
      <c r="AB56" s="58" t="str">
        <f t="shared" si="16"/>
        <v/>
      </c>
      <c r="AD56" s="54" t="s">
        <v>183</v>
      </c>
      <c r="AE56" t="str">
        <f t="shared" si="17"/>
        <v/>
      </c>
      <c r="AF56" t="s">
        <v>183</v>
      </c>
      <c r="AG56" s="58" t="str">
        <f t="shared" si="18"/>
        <v/>
      </c>
      <c r="AI56" s="54" t="s">
        <v>183</v>
      </c>
      <c r="AJ56" t="str">
        <f t="shared" si="19"/>
        <v/>
      </c>
      <c r="AK56" t="s">
        <v>183</v>
      </c>
      <c r="AL56" s="66" t="str">
        <f t="shared" si="20"/>
        <v/>
      </c>
      <c r="AS56" s="279"/>
      <c r="AU56" s="279"/>
    </row>
    <row r="57" spans="1:47" x14ac:dyDescent="0.35">
      <c r="A57" s="65">
        <v>36</v>
      </c>
      <c r="B57" t="s">
        <v>52</v>
      </c>
      <c r="C57" s="276">
        <v>40913</v>
      </c>
      <c r="D57" s="279"/>
      <c r="E57" s="54"/>
      <c r="F57" t="str">
        <f t="shared" si="7"/>
        <v/>
      </c>
      <c r="G57" t="s">
        <v>183</v>
      </c>
      <c r="H57" s="58" t="str">
        <f t="shared" si="8"/>
        <v/>
      </c>
      <c r="J57" s="54"/>
      <c r="K57" t="str">
        <f t="shared" si="9"/>
        <v/>
      </c>
      <c r="L57" t="s">
        <v>183</v>
      </c>
      <c r="M57" s="58" t="str">
        <f t="shared" si="10"/>
        <v/>
      </c>
      <c r="N57">
        <v>3</v>
      </c>
      <c r="O57" s="54">
        <v>5</v>
      </c>
      <c r="P57">
        <f t="shared" si="11"/>
        <v>1770</v>
      </c>
      <c r="Q57">
        <v>5</v>
      </c>
      <c r="R57" s="58">
        <f t="shared" si="12"/>
        <v>1275</v>
      </c>
      <c r="S57">
        <v>4</v>
      </c>
      <c r="T57" s="54">
        <v>5</v>
      </c>
      <c r="U57">
        <f t="shared" si="13"/>
        <v>1875</v>
      </c>
      <c r="V57" t="s">
        <v>183</v>
      </c>
      <c r="W57" s="58" t="str">
        <f t="shared" si="14"/>
        <v/>
      </c>
      <c r="Y57" s="54" t="s">
        <v>183</v>
      </c>
      <c r="Z57" t="str">
        <f t="shared" si="15"/>
        <v/>
      </c>
      <c r="AA57" t="s">
        <v>183</v>
      </c>
      <c r="AB57" s="58" t="str">
        <f t="shared" si="16"/>
        <v/>
      </c>
      <c r="AD57" s="54" t="s">
        <v>183</v>
      </c>
      <c r="AE57" t="str">
        <f t="shared" si="17"/>
        <v/>
      </c>
      <c r="AF57" t="s">
        <v>183</v>
      </c>
      <c r="AG57" s="58" t="str">
        <f t="shared" si="18"/>
        <v/>
      </c>
      <c r="AI57" s="54" t="s">
        <v>183</v>
      </c>
      <c r="AJ57" t="str">
        <f t="shared" si="19"/>
        <v/>
      </c>
      <c r="AK57">
        <v>1</v>
      </c>
      <c r="AL57" s="66">
        <f t="shared" si="20"/>
        <v>1380</v>
      </c>
      <c r="AS57" s="279"/>
      <c r="AU57" s="279"/>
    </row>
    <row r="58" spans="1:47" x14ac:dyDescent="0.35">
      <c r="A58" s="65">
        <v>37</v>
      </c>
      <c r="B58" t="s">
        <v>53</v>
      </c>
      <c r="C58" s="276">
        <v>40914</v>
      </c>
      <c r="D58" s="279"/>
      <c r="E58" s="54"/>
      <c r="F58" t="str">
        <f t="shared" si="7"/>
        <v/>
      </c>
      <c r="G58" t="s">
        <v>183</v>
      </c>
      <c r="H58" s="58" t="str">
        <f t="shared" si="8"/>
        <v/>
      </c>
      <c r="J58" s="54"/>
      <c r="K58" t="str">
        <f t="shared" si="9"/>
        <v/>
      </c>
      <c r="L58" t="s">
        <v>183</v>
      </c>
      <c r="M58" s="58" t="str">
        <f t="shared" si="10"/>
        <v/>
      </c>
      <c r="O58" s="54"/>
      <c r="P58" t="str">
        <f t="shared" si="11"/>
        <v/>
      </c>
      <c r="Q58" t="s">
        <v>183</v>
      </c>
      <c r="R58" s="58" t="str">
        <f t="shared" si="12"/>
        <v/>
      </c>
      <c r="T58" s="54" t="s">
        <v>183</v>
      </c>
      <c r="U58" t="str">
        <f t="shared" si="13"/>
        <v/>
      </c>
      <c r="V58">
        <v>5</v>
      </c>
      <c r="W58" s="58">
        <f t="shared" si="14"/>
        <v>1410</v>
      </c>
      <c r="X58">
        <v>5</v>
      </c>
      <c r="Y58" s="54">
        <v>5</v>
      </c>
      <c r="Z58">
        <f t="shared" si="15"/>
        <v>1830</v>
      </c>
      <c r="AA58" t="s">
        <v>183</v>
      </c>
      <c r="AB58" s="58" t="str">
        <f t="shared" si="16"/>
        <v/>
      </c>
      <c r="AD58" s="54" t="s">
        <v>183</v>
      </c>
      <c r="AE58" t="str">
        <f t="shared" si="17"/>
        <v/>
      </c>
      <c r="AF58" t="s">
        <v>183</v>
      </c>
      <c r="AG58" s="58" t="str">
        <f t="shared" si="18"/>
        <v/>
      </c>
      <c r="AI58" s="54" t="s">
        <v>183</v>
      </c>
      <c r="AJ58" t="str">
        <f t="shared" si="19"/>
        <v/>
      </c>
      <c r="AK58" t="s">
        <v>183</v>
      </c>
      <c r="AL58" s="66" t="str">
        <f t="shared" si="20"/>
        <v/>
      </c>
      <c r="AS58" s="279"/>
      <c r="AU58" s="279"/>
    </row>
    <row r="59" spans="1:47" x14ac:dyDescent="0.35">
      <c r="A59" s="65">
        <v>38</v>
      </c>
      <c r="B59" t="s">
        <v>54</v>
      </c>
      <c r="C59" s="276">
        <v>40915</v>
      </c>
      <c r="D59" s="279">
        <v>1</v>
      </c>
      <c r="E59" s="54">
        <v>6</v>
      </c>
      <c r="F59">
        <f t="shared" si="7"/>
        <v>1815</v>
      </c>
      <c r="G59">
        <v>6</v>
      </c>
      <c r="H59" s="58">
        <f t="shared" si="8"/>
        <v>1345</v>
      </c>
      <c r="J59" s="54"/>
      <c r="K59" t="str">
        <f t="shared" si="9"/>
        <v/>
      </c>
      <c r="L59" t="s">
        <v>183</v>
      </c>
      <c r="M59" s="58" t="str">
        <f t="shared" si="10"/>
        <v/>
      </c>
      <c r="O59" s="54"/>
      <c r="P59" t="str">
        <f t="shared" si="11"/>
        <v/>
      </c>
      <c r="Q59" t="s">
        <v>183</v>
      </c>
      <c r="R59" s="58" t="str">
        <f t="shared" si="12"/>
        <v/>
      </c>
      <c r="T59" s="54" t="s">
        <v>183</v>
      </c>
      <c r="U59" t="str">
        <f t="shared" si="13"/>
        <v/>
      </c>
      <c r="V59" t="s">
        <v>183</v>
      </c>
      <c r="W59" s="58" t="str">
        <f t="shared" si="14"/>
        <v/>
      </c>
      <c r="Y59" s="54" t="s">
        <v>183</v>
      </c>
      <c r="Z59" t="str">
        <f t="shared" si="15"/>
        <v/>
      </c>
      <c r="AA59" t="s">
        <v>183</v>
      </c>
      <c r="AB59" s="58" t="str">
        <f t="shared" si="16"/>
        <v/>
      </c>
      <c r="AC59">
        <v>6</v>
      </c>
      <c r="AD59" s="54">
        <v>7</v>
      </c>
      <c r="AE59">
        <f t="shared" si="17"/>
        <v>1710</v>
      </c>
      <c r="AF59" t="s">
        <v>183</v>
      </c>
      <c r="AG59" s="58" t="str">
        <f t="shared" si="18"/>
        <v/>
      </c>
      <c r="AI59" s="54" t="s">
        <v>183</v>
      </c>
      <c r="AJ59" t="str">
        <f t="shared" si="19"/>
        <v/>
      </c>
      <c r="AK59" t="s">
        <v>183</v>
      </c>
      <c r="AL59" s="66" t="str">
        <f t="shared" si="20"/>
        <v/>
      </c>
      <c r="AS59" s="279"/>
      <c r="AU59" s="279"/>
    </row>
    <row r="60" spans="1:47" x14ac:dyDescent="0.35">
      <c r="A60" s="65">
        <v>39</v>
      </c>
      <c r="B60" t="s">
        <v>55</v>
      </c>
      <c r="C60" s="276">
        <v>40916</v>
      </c>
      <c r="D60" s="279"/>
      <c r="E60" s="54"/>
      <c r="F60" t="str">
        <f t="shared" si="7"/>
        <v/>
      </c>
      <c r="G60" t="s">
        <v>183</v>
      </c>
      <c r="H60" s="58" t="str">
        <f t="shared" si="8"/>
        <v/>
      </c>
      <c r="J60" s="54"/>
      <c r="K60" t="str">
        <f t="shared" si="9"/>
        <v/>
      </c>
      <c r="L60" t="s">
        <v>183</v>
      </c>
      <c r="M60" s="58" t="str">
        <f t="shared" si="10"/>
        <v/>
      </c>
      <c r="O60" s="54"/>
      <c r="P60" t="str">
        <f t="shared" si="11"/>
        <v/>
      </c>
      <c r="Q60" t="s">
        <v>183</v>
      </c>
      <c r="R60" s="58" t="str">
        <f t="shared" si="12"/>
        <v/>
      </c>
      <c r="T60" s="54" t="s">
        <v>183</v>
      </c>
      <c r="U60" t="str">
        <f t="shared" si="13"/>
        <v/>
      </c>
      <c r="V60" t="s">
        <v>183</v>
      </c>
      <c r="W60" s="58" t="str">
        <f t="shared" si="14"/>
        <v/>
      </c>
      <c r="Y60" s="54" t="s">
        <v>183</v>
      </c>
      <c r="Z60" t="str">
        <f t="shared" si="15"/>
        <v/>
      </c>
      <c r="AA60">
        <v>5</v>
      </c>
      <c r="AB60" s="58">
        <f t="shared" si="16"/>
        <v>1500</v>
      </c>
      <c r="AD60" s="54" t="s">
        <v>183</v>
      </c>
      <c r="AE60" t="str">
        <f t="shared" si="17"/>
        <v/>
      </c>
      <c r="AF60" t="s">
        <v>183</v>
      </c>
      <c r="AG60" s="58" t="str">
        <f t="shared" si="18"/>
        <v/>
      </c>
      <c r="AI60" s="54" t="s">
        <v>183</v>
      </c>
      <c r="AJ60" t="str">
        <f t="shared" si="19"/>
        <v/>
      </c>
      <c r="AK60" t="s">
        <v>183</v>
      </c>
      <c r="AL60" s="66" t="str">
        <f t="shared" si="20"/>
        <v/>
      </c>
      <c r="AS60" s="279"/>
      <c r="AU60" s="279"/>
    </row>
    <row r="61" spans="1:47" x14ac:dyDescent="0.35">
      <c r="A61" s="65">
        <v>40</v>
      </c>
      <c r="B61" t="s">
        <v>56</v>
      </c>
      <c r="C61" s="276">
        <v>40917</v>
      </c>
      <c r="D61" s="279"/>
      <c r="E61" s="54"/>
      <c r="F61" t="str">
        <f t="shared" si="7"/>
        <v/>
      </c>
      <c r="G61" t="s">
        <v>183</v>
      </c>
      <c r="H61" s="58" t="str">
        <f t="shared" si="8"/>
        <v/>
      </c>
      <c r="J61" s="54"/>
      <c r="K61" t="str">
        <f t="shared" si="9"/>
        <v/>
      </c>
      <c r="L61" t="s">
        <v>183</v>
      </c>
      <c r="M61" s="58" t="str">
        <f t="shared" si="10"/>
        <v/>
      </c>
      <c r="O61" s="54"/>
      <c r="P61" t="str">
        <f t="shared" si="11"/>
        <v/>
      </c>
      <c r="Q61" t="s">
        <v>183</v>
      </c>
      <c r="R61" s="58" t="str">
        <f t="shared" si="12"/>
        <v/>
      </c>
      <c r="T61" s="54" t="s">
        <v>183</v>
      </c>
      <c r="U61" t="str">
        <f t="shared" si="13"/>
        <v/>
      </c>
      <c r="V61" t="s">
        <v>183</v>
      </c>
      <c r="W61" s="58" t="str">
        <f t="shared" si="14"/>
        <v/>
      </c>
      <c r="Y61" s="54" t="s">
        <v>183</v>
      </c>
      <c r="Z61" t="str">
        <f t="shared" si="15"/>
        <v/>
      </c>
      <c r="AA61" t="s">
        <v>183</v>
      </c>
      <c r="AB61" s="58" t="str">
        <f t="shared" si="16"/>
        <v/>
      </c>
      <c r="AD61" s="54" t="s">
        <v>183</v>
      </c>
      <c r="AE61" t="str">
        <f t="shared" si="17"/>
        <v/>
      </c>
      <c r="AF61">
        <v>6</v>
      </c>
      <c r="AG61" s="58">
        <f t="shared" si="18"/>
        <v>1585</v>
      </c>
      <c r="AI61" s="54" t="s">
        <v>183</v>
      </c>
      <c r="AJ61" t="str">
        <f t="shared" si="19"/>
        <v/>
      </c>
      <c r="AK61">
        <v>2</v>
      </c>
      <c r="AL61" s="66">
        <f t="shared" si="20"/>
        <v>1450</v>
      </c>
      <c r="AS61" s="279"/>
      <c r="AU61" s="279"/>
    </row>
    <row r="62" spans="1:47" x14ac:dyDescent="0.35">
      <c r="A62" s="65">
        <v>41</v>
      </c>
      <c r="B62" t="s">
        <v>57</v>
      </c>
      <c r="C62" s="276">
        <v>40918</v>
      </c>
      <c r="D62" s="279"/>
      <c r="E62" s="54"/>
      <c r="F62" t="str">
        <f t="shared" si="7"/>
        <v/>
      </c>
      <c r="G62" t="s">
        <v>183</v>
      </c>
      <c r="H62" s="58" t="str">
        <f t="shared" si="8"/>
        <v/>
      </c>
      <c r="I62">
        <v>2</v>
      </c>
      <c r="J62" s="54">
        <v>6</v>
      </c>
      <c r="K62">
        <f t="shared" si="9"/>
        <v>1765</v>
      </c>
      <c r="L62">
        <v>6</v>
      </c>
      <c r="M62" s="58">
        <f t="shared" si="10"/>
        <v>1170</v>
      </c>
      <c r="O62" s="54"/>
      <c r="P62" t="str">
        <f t="shared" si="11"/>
        <v/>
      </c>
      <c r="Q62" t="s">
        <v>183</v>
      </c>
      <c r="R62" s="58" t="str">
        <f t="shared" si="12"/>
        <v/>
      </c>
      <c r="T62" s="54" t="s">
        <v>183</v>
      </c>
      <c r="U62" t="str">
        <f t="shared" si="13"/>
        <v/>
      </c>
      <c r="V62" t="s">
        <v>183</v>
      </c>
      <c r="W62" s="58" t="str">
        <f t="shared" si="14"/>
        <v/>
      </c>
      <c r="Y62" s="54" t="s">
        <v>183</v>
      </c>
      <c r="Z62" t="str">
        <f t="shared" si="15"/>
        <v/>
      </c>
      <c r="AA62" t="s">
        <v>183</v>
      </c>
      <c r="AB62" s="58" t="str">
        <f t="shared" si="16"/>
        <v/>
      </c>
      <c r="AD62" s="54" t="s">
        <v>183</v>
      </c>
      <c r="AE62" t="str">
        <f t="shared" si="17"/>
        <v/>
      </c>
      <c r="AF62" t="s">
        <v>183</v>
      </c>
      <c r="AG62" s="58" t="str">
        <f t="shared" si="18"/>
        <v/>
      </c>
      <c r="AI62" s="54" t="s">
        <v>183</v>
      </c>
      <c r="AJ62" t="str">
        <f t="shared" si="19"/>
        <v/>
      </c>
      <c r="AK62">
        <v>3</v>
      </c>
      <c r="AL62" s="66">
        <f t="shared" si="20"/>
        <v>1530</v>
      </c>
      <c r="AS62" s="279"/>
      <c r="AU62" s="279"/>
    </row>
    <row r="63" spans="1:47" x14ac:dyDescent="0.35">
      <c r="A63" s="65">
        <v>42</v>
      </c>
      <c r="B63" t="s">
        <v>58</v>
      </c>
      <c r="C63" s="276">
        <v>40919</v>
      </c>
      <c r="D63" s="279"/>
      <c r="E63" s="54"/>
      <c r="F63" t="str">
        <f t="shared" si="7"/>
        <v/>
      </c>
      <c r="G63" t="s">
        <v>183</v>
      </c>
      <c r="H63" s="58" t="str">
        <f t="shared" si="8"/>
        <v/>
      </c>
      <c r="J63" s="54"/>
      <c r="K63" t="str">
        <f t="shared" si="9"/>
        <v/>
      </c>
      <c r="L63" t="s">
        <v>183</v>
      </c>
      <c r="M63" s="58" t="str">
        <f t="shared" si="10"/>
        <v/>
      </c>
      <c r="O63" s="54"/>
      <c r="P63" t="str">
        <f t="shared" si="11"/>
        <v/>
      </c>
      <c r="Q63" t="s">
        <v>183</v>
      </c>
      <c r="R63" s="58" t="str">
        <f t="shared" si="12"/>
        <v/>
      </c>
      <c r="S63">
        <v>4</v>
      </c>
      <c r="T63" s="54">
        <v>6</v>
      </c>
      <c r="U63">
        <f t="shared" si="13"/>
        <v>1710</v>
      </c>
      <c r="V63" t="s">
        <v>183</v>
      </c>
      <c r="W63" s="58" t="str">
        <f t="shared" si="14"/>
        <v/>
      </c>
      <c r="Y63" s="54" t="s">
        <v>183</v>
      </c>
      <c r="Z63" t="str">
        <f t="shared" si="15"/>
        <v/>
      </c>
      <c r="AA63" t="s">
        <v>183</v>
      </c>
      <c r="AB63" s="58" t="str">
        <f t="shared" si="16"/>
        <v/>
      </c>
      <c r="AC63">
        <v>6</v>
      </c>
      <c r="AD63" s="54">
        <v>8</v>
      </c>
      <c r="AE63">
        <f t="shared" si="17"/>
        <v>2025</v>
      </c>
      <c r="AF63" t="s">
        <v>183</v>
      </c>
      <c r="AG63" s="58" t="str">
        <f t="shared" si="18"/>
        <v/>
      </c>
      <c r="AI63" s="54" t="s">
        <v>183</v>
      </c>
      <c r="AJ63" t="str">
        <f t="shared" si="19"/>
        <v/>
      </c>
      <c r="AK63">
        <v>4</v>
      </c>
      <c r="AL63" s="66">
        <f t="shared" si="20"/>
        <v>1510</v>
      </c>
      <c r="AS63" s="279"/>
      <c r="AU63" s="279"/>
    </row>
    <row r="64" spans="1:47" x14ac:dyDescent="0.35">
      <c r="A64" s="65">
        <v>43</v>
      </c>
      <c r="B64" t="s">
        <v>52</v>
      </c>
      <c r="C64" s="276">
        <v>40920</v>
      </c>
      <c r="D64" s="279"/>
      <c r="E64" s="54"/>
      <c r="F64" t="str">
        <f t="shared" si="7"/>
        <v/>
      </c>
      <c r="G64" t="s">
        <v>183</v>
      </c>
      <c r="H64" s="58" t="str">
        <f t="shared" si="8"/>
        <v/>
      </c>
      <c r="J64" s="54"/>
      <c r="K64" t="str">
        <f t="shared" si="9"/>
        <v/>
      </c>
      <c r="L64" t="s">
        <v>183</v>
      </c>
      <c r="M64" s="58" t="str">
        <f t="shared" si="10"/>
        <v/>
      </c>
      <c r="O64" s="54"/>
      <c r="P64" t="str">
        <f t="shared" si="11"/>
        <v/>
      </c>
      <c r="Q64" t="s">
        <v>183</v>
      </c>
      <c r="R64" s="58" t="str">
        <f t="shared" si="12"/>
        <v/>
      </c>
      <c r="T64" s="54" t="s">
        <v>183</v>
      </c>
      <c r="U64" t="str">
        <f t="shared" si="13"/>
        <v/>
      </c>
      <c r="V64">
        <v>6</v>
      </c>
      <c r="W64" s="58">
        <f t="shared" si="14"/>
        <v>1215</v>
      </c>
      <c r="X64">
        <v>5</v>
      </c>
      <c r="Y64" s="54">
        <v>6</v>
      </c>
      <c r="Z64">
        <f t="shared" si="15"/>
        <v>2130</v>
      </c>
      <c r="AA64" t="s">
        <v>183</v>
      </c>
      <c r="AB64" s="58" t="str">
        <f t="shared" si="16"/>
        <v/>
      </c>
      <c r="AD64" s="54" t="s">
        <v>183</v>
      </c>
      <c r="AE64" t="str">
        <f t="shared" si="17"/>
        <v/>
      </c>
      <c r="AF64" t="s">
        <v>183</v>
      </c>
      <c r="AG64" s="58" t="str">
        <f t="shared" si="18"/>
        <v/>
      </c>
      <c r="AI64" s="54" t="s">
        <v>183</v>
      </c>
      <c r="AJ64" t="str">
        <f t="shared" si="19"/>
        <v/>
      </c>
      <c r="AK64" t="s">
        <v>183</v>
      </c>
      <c r="AL64" s="66" t="str">
        <f t="shared" si="20"/>
        <v/>
      </c>
      <c r="AS64" s="279"/>
      <c r="AU64" s="279"/>
    </row>
    <row r="65" spans="1:47" x14ac:dyDescent="0.35">
      <c r="A65" s="65">
        <v>44</v>
      </c>
      <c r="B65" t="s">
        <v>53</v>
      </c>
      <c r="C65" s="276">
        <v>40921</v>
      </c>
      <c r="D65" s="279"/>
      <c r="E65" s="54"/>
      <c r="F65" t="str">
        <f t="shared" si="7"/>
        <v/>
      </c>
      <c r="G65" t="s">
        <v>183</v>
      </c>
      <c r="H65" s="58" t="str">
        <f t="shared" si="8"/>
        <v/>
      </c>
      <c r="I65">
        <v>2</v>
      </c>
      <c r="J65" s="54">
        <v>7</v>
      </c>
      <c r="K65">
        <f t="shared" si="9"/>
        <v>1680</v>
      </c>
      <c r="L65">
        <v>7</v>
      </c>
      <c r="M65" s="58">
        <f t="shared" si="10"/>
        <v>1125</v>
      </c>
      <c r="O65" s="54"/>
      <c r="P65" t="str">
        <f t="shared" si="11"/>
        <v/>
      </c>
      <c r="Q65" t="s">
        <v>183</v>
      </c>
      <c r="R65" s="58" t="str">
        <f t="shared" si="12"/>
        <v/>
      </c>
      <c r="T65" s="54" t="s">
        <v>183</v>
      </c>
      <c r="U65" t="str">
        <f t="shared" si="13"/>
        <v/>
      </c>
      <c r="V65" t="s">
        <v>183</v>
      </c>
      <c r="W65" s="58" t="str">
        <f t="shared" si="14"/>
        <v/>
      </c>
      <c r="Y65" s="54" t="s">
        <v>183</v>
      </c>
      <c r="Z65" t="str">
        <f t="shared" si="15"/>
        <v/>
      </c>
      <c r="AA65" t="s">
        <v>183</v>
      </c>
      <c r="AB65" s="58" t="str">
        <f t="shared" si="16"/>
        <v/>
      </c>
      <c r="AD65" s="54" t="s">
        <v>183</v>
      </c>
      <c r="AE65" t="str">
        <f t="shared" si="17"/>
        <v/>
      </c>
      <c r="AF65">
        <v>7</v>
      </c>
      <c r="AG65" s="58">
        <f t="shared" si="18"/>
        <v>1350</v>
      </c>
      <c r="AI65" s="54" t="s">
        <v>183</v>
      </c>
      <c r="AJ65" t="str">
        <f t="shared" si="19"/>
        <v/>
      </c>
      <c r="AK65">
        <v>5</v>
      </c>
      <c r="AL65" s="66">
        <f t="shared" si="20"/>
        <v>1760</v>
      </c>
      <c r="AS65" s="279"/>
      <c r="AU65" s="279"/>
    </row>
    <row r="66" spans="1:47" x14ac:dyDescent="0.35">
      <c r="A66" s="65">
        <v>45</v>
      </c>
      <c r="B66" t="s">
        <v>54</v>
      </c>
      <c r="C66" s="276">
        <v>40922</v>
      </c>
      <c r="D66" s="279"/>
      <c r="E66" s="54"/>
      <c r="F66" t="str">
        <f t="shared" si="7"/>
        <v/>
      </c>
      <c r="G66" t="s">
        <v>183</v>
      </c>
      <c r="H66" s="58" t="str">
        <f t="shared" si="8"/>
        <v/>
      </c>
      <c r="J66" s="54"/>
      <c r="K66" t="str">
        <f t="shared" si="9"/>
        <v/>
      </c>
      <c r="L66" t="s">
        <v>183</v>
      </c>
      <c r="M66" s="58" t="str">
        <f t="shared" si="10"/>
        <v/>
      </c>
      <c r="N66">
        <v>3</v>
      </c>
      <c r="O66" s="54">
        <v>6</v>
      </c>
      <c r="P66">
        <f t="shared" si="11"/>
        <v>1815</v>
      </c>
      <c r="Q66">
        <v>6</v>
      </c>
      <c r="R66" s="58">
        <f t="shared" si="12"/>
        <v>1335</v>
      </c>
      <c r="T66" s="54" t="s">
        <v>183</v>
      </c>
      <c r="U66" t="str">
        <f t="shared" si="13"/>
        <v/>
      </c>
      <c r="V66" t="s">
        <v>183</v>
      </c>
      <c r="W66" s="58" t="str">
        <f t="shared" si="14"/>
        <v/>
      </c>
      <c r="X66">
        <v>5</v>
      </c>
      <c r="Y66" s="54">
        <v>7</v>
      </c>
      <c r="Z66">
        <f t="shared" si="15"/>
        <v>1890</v>
      </c>
      <c r="AA66">
        <v>6</v>
      </c>
      <c r="AB66" s="58">
        <f t="shared" si="16"/>
        <v>1485</v>
      </c>
      <c r="AD66" s="54" t="s">
        <v>183</v>
      </c>
      <c r="AE66" t="str">
        <f t="shared" si="17"/>
        <v/>
      </c>
      <c r="AF66" t="s">
        <v>183</v>
      </c>
      <c r="AG66" s="58" t="str">
        <f t="shared" si="18"/>
        <v/>
      </c>
      <c r="AI66" s="54" t="s">
        <v>183</v>
      </c>
      <c r="AJ66" t="str">
        <f t="shared" si="19"/>
        <v/>
      </c>
      <c r="AK66" t="s">
        <v>183</v>
      </c>
      <c r="AL66" s="66" t="str">
        <f t="shared" si="20"/>
        <v/>
      </c>
      <c r="AS66" s="279"/>
      <c r="AU66" s="279"/>
    </row>
    <row r="67" spans="1:47" x14ac:dyDescent="0.35">
      <c r="A67" s="65">
        <v>46</v>
      </c>
      <c r="B67" t="s">
        <v>55</v>
      </c>
      <c r="C67" s="276">
        <v>40923</v>
      </c>
      <c r="D67" s="279"/>
      <c r="E67" s="54"/>
      <c r="F67" t="str">
        <f t="shared" si="7"/>
        <v/>
      </c>
      <c r="G67" t="s">
        <v>183</v>
      </c>
      <c r="H67" s="58" t="str">
        <f t="shared" si="8"/>
        <v/>
      </c>
      <c r="J67" s="54"/>
      <c r="K67" t="str">
        <f t="shared" si="9"/>
        <v/>
      </c>
      <c r="L67" t="s">
        <v>183</v>
      </c>
      <c r="M67" s="58" t="str">
        <f t="shared" si="10"/>
        <v/>
      </c>
      <c r="O67" s="54"/>
      <c r="P67" t="str">
        <f t="shared" si="11"/>
        <v/>
      </c>
      <c r="Q67" t="s">
        <v>183</v>
      </c>
      <c r="R67" s="58" t="str">
        <f t="shared" si="12"/>
        <v/>
      </c>
      <c r="T67" s="54" t="s">
        <v>183</v>
      </c>
      <c r="U67" t="str">
        <f t="shared" si="13"/>
        <v/>
      </c>
      <c r="V67" t="s">
        <v>183</v>
      </c>
      <c r="W67" s="58" t="str">
        <f t="shared" si="14"/>
        <v/>
      </c>
      <c r="Y67" s="54" t="s">
        <v>183</v>
      </c>
      <c r="Z67" t="str">
        <f t="shared" si="15"/>
        <v/>
      </c>
      <c r="AA67" t="s">
        <v>183</v>
      </c>
      <c r="AB67" s="58" t="str">
        <f t="shared" si="16"/>
        <v/>
      </c>
      <c r="AD67" s="54" t="s">
        <v>183</v>
      </c>
      <c r="AE67" t="str">
        <f t="shared" si="17"/>
        <v/>
      </c>
      <c r="AF67" t="s">
        <v>183</v>
      </c>
      <c r="AG67" s="58" t="str">
        <f t="shared" si="18"/>
        <v/>
      </c>
      <c r="AI67" s="54" t="s">
        <v>183</v>
      </c>
      <c r="AJ67" t="str">
        <f t="shared" si="19"/>
        <v/>
      </c>
      <c r="AK67">
        <v>6</v>
      </c>
      <c r="AL67" s="66">
        <f t="shared" si="20"/>
        <v>1785</v>
      </c>
      <c r="AS67" s="279"/>
      <c r="AU67" s="279"/>
    </row>
    <row r="68" spans="1:47" x14ac:dyDescent="0.35">
      <c r="A68" s="65">
        <v>47</v>
      </c>
      <c r="B68" t="s">
        <v>56</v>
      </c>
      <c r="C68" s="276">
        <v>40924</v>
      </c>
      <c r="D68" s="279"/>
      <c r="E68" s="54"/>
      <c r="F68" t="str">
        <f t="shared" si="7"/>
        <v/>
      </c>
      <c r="G68" t="s">
        <v>183</v>
      </c>
      <c r="H68" s="58" t="str">
        <f t="shared" si="8"/>
        <v/>
      </c>
      <c r="J68" s="54"/>
      <c r="K68" t="str">
        <f t="shared" si="9"/>
        <v/>
      </c>
      <c r="L68" t="s">
        <v>183</v>
      </c>
      <c r="M68" s="58" t="str">
        <f t="shared" si="10"/>
        <v/>
      </c>
      <c r="N68">
        <v>3</v>
      </c>
      <c r="O68" s="54">
        <v>7</v>
      </c>
      <c r="P68">
        <f t="shared" si="11"/>
        <v>1635</v>
      </c>
      <c r="Q68">
        <v>7</v>
      </c>
      <c r="R68" s="58">
        <f t="shared" si="12"/>
        <v>1220</v>
      </c>
      <c r="T68" s="54" t="s">
        <v>183</v>
      </c>
      <c r="U68" t="str">
        <f t="shared" si="13"/>
        <v/>
      </c>
      <c r="V68" t="s">
        <v>183</v>
      </c>
      <c r="W68" s="58" t="str">
        <f t="shared" si="14"/>
        <v/>
      </c>
      <c r="Y68" s="54" t="s">
        <v>183</v>
      </c>
      <c r="Z68" t="str">
        <f t="shared" si="15"/>
        <v/>
      </c>
      <c r="AA68">
        <v>7</v>
      </c>
      <c r="AB68" s="58">
        <f t="shared" si="16"/>
        <v>1440</v>
      </c>
      <c r="AD68" s="54" t="s">
        <v>183</v>
      </c>
      <c r="AE68" t="str">
        <f t="shared" si="17"/>
        <v/>
      </c>
      <c r="AF68" t="s">
        <v>183</v>
      </c>
      <c r="AG68" s="58" t="str">
        <f t="shared" si="18"/>
        <v/>
      </c>
      <c r="AI68" s="54" t="s">
        <v>183</v>
      </c>
      <c r="AJ68" t="str">
        <f t="shared" si="19"/>
        <v/>
      </c>
      <c r="AK68" t="s">
        <v>183</v>
      </c>
      <c r="AL68" s="66" t="str">
        <f t="shared" si="20"/>
        <v/>
      </c>
      <c r="AS68" s="279"/>
      <c r="AU68" s="279"/>
    </row>
    <row r="69" spans="1:47" x14ac:dyDescent="0.35">
      <c r="A69" s="65">
        <v>48</v>
      </c>
      <c r="B69" t="s">
        <v>57</v>
      </c>
      <c r="C69" s="276">
        <v>40925</v>
      </c>
      <c r="D69" s="279"/>
      <c r="E69" s="54"/>
      <c r="F69" t="str">
        <f t="shared" si="7"/>
        <v/>
      </c>
      <c r="G69" t="s">
        <v>183</v>
      </c>
      <c r="H69" s="58" t="str">
        <f t="shared" si="8"/>
        <v/>
      </c>
      <c r="J69" s="54"/>
      <c r="K69" t="str">
        <f t="shared" si="9"/>
        <v/>
      </c>
      <c r="L69" t="s">
        <v>183</v>
      </c>
      <c r="M69" s="58" t="str">
        <f t="shared" si="10"/>
        <v/>
      </c>
      <c r="O69" s="54"/>
      <c r="P69" t="str">
        <f t="shared" si="11"/>
        <v/>
      </c>
      <c r="Q69" t="s">
        <v>183</v>
      </c>
      <c r="R69" s="58" t="str">
        <f t="shared" si="12"/>
        <v/>
      </c>
      <c r="T69" s="54" t="s">
        <v>183</v>
      </c>
      <c r="U69" t="str">
        <f t="shared" si="13"/>
        <v/>
      </c>
      <c r="V69" t="s">
        <v>183</v>
      </c>
      <c r="W69" s="58" t="str">
        <f t="shared" si="14"/>
        <v/>
      </c>
      <c r="Y69" s="54" t="s">
        <v>183</v>
      </c>
      <c r="Z69" t="str">
        <f t="shared" si="15"/>
        <v/>
      </c>
      <c r="AA69" t="s">
        <v>183</v>
      </c>
      <c r="AB69" s="58" t="str">
        <f t="shared" si="16"/>
        <v/>
      </c>
      <c r="AD69" s="54" t="s">
        <v>183</v>
      </c>
      <c r="AE69" t="str">
        <f t="shared" si="17"/>
        <v/>
      </c>
      <c r="AF69">
        <v>8</v>
      </c>
      <c r="AG69" s="58">
        <f t="shared" si="18"/>
        <v>1665</v>
      </c>
      <c r="AI69" s="54" t="s">
        <v>183</v>
      </c>
      <c r="AJ69" t="str">
        <f t="shared" si="19"/>
        <v/>
      </c>
      <c r="AK69">
        <v>7</v>
      </c>
      <c r="AL69" s="66">
        <f t="shared" si="20"/>
        <v>1745</v>
      </c>
      <c r="AS69" s="279"/>
      <c r="AU69" s="279"/>
    </row>
    <row r="70" spans="1:47" x14ac:dyDescent="0.35">
      <c r="A70" s="65">
        <v>49</v>
      </c>
      <c r="B70" t="s">
        <v>58</v>
      </c>
      <c r="C70" s="276">
        <v>40926</v>
      </c>
      <c r="D70" s="279">
        <v>1</v>
      </c>
      <c r="E70" s="54">
        <v>7</v>
      </c>
      <c r="F70">
        <f t="shared" si="7"/>
        <v>2040</v>
      </c>
      <c r="G70">
        <v>7</v>
      </c>
      <c r="H70" s="58">
        <f t="shared" si="8"/>
        <v>1110</v>
      </c>
      <c r="J70" s="54"/>
      <c r="K70" t="str">
        <f t="shared" si="9"/>
        <v/>
      </c>
      <c r="L70" t="s">
        <v>183</v>
      </c>
      <c r="M70" s="58" t="str">
        <f t="shared" si="10"/>
        <v/>
      </c>
      <c r="O70" s="54"/>
      <c r="P70" t="str">
        <f t="shared" si="11"/>
        <v/>
      </c>
      <c r="Q70" t="s">
        <v>183</v>
      </c>
      <c r="R70" s="58" t="str">
        <f t="shared" si="12"/>
        <v/>
      </c>
      <c r="T70" s="54" t="s">
        <v>183</v>
      </c>
      <c r="U70" t="str">
        <f t="shared" si="13"/>
        <v/>
      </c>
      <c r="V70" t="s">
        <v>183</v>
      </c>
      <c r="W70" s="58" t="str">
        <f t="shared" si="14"/>
        <v/>
      </c>
      <c r="Y70" s="54" t="s">
        <v>183</v>
      </c>
      <c r="Z70" t="str">
        <f t="shared" si="15"/>
        <v/>
      </c>
      <c r="AA70" t="s">
        <v>183</v>
      </c>
      <c r="AB70" s="58" t="str">
        <f t="shared" si="16"/>
        <v/>
      </c>
      <c r="AC70">
        <v>6</v>
      </c>
      <c r="AD70" s="54">
        <v>9</v>
      </c>
      <c r="AE70">
        <f t="shared" si="17"/>
        <v>2100</v>
      </c>
      <c r="AF70" t="s">
        <v>183</v>
      </c>
      <c r="AG70" s="58" t="str">
        <f t="shared" si="18"/>
        <v/>
      </c>
      <c r="AI70" s="54" t="s">
        <v>183</v>
      </c>
      <c r="AJ70" t="str">
        <f t="shared" si="19"/>
        <v/>
      </c>
      <c r="AK70" t="s">
        <v>183</v>
      </c>
      <c r="AL70" s="66" t="str">
        <f t="shared" si="20"/>
        <v/>
      </c>
      <c r="AS70" s="279"/>
      <c r="AU70" s="279"/>
    </row>
    <row r="71" spans="1:47" x14ac:dyDescent="0.35">
      <c r="A71" s="65">
        <v>50</v>
      </c>
      <c r="B71" t="s">
        <v>52</v>
      </c>
      <c r="C71" s="276">
        <v>40927</v>
      </c>
      <c r="D71" s="279"/>
      <c r="E71" s="54"/>
      <c r="F71" t="str">
        <f t="shared" si="7"/>
        <v/>
      </c>
      <c r="G71" t="s">
        <v>183</v>
      </c>
      <c r="H71" s="58" t="str">
        <f t="shared" si="8"/>
        <v/>
      </c>
      <c r="J71" s="54"/>
      <c r="K71" t="str">
        <f t="shared" si="9"/>
        <v/>
      </c>
      <c r="L71" t="s">
        <v>183</v>
      </c>
      <c r="M71" s="58" t="str">
        <f t="shared" si="10"/>
        <v/>
      </c>
      <c r="O71" s="54"/>
      <c r="P71" t="str">
        <f t="shared" si="11"/>
        <v/>
      </c>
      <c r="Q71" t="s">
        <v>183</v>
      </c>
      <c r="R71" s="58" t="str">
        <f t="shared" si="12"/>
        <v/>
      </c>
      <c r="T71" s="54" t="s">
        <v>183</v>
      </c>
      <c r="U71" t="str">
        <f t="shared" si="13"/>
        <v/>
      </c>
      <c r="V71" t="s">
        <v>183</v>
      </c>
      <c r="W71" s="58" t="str">
        <f t="shared" si="14"/>
        <v/>
      </c>
      <c r="Y71" s="54" t="s">
        <v>183</v>
      </c>
      <c r="Z71" t="str">
        <f t="shared" si="15"/>
        <v/>
      </c>
      <c r="AA71" t="s">
        <v>183</v>
      </c>
      <c r="AB71" s="58" t="str">
        <f t="shared" si="16"/>
        <v/>
      </c>
      <c r="AD71" s="54" t="s">
        <v>183</v>
      </c>
      <c r="AE71" t="str">
        <f t="shared" si="17"/>
        <v/>
      </c>
      <c r="AF71" t="s">
        <v>183</v>
      </c>
      <c r="AG71" s="58" t="str">
        <f t="shared" si="18"/>
        <v/>
      </c>
      <c r="AI71" s="54" t="s">
        <v>183</v>
      </c>
      <c r="AJ71" t="str">
        <f t="shared" si="19"/>
        <v/>
      </c>
      <c r="AK71">
        <v>8</v>
      </c>
      <c r="AL71" s="66">
        <f t="shared" si="20"/>
        <v>1505</v>
      </c>
      <c r="AS71" s="279"/>
      <c r="AU71" s="279"/>
    </row>
    <row r="72" spans="1:47" x14ac:dyDescent="0.35">
      <c r="A72" s="65">
        <v>51</v>
      </c>
      <c r="B72" t="s">
        <v>53</v>
      </c>
      <c r="C72" s="276">
        <v>40928</v>
      </c>
      <c r="D72" s="279"/>
      <c r="E72" s="54"/>
      <c r="F72" t="str">
        <f t="shared" si="7"/>
        <v/>
      </c>
      <c r="G72" t="s">
        <v>183</v>
      </c>
      <c r="H72" s="58" t="str">
        <f t="shared" si="8"/>
        <v/>
      </c>
      <c r="I72">
        <v>2</v>
      </c>
      <c r="J72" s="54">
        <v>8</v>
      </c>
      <c r="K72">
        <f t="shared" si="9"/>
        <v>1905</v>
      </c>
      <c r="L72">
        <v>8</v>
      </c>
      <c r="M72" s="58">
        <f t="shared" si="10"/>
        <v>1250</v>
      </c>
      <c r="O72" s="54"/>
      <c r="P72" t="str">
        <f t="shared" si="11"/>
        <v/>
      </c>
      <c r="Q72" t="s">
        <v>183</v>
      </c>
      <c r="R72" s="58" t="str">
        <f t="shared" si="12"/>
        <v/>
      </c>
      <c r="S72">
        <v>4</v>
      </c>
      <c r="T72" s="54">
        <v>7</v>
      </c>
      <c r="U72">
        <f t="shared" si="13"/>
        <v>1905</v>
      </c>
      <c r="V72" t="s">
        <v>183</v>
      </c>
      <c r="W72" s="58" t="str">
        <f t="shared" si="14"/>
        <v/>
      </c>
      <c r="Y72" s="54" t="s">
        <v>183</v>
      </c>
      <c r="Z72" t="str">
        <f t="shared" si="15"/>
        <v/>
      </c>
      <c r="AA72" t="s">
        <v>183</v>
      </c>
      <c r="AB72" s="58" t="str">
        <f t="shared" si="16"/>
        <v/>
      </c>
      <c r="AD72" s="54" t="s">
        <v>183</v>
      </c>
      <c r="AE72" t="str">
        <f t="shared" si="17"/>
        <v/>
      </c>
      <c r="AF72" t="s">
        <v>183</v>
      </c>
      <c r="AG72" s="58" t="str">
        <f t="shared" si="18"/>
        <v/>
      </c>
      <c r="AI72" s="54" t="s">
        <v>183</v>
      </c>
      <c r="AJ72" t="str">
        <f t="shared" si="19"/>
        <v/>
      </c>
      <c r="AK72" t="s">
        <v>183</v>
      </c>
      <c r="AL72" s="66" t="str">
        <f t="shared" si="20"/>
        <v/>
      </c>
      <c r="AS72" s="279"/>
      <c r="AU72" s="279"/>
    </row>
    <row r="73" spans="1:47" x14ac:dyDescent="0.35">
      <c r="A73" s="65">
        <v>52</v>
      </c>
      <c r="B73" t="s">
        <v>54</v>
      </c>
      <c r="C73" s="276">
        <v>40929</v>
      </c>
      <c r="D73" s="279"/>
      <c r="E73" s="54"/>
      <c r="F73" t="str">
        <f t="shared" si="7"/>
        <v/>
      </c>
      <c r="G73" t="s">
        <v>183</v>
      </c>
      <c r="H73" s="58" t="str">
        <f t="shared" si="8"/>
        <v/>
      </c>
      <c r="J73" s="54"/>
      <c r="K73" t="str">
        <f t="shared" si="9"/>
        <v/>
      </c>
      <c r="L73" t="s">
        <v>183</v>
      </c>
      <c r="M73" s="58" t="str">
        <f t="shared" si="10"/>
        <v/>
      </c>
      <c r="O73" s="54"/>
      <c r="P73" t="str">
        <f t="shared" si="11"/>
        <v/>
      </c>
      <c r="Q73" t="s">
        <v>183</v>
      </c>
      <c r="R73" s="58" t="str">
        <f t="shared" si="12"/>
        <v/>
      </c>
      <c r="T73" s="54" t="s">
        <v>183</v>
      </c>
      <c r="U73" t="str">
        <f t="shared" si="13"/>
        <v/>
      </c>
      <c r="V73">
        <v>7</v>
      </c>
      <c r="W73" s="58">
        <f t="shared" si="14"/>
        <v>1325</v>
      </c>
      <c r="Y73" s="54" t="s">
        <v>183</v>
      </c>
      <c r="Z73" t="str">
        <f t="shared" si="15"/>
        <v/>
      </c>
      <c r="AA73" t="s">
        <v>183</v>
      </c>
      <c r="AB73" s="58" t="str">
        <f t="shared" si="16"/>
        <v/>
      </c>
      <c r="AD73" s="54" t="s">
        <v>183</v>
      </c>
      <c r="AE73" t="str">
        <f t="shared" si="17"/>
        <v/>
      </c>
      <c r="AF73" t="s">
        <v>183</v>
      </c>
      <c r="AG73" s="58" t="str">
        <f t="shared" si="18"/>
        <v/>
      </c>
      <c r="AI73" s="54" t="s">
        <v>183</v>
      </c>
      <c r="AJ73" t="str">
        <f t="shared" si="19"/>
        <v/>
      </c>
      <c r="AK73" t="s">
        <v>183</v>
      </c>
      <c r="AL73" s="66" t="str">
        <f t="shared" si="20"/>
        <v/>
      </c>
      <c r="AS73" s="279"/>
      <c r="AU73" s="279"/>
    </row>
    <row r="74" spans="1:47" x14ac:dyDescent="0.35">
      <c r="A74" s="65">
        <v>53</v>
      </c>
      <c r="B74" t="s">
        <v>55</v>
      </c>
      <c r="C74" s="276">
        <v>40930</v>
      </c>
      <c r="D74" s="279"/>
      <c r="E74" s="54"/>
      <c r="F74" t="str">
        <f t="shared" si="7"/>
        <v/>
      </c>
      <c r="G74" t="s">
        <v>183</v>
      </c>
      <c r="H74" s="58" t="str">
        <f t="shared" si="8"/>
        <v/>
      </c>
      <c r="J74" s="54"/>
      <c r="K74" t="str">
        <f t="shared" si="9"/>
        <v/>
      </c>
      <c r="L74" t="s">
        <v>183</v>
      </c>
      <c r="M74" s="58" t="str">
        <f t="shared" si="10"/>
        <v/>
      </c>
      <c r="O74" s="54"/>
      <c r="P74" t="str">
        <f t="shared" si="11"/>
        <v/>
      </c>
      <c r="Q74" t="s">
        <v>183</v>
      </c>
      <c r="R74" s="58" t="str">
        <f t="shared" si="12"/>
        <v/>
      </c>
      <c r="T74" s="54" t="s">
        <v>183</v>
      </c>
      <c r="U74" t="str">
        <f t="shared" si="13"/>
        <v/>
      </c>
      <c r="V74" t="s">
        <v>183</v>
      </c>
      <c r="W74" s="58" t="str">
        <f t="shared" si="14"/>
        <v/>
      </c>
      <c r="Y74" s="54" t="s">
        <v>183</v>
      </c>
      <c r="Z74" t="str">
        <f t="shared" si="15"/>
        <v/>
      </c>
      <c r="AA74" t="s">
        <v>183</v>
      </c>
      <c r="AB74" s="58" t="str">
        <f t="shared" si="16"/>
        <v/>
      </c>
      <c r="AD74" s="54" t="s">
        <v>183</v>
      </c>
      <c r="AE74" t="str">
        <f t="shared" si="17"/>
        <v/>
      </c>
      <c r="AF74" t="s">
        <v>183</v>
      </c>
      <c r="AG74" s="58" t="str">
        <f t="shared" si="18"/>
        <v/>
      </c>
      <c r="AI74" s="54" t="s">
        <v>183</v>
      </c>
      <c r="AJ74" t="str">
        <f t="shared" si="19"/>
        <v/>
      </c>
      <c r="AK74">
        <v>9</v>
      </c>
      <c r="AL74" s="66">
        <f t="shared" si="20"/>
        <v>1260</v>
      </c>
      <c r="AS74" s="279"/>
      <c r="AU74" s="279"/>
    </row>
    <row r="75" spans="1:47" x14ac:dyDescent="0.35">
      <c r="A75" s="65">
        <v>54</v>
      </c>
      <c r="B75" t="s">
        <v>56</v>
      </c>
      <c r="C75" s="276">
        <v>40931</v>
      </c>
      <c r="D75" s="279"/>
      <c r="E75" s="54"/>
      <c r="F75" t="str">
        <f t="shared" si="7"/>
        <v/>
      </c>
      <c r="G75" t="s">
        <v>183</v>
      </c>
      <c r="H75" s="58" t="str">
        <f t="shared" si="8"/>
        <v/>
      </c>
      <c r="J75" s="54"/>
      <c r="K75" t="str">
        <f t="shared" si="9"/>
        <v/>
      </c>
      <c r="L75" t="s">
        <v>183</v>
      </c>
      <c r="M75" s="58" t="str">
        <f t="shared" si="10"/>
        <v/>
      </c>
      <c r="O75" s="54"/>
      <c r="P75" t="str">
        <f t="shared" si="11"/>
        <v/>
      </c>
      <c r="Q75" t="s">
        <v>183</v>
      </c>
      <c r="R75" s="58" t="str">
        <f t="shared" si="12"/>
        <v/>
      </c>
      <c r="T75" s="54" t="s">
        <v>183</v>
      </c>
      <c r="U75" t="str">
        <f t="shared" si="13"/>
        <v/>
      </c>
      <c r="V75" t="s">
        <v>183</v>
      </c>
      <c r="W75" s="58" t="str">
        <f t="shared" si="14"/>
        <v/>
      </c>
      <c r="Y75" s="54" t="s">
        <v>183</v>
      </c>
      <c r="Z75" t="str">
        <f t="shared" si="15"/>
        <v/>
      </c>
      <c r="AA75" t="s">
        <v>183</v>
      </c>
      <c r="AB75" s="58" t="str">
        <f t="shared" si="16"/>
        <v/>
      </c>
      <c r="AD75" s="54" t="s">
        <v>183</v>
      </c>
      <c r="AE75" t="str">
        <f t="shared" si="17"/>
        <v/>
      </c>
      <c r="AF75" t="s">
        <v>183</v>
      </c>
      <c r="AG75" s="58" t="str">
        <f t="shared" si="18"/>
        <v/>
      </c>
      <c r="AI75" s="54" t="s">
        <v>183</v>
      </c>
      <c r="AJ75" t="str">
        <f t="shared" si="19"/>
        <v/>
      </c>
      <c r="AK75">
        <v>10</v>
      </c>
      <c r="AL75" s="66">
        <f t="shared" si="20"/>
        <v>1395</v>
      </c>
      <c r="AS75" s="279"/>
      <c r="AU75" s="279"/>
    </row>
    <row r="76" spans="1:47" x14ac:dyDescent="0.35">
      <c r="A76" s="65">
        <v>55</v>
      </c>
      <c r="B76" t="s">
        <v>57</v>
      </c>
      <c r="C76" s="276">
        <v>40932</v>
      </c>
      <c r="D76" s="279"/>
      <c r="E76" s="54"/>
      <c r="F76" t="str">
        <f t="shared" si="7"/>
        <v/>
      </c>
      <c r="G76" t="s">
        <v>183</v>
      </c>
      <c r="H76" s="58" t="str">
        <f t="shared" si="8"/>
        <v/>
      </c>
      <c r="J76" s="54"/>
      <c r="K76" t="str">
        <f t="shared" si="9"/>
        <v/>
      </c>
      <c r="L76" t="s">
        <v>183</v>
      </c>
      <c r="M76" s="58" t="str">
        <f t="shared" si="10"/>
        <v/>
      </c>
      <c r="O76" s="54"/>
      <c r="P76" t="str">
        <f t="shared" si="11"/>
        <v/>
      </c>
      <c r="Q76" t="s">
        <v>183</v>
      </c>
      <c r="R76" s="58" t="str">
        <f t="shared" si="12"/>
        <v/>
      </c>
      <c r="T76" s="54" t="s">
        <v>183</v>
      </c>
      <c r="U76" t="str">
        <f t="shared" si="13"/>
        <v/>
      </c>
      <c r="V76" t="s">
        <v>183</v>
      </c>
      <c r="W76" s="58" t="str">
        <f t="shared" si="14"/>
        <v/>
      </c>
      <c r="Y76" s="54" t="s">
        <v>183</v>
      </c>
      <c r="Z76" t="str">
        <f t="shared" si="15"/>
        <v/>
      </c>
      <c r="AA76" t="s">
        <v>183</v>
      </c>
      <c r="AB76" s="58" t="str">
        <f t="shared" si="16"/>
        <v/>
      </c>
      <c r="AC76">
        <v>6</v>
      </c>
      <c r="AD76" s="54">
        <v>10</v>
      </c>
      <c r="AE76">
        <f t="shared" si="17"/>
        <v>1890</v>
      </c>
      <c r="AF76">
        <v>9</v>
      </c>
      <c r="AG76" s="58">
        <f t="shared" si="18"/>
        <v>1415</v>
      </c>
      <c r="AI76" s="54" t="s">
        <v>183</v>
      </c>
      <c r="AJ76" t="str">
        <f t="shared" si="19"/>
        <v/>
      </c>
      <c r="AK76" t="s">
        <v>183</v>
      </c>
      <c r="AL76" s="66" t="str">
        <f t="shared" si="20"/>
        <v/>
      </c>
      <c r="AS76" s="279"/>
      <c r="AU76" s="279"/>
    </row>
    <row r="77" spans="1:47" x14ac:dyDescent="0.35">
      <c r="A77" s="65">
        <v>56</v>
      </c>
      <c r="B77" t="s">
        <v>58</v>
      </c>
      <c r="C77" s="276">
        <v>40933</v>
      </c>
      <c r="D77" s="279">
        <v>1</v>
      </c>
      <c r="E77" s="54">
        <v>8</v>
      </c>
      <c r="F77">
        <f t="shared" si="7"/>
        <v>1725</v>
      </c>
      <c r="G77">
        <v>8</v>
      </c>
      <c r="H77" s="58">
        <f t="shared" si="8"/>
        <v>865</v>
      </c>
      <c r="J77" s="54"/>
      <c r="K77" t="str">
        <f t="shared" si="9"/>
        <v/>
      </c>
      <c r="L77" t="s">
        <v>183</v>
      </c>
      <c r="M77" s="58" t="str">
        <f t="shared" si="10"/>
        <v/>
      </c>
      <c r="O77" s="54"/>
      <c r="P77" t="str">
        <f t="shared" si="11"/>
        <v/>
      </c>
      <c r="Q77" t="s">
        <v>183</v>
      </c>
      <c r="R77" s="58" t="str">
        <f t="shared" si="12"/>
        <v/>
      </c>
      <c r="T77" s="54" t="s">
        <v>183</v>
      </c>
      <c r="U77" t="str">
        <f t="shared" si="13"/>
        <v/>
      </c>
      <c r="V77" t="s">
        <v>183</v>
      </c>
      <c r="W77" s="58" t="str">
        <f t="shared" si="14"/>
        <v/>
      </c>
      <c r="Y77" s="54" t="s">
        <v>183</v>
      </c>
      <c r="Z77" t="str">
        <f t="shared" si="15"/>
        <v/>
      </c>
      <c r="AA77" t="s">
        <v>183</v>
      </c>
      <c r="AB77" s="58" t="str">
        <f t="shared" si="16"/>
        <v/>
      </c>
      <c r="AD77" s="54" t="s">
        <v>183</v>
      </c>
      <c r="AE77" t="str">
        <f t="shared" si="17"/>
        <v/>
      </c>
      <c r="AF77" t="s">
        <v>183</v>
      </c>
      <c r="AG77" s="58" t="str">
        <f t="shared" si="18"/>
        <v/>
      </c>
      <c r="AI77" s="54" t="s">
        <v>183</v>
      </c>
      <c r="AJ77" t="str">
        <f t="shared" si="19"/>
        <v/>
      </c>
      <c r="AK77" t="s">
        <v>183</v>
      </c>
      <c r="AL77" s="66" t="str">
        <f t="shared" si="20"/>
        <v/>
      </c>
      <c r="AS77" s="279"/>
      <c r="AU77" s="279"/>
    </row>
    <row r="78" spans="1:47" x14ac:dyDescent="0.35">
      <c r="A78" s="65">
        <v>57</v>
      </c>
      <c r="B78" t="s">
        <v>52</v>
      </c>
      <c r="C78" s="276">
        <v>40934</v>
      </c>
      <c r="D78" s="279"/>
      <c r="E78" s="54"/>
      <c r="F78" t="str">
        <f t="shared" si="7"/>
        <v/>
      </c>
      <c r="G78" t="s">
        <v>183</v>
      </c>
      <c r="H78" s="58" t="str">
        <f t="shared" si="8"/>
        <v/>
      </c>
      <c r="J78" s="54"/>
      <c r="K78" t="str">
        <f t="shared" si="9"/>
        <v/>
      </c>
      <c r="L78" t="s">
        <v>183</v>
      </c>
      <c r="M78" s="58" t="str">
        <f t="shared" si="10"/>
        <v/>
      </c>
      <c r="O78" s="54"/>
      <c r="P78" t="str">
        <f t="shared" si="11"/>
        <v/>
      </c>
      <c r="Q78" t="s">
        <v>183</v>
      </c>
      <c r="R78" s="58" t="str">
        <f t="shared" si="12"/>
        <v/>
      </c>
      <c r="T78" s="54" t="s">
        <v>183</v>
      </c>
      <c r="U78" t="str">
        <f t="shared" si="13"/>
        <v/>
      </c>
      <c r="V78" t="s">
        <v>183</v>
      </c>
      <c r="W78" s="58" t="str">
        <f t="shared" si="14"/>
        <v/>
      </c>
      <c r="Y78" s="54" t="s">
        <v>183</v>
      </c>
      <c r="Z78" t="str">
        <f t="shared" si="15"/>
        <v/>
      </c>
      <c r="AA78" t="s">
        <v>183</v>
      </c>
      <c r="AB78" s="58" t="str">
        <f t="shared" si="16"/>
        <v/>
      </c>
      <c r="AD78" s="54" t="s">
        <v>183</v>
      </c>
      <c r="AE78" t="str">
        <f t="shared" si="17"/>
        <v/>
      </c>
      <c r="AF78" t="s">
        <v>183</v>
      </c>
      <c r="AG78" s="58" t="str">
        <f t="shared" si="18"/>
        <v/>
      </c>
      <c r="AI78" s="54" t="s">
        <v>183</v>
      </c>
      <c r="AJ78" t="str">
        <f t="shared" si="19"/>
        <v/>
      </c>
      <c r="AK78" t="s">
        <v>183</v>
      </c>
      <c r="AL78" s="66" t="str">
        <f t="shared" si="20"/>
        <v/>
      </c>
      <c r="AS78" s="279"/>
      <c r="AU78" s="279"/>
    </row>
    <row r="79" spans="1:47" x14ac:dyDescent="0.35">
      <c r="A79" s="65">
        <v>58</v>
      </c>
      <c r="B79" t="s">
        <v>53</v>
      </c>
      <c r="C79" s="276">
        <v>40935</v>
      </c>
      <c r="D79" s="279"/>
      <c r="E79" s="54"/>
      <c r="F79" t="str">
        <f t="shared" si="7"/>
        <v/>
      </c>
      <c r="G79" t="s">
        <v>183</v>
      </c>
      <c r="H79" s="58" t="str">
        <f t="shared" si="8"/>
        <v/>
      </c>
      <c r="I79">
        <v>2</v>
      </c>
      <c r="J79" s="54">
        <v>9</v>
      </c>
      <c r="K79">
        <f t="shared" si="9"/>
        <v>1805</v>
      </c>
      <c r="L79">
        <v>9</v>
      </c>
      <c r="M79" s="58">
        <f t="shared" si="10"/>
        <v>1155</v>
      </c>
      <c r="O79" s="54"/>
      <c r="P79" t="str">
        <f t="shared" si="11"/>
        <v/>
      </c>
      <c r="Q79" t="s">
        <v>183</v>
      </c>
      <c r="R79" s="58" t="str">
        <f t="shared" si="12"/>
        <v/>
      </c>
      <c r="T79" s="54" t="s">
        <v>183</v>
      </c>
      <c r="U79" t="str">
        <f t="shared" si="13"/>
        <v/>
      </c>
      <c r="V79" t="s">
        <v>183</v>
      </c>
      <c r="W79" s="58" t="str">
        <f t="shared" si="14"/>
        <v/>
      </c>
      <c r="Y79" s="54" t="s">
        <v>183</v>
      </c>
      <c r="Z79" t="str">
        <f t="shared" si="15"/>
        <v/>
      </c>
      <c r="AA79" t="s">
        <v>183</v>
      </c>
      <c r="AB79" s="58" t="str">
        <f t="shared" si="16"/>
        <v/>
      </c>
      <c r="AD79" s="54" t="s">
        <v>183</v>
      </c>
      <c r="AE79" t="str">
        <f t="shared" si="17"/>
        <v/>
      </c>
      <c r="AF79" t="s">
        <v>183</v>
      </c>
      <c r="AG79" s="58" t="str">
        <f t="shared" si="18"/>
        <v/>
      </c>
      <c r="AI79" s="54" t="s">
        <v>183</v>
      </c>
      <c r="AJ79" t="str">
        <f t="shared" si="19"/>
        <v/>
      </c>
      <c r="AK79" t="s">
        <v>183</v>
      </c>
      <c r="AL79" s="66" t="str">
        <f t="shared" si="20"/>
        <v/>
      </c>
      <c r="AS79" s="279"/>
      <c r="AU79" s="279"/>
    </row>
    <row r="80" spans="1:47" x14ac:dyDescent="0.35">
      <c r="A80" s="65">
        <v>59</v>
      </c>
      <c r="B80" t="s">
        <v>54</v>
      </c>
      <c r="C80" s="276">
        <v>40936</v>
      </c>
      <c r="D80" s="279"/>
      <c r="E80" s="54"/>
      <c r="F80" t="str">
        <f t="shared" si="7"/>
        <v/>
      </c>
      <c r="G80" t="s">
        <v>183</v>
      </c>
      <c r="H80" s="58" t="str">
        <f t="shared" si="8"/>
        <v/>
      </c>
      <c r="J80" s="54"/>
      <c r="K80" t="str">
        <f t="shared" si="9"/>
        <v/>
      </c>
      <c r="L80" t="s">
        <v>183</v>
      </c>
      <c r="M80" s="58" t="str">
        <f t="shared" si="10"/>
        <v/>
      </c>
      <c r="O80" s="54"/>
      <c r="P80" t="str">
        <f t="shared" si="11"/>
        <v/>
      </c>
      <c r="Q80" t="s">
        <v>183</v>
      </c>
      <c r="R80" s="58" t="str">
        <f t="shared" si="12"/>
        <v/>
      </c>
      <c r="T80" s="54" t="s">
        <v>183</v>
      </c>
      <c r="U80" t="str">
        <f t="shared" si="13"/>
        <v/>
      </c>
      <c r="V80" t="s">
        <v>183</v>
      </c>
      <c r="W80" s="58" t="str">
        <f t="shared" si="14"/>
        <v/>
      </c>
      <c r="Y80" s="54" t="s">
        <v>183</v>
      </c>
      <c r="Z80" t="str">
        <f t="shared" si="15"/>
        <v/>
      </c>
      <c r="AA80" t="s">
        <v>183</v>
      </c>
      <c r="AB80" s="58" t="str">
        <f t="shared" si="16"/>
        <v/>
      </c>
      <c r="AD80" s="54" t="s">
        <v>183</v>
      </c>
      <c r="AE80" t="str">
        <f t="shared" si="17"/>
        <v/>
      </c>
      <c r="AF80" t="s">
        <v>183</v>
      </c>
      <c r="AG80" s="58" t="str">
        <f t="shared" si="18"/>
        <v/>
      </c>
      <c r="AI80" s="54" t="s">
        <v>183</v>
      </c>
      <c r="AJ80" t="str">
        <f t="shared" si="19"/>
        <v/>
      </c>
      <c r="AK80" t="s">
        <v>183</v>
      </c>
      <c r="AL80" s="66" t="str">
        <f t="shared" si="20"/>
        <v/>
      </c>
      <c r="AS80" s="279"/>
      <c r="AU80" s="279"/>
    </row>
    <row r="81" spans="1:47" x14ac:dyDescent="0.35">
      <c r="A81" s="65">
        <v>60</v>
      </c>
      <c r="B81" t="s">
        <v>55</v>
      </c>
      <c r="C81" s="276">
        <v>40937</v>
      </c>
      <c r="D81" s="279"/>
      <c r="E81" s="54"/>
      <c r="F81" t="str">
        <f t="shared" si="7"/>
        <v/>
      </c>
      <c r="G81" t="s">
        <v>183</v>
      </c>
      <c r="H81" s="58" t="str">
        <f t="shared" si="8"/>
        <v/>
      </c>
      <c r="J81" s="54"/>
      <c r="K81" t="str">
        <f t="shared" si="9"/>
        <v/>
      </c>
      <c r="L81" t="s">
        <v>183</v>
      </c>
      <c r="M81" s="58" t="str">
        <f t="shared" si="10"/>
        <v/>
      </c>
      <c r="O81" s="54"/>
      <c r="P81" t="str">
        <f t="shared" si="11"/>
        <v/>
      </c>
      <c r="Q81" t="s">
        <v>183</v>
      </c>
      <c r="R81" s="58" t="str">
        <f t="shared" si="12"/>
        <v/>
      </c>
      <c r="T81" s="54" t="s">
        <v>183</v>
      </c>
      <c r="U81" t="str">
        <f t="shared" si="13"/>
        <v/>
      </c>
      <c r="V81" t="s">
        <v>183</v>
      </c>
      <c r="W81" s="58" t="str">
        <f t="shared" si="14"/>
        <v/>
      </c>
      <c r="Y81" s="54" t="s">
        <v>183</v>
      </c>
      <c r="Z81" t="str">
        <f t="shared" si="15"/>
        <v/>
      </c>
      <c r="AA81" t="s">
        <v>183</v>
      </c>
      <c r="AB81" s="58" t="str">
        <f t="shared" si="16"/>
        <v/>
      </c>
      <c r="AD81" s="54" t="s">
        <v>183</v>
      </c>
      <c r="AE81" t="str">
        <f t="shared" si="17"/>
        <v/>
      </c>
      <c r="AF81" t="s">
        <v>183</v>
      </c>
      <c r="AG81" s="58" t="str">
        <f t="shared" si="18"/>
        <v/>
      </c>
      <c r="AI81" s="54" t="s">
        <v>183</v>
      </c>
      <c r="AJ81" t="str">
        <f t="shared" si="19"/>
        <v/>
      </c>
      <c r="AK81" t="s">
        <v>183</v>
      </c>
      <c r="AL81" s="66" t="str">
        <f t="shared" si="20"/>
        <v/>
      </c>
      <c r="AS81" s="279"/>
      <c r="AU81" s="279"/>
    </row>
    <row r="82" spans="1:47" x14ac:dyDescent="0.35">
      <c r="A82" s="65">
        <v>61</v>
      </c>
      <c r="B82" t="s">
        <v>56</v>
      </c>
      <c r="C82" s="276">
        <v>40938</v>
      </c>
      <c r="D82" s="279">
        <v>1</v>
      </c>
      <c r="E82" s="54">
        <v>9</v>
      </c>
      <c r="F82">
        <f t="shared" si="7"/>
        <v>1935</v>
      </c>
      <c r="G82">
        <v>9</v>
      </c>
      <c r="H82" s="58">
        <f t="shared" si="8"/>
        <v>1320</v>
      </c>
      <c r="J82" s="54"/>
      <c r="K82" t="str">
        <f t="shared" si="9"/>
        <v/>
      </c>
      <c r="L82" t="s">
        <v>183</v>
      </c>
      <c r="M82" s="58" t="str">
        <f t="shared" si="10"/>
        <v/>
      </c>
      <c r="O82" s="54"/>
      <c r="P82" t="str">
        <f t="shared" si="11"/>
        <v/>
      </c>
      <c r="Q82" t="s">
        <v>183</v>
      </c>
      <c r="R82" s="58" t="str">
        <f t="shared" si="12"/>
        <v/>
      </c>
      <c r="T82" s="54" t="s">
        <v>183</v>
      </c>
      <c r="U82" t="str">
        <f t="shared" si="13"/>
        <v/>
      </c>
      <c r="V82" t="s">
        <v>183</v>
      </c>
      <c r="W82" s="58" t="str">
        <f t="shared" si="14"/>
        <v/>
      </c>
      <c r="Y82" s="54" t="s">
        <v>183</v>
      </c>
      <c r="Z82" t="str">
        <f t="shared" si="15"/>
        <v/>
      </c>
      <c r="AA82" t="s">
        <v>183</v>
      </c>
      <c r="AB82" s="58" t="str">
        <f t="shared" si="16"/>
        <v/>
      </c>
      <c r="AD82" s="54" t="s">
        <v>183</v>
      </c>
      <c r="AE82" t="str">
        <f t="shared" si="17"/>
        <v/>
      </c>
      <c r="AF82">
        <v>10</v>
      </c>
      <c r="AG82" s="58">
        <f t="shared" si="18"/>
        <v>1275</v>
      </c>
      <c r="AI82" s="54" t="s">
        <v>183</v>
      </c>
      <c r="AJ82" t="str">
        <f t="shared" si="19"/>
        <v/>
      </c>
      <c r="AK82" t="s">
        <v>183</v>
      </c>
      <c r="AL82" s="66" t="str">
        <f t="shared" si="20"/>
        <v/>
      </c>
      <c r="AS82" s="279"/>
      <c r="AU82" s="279"/>
    </row>
    <row r="83" spans="1:47" x14ac:dyDescent="0.35">
      <c r="A83" s="65">
        <v>62</v>
      </c>
      <c r="B83" t="s">
        <v>57</v>
      </c>
      <c r="C83" s="276">
        <v>40939</v>
      </c>
      <c r="D83" s="279"/>
      <c r="E83" s="54"/>
      <c r="F83" t="str">
        <f t="shared" si="7"/>
        <v/>
      </c>
      <c r="G83" t="s">
        <v>183</v>
      </c>
      <c r="H83" s="58" t="str">
        <f t="shared" si="8"/>
        <v/>
      </c>
      <c r="J83" s="54"/>
      <c r="K83" t="str">
        <f t="shared" si="9"/>
        <v/>
      </c>
      <c r="L83" t="s">
        <v>183</v>
      </c>
      <c r="M83" s="58" t="str">
        <f t="shared" si="10"/>
        <v/>
      </c>
      <c r="O83" s="54"/>
      <c r="P83" t="str">
        <f t="shared" si="11"/>
        <v/>
      </c>
      <c r="Q83" t="s">
        <v>183</v>
      </c>
      <c r="R83" s="58" t="str">
        <f t="shared" si="12"/>
        <v/>
      </c>
      <c r="T83" s="54" t="s">
        <v>183</v>
      </c>
      <c r="U83" t="str">
        <f t="shared" si="13"/>
        <v/>
      </c>
      <c r="V83" t="s">
        <v>183</v>
      </c>
      <c r="W83" s="58" t="str">
        <f t="shared" si="14"/>
        <v/>
      </c>
      <c r="Y83" s="54" t="s">
        <v>183</v>
      </c>
      <c r="Z83" t="str">
        <f t="shared" si="15"/>
        <v/>
      </c>
      <c r="AA83" t="s">
        <v>183</v>
      </c>
      <c r="AB83" s="58" t="str">
        <f t="shared" si="16"/>
        <v/>
      </c>
      <c r="AD83" s="54" t="s">
        <v>183</v>
      </c>
      <c r="AE83" t="str">
        <f t="shared" si="17"/>
        <v/>
      </c>
      <c r="AF83" t="s">
        <v>183</v>
      </c>
      <c r="AG83" s="58" t="str">
        <f t="shared" si="18"/>
        <v/>
      </c>
      <c r="AI83" s="54" t="s">
        <v>183</v>
      </c>
      <c r="AJ83" t="str">
        <f t="shared" si="19"/>
        <v/>
      </c>
      <c r="AK83" t="s">
        <v>183</v>
      </c>
      <c r="AL83" s="66" t="str">
        <f t="shared" si="20"/>
        <v/>
      </c>
      <c r="AS83" s="279"/>
      <c r="AU83" s="279"/>
    </row>
    <row r="84" spans="1:47" x14ac:dyDescent="0.35">
      <c r="A84" s="65">
        <v>63</v>
      </c>
      <c r="B84" t="s">
        <v>58</v>
      </c>
      <c r="C84" s="276">
        <v>40940</v>
      </c>
      <c r="D84" s="279"/>
      <c r="E84" s="54"/>
      <c r="F84" t="str">
        <f t="shared" si="7"/>
        <v/>
      </c>
      <c r="G84" t="s">
        <v>183</v>
      </c>
      <c r="H84" s="58" t="str">
        <f t="shared" si="8"/>
        <v/>
      </c>
      <c r="J84" s="54"/>
      <c r="K84" t="str">
        <f t="shared" si="9"/>
        <v/>
      </c>
      <c r="L84" t="s">
        <v>183</v>
      </c>
      <c r="M84" s="58" t="str">
        <f t="shared" si="10"/>
        <v/>
      </c>
      <c r="O84" s="54"/>
      <c r="P84" t="str">
        <f t="shared" si="11"/>
        <v/>
      </c>
      <c r="Q84" t="s">
        <v>183</v>
      </c>
      <c r="R84" s="58" t="str">
        <f t="shared" si="12"/>
        <v/>
      </c>
      <c r="T84" s="54" t="s">
        <v>183</v>
      </c>
      <c r="U84" t="str">
        <f t="shared" si="13"/>
        <v/>
      </c>
      <c r="V84" t="s">
        <v>183</v>
      </c>
      <c r="W84" s="58" t="str">
        <f t="shared" si="14"/>
        <v/>
      </c>
      <c r="Y84" s="54" t="s">
        <v>183</v>
      </c>
      <c r="Z84" t="str">
        <f t="shared" si="15"/>
        <v/>
      </c>
      <c r="AA84" t="s">
        <v>183</v>
      </c>
      <c r="AB84" s="58" t="str">
        <f t="shared" si="16"/>
        <v/>
      </c>
      <c r="AD84" s="54" t="s">
        <v>183</v>
      </c>
      <c r="AE84" t="str">
        <f t="shared" si="17"/>
        <v/>
      </c>
      <c r="AF84" t="s">
        <v>183</v>
      </c>
      <c r="AG84" s="58" t="str">
        <f t="shared" si="18"/>
        <v/>
      </c>
      <c r="AI84" s="54" t="s">
        <v>183</v>
      </c>
      <c r="AJ84" t="str">
        <f t="shared" si="19"/>
        <v/>
      </c>
      <c r="AK84" t="s">
        <v>183</v>
      </c>
      <c r="AL84" s="66" t="str">
        <f t="shared" si="20"/>
        <v/>
      </c>
      <c r="AS84" s="279"/>
      <c r="AU84" s="279"/>
    </row>
    <row r="85" spans="1:47" x14ac:dyDescent="0.35">
      <c r="A85" s="65">
        <v>64</v>
      </c>
      <c r="B85" t="s">
        <v>52</v>
      </c>
      <c r="C85" s="276">
        <v>40941</v>
      </c>
      <c r="D85" s="279"/>
      <c r="E85" s="54"/>
      <c r="F85" t="str">
        <f t="shared" si="7"/>
        <v/>
      </c>
      <c r="G85" t="s">
        <v>183</v>
      </c>
      <c r="H85" s="58" t="str">
        <f t="shared" si="8"/>
        <v/>
      </c>
      <c r="J85" s="54"/>
      <c r="K85" t="str">
        <f t="shared" si="9"/>
        <v/>
      </c>
      <c r="L85" t="s">
        <v>183</v>
      </c>
      <c r="M85" s="58" t="str">
        <f t="shared" si="10"/>
        <v/>
      </c>
      <c r="O85" s="54"/>
      <c r="P85" t="str">
        <f t="shared" si="11"/>
        <v/>
      </c>
      <c r="Q85" t="s">
        <v>183</v>
      </c>
      <c r="R85" s="58" t="str">
        <f t="shared" si="12"/>
        <v/>
      </c>
      <c r="T85" s="54" t="s">
        <v>183</v>
      </c>
      <c r="U85" t="str">
        <f t="shared" si="13"/>
        <v/>
      </c>
      <c r="V85" t="s">
        <v>183</v>
      </c>
      <c r="W85" s="58" t="str">
        <f t="shared" si="14"/>
        <v/>
      </c>
      <c r="Y85" s="54" t="s">
        <v>183</v>
      </c>
      <c r="Z85" t="str">
        <f t="shared" si="15"/>
        <v/>
      </c>
      <c r="AA85" t="s">
        <v>183</v>
      </c>
      <c r="AB85" s="58" t="str">
        <f t="shared" si="16"/>
        <v/>
      </c>
      <c r="AD85" s="54" t="s">
        <v>183</v>
      </c>
      <c r="AE85" t="str">
        <f t="shared" si="17"/>
        <v/>
      </c>
      <c r="AF85" t="s">
        <v>183</v>
      </c>
      <c r="AG85" s="58" t="str">
        <f t="shared" si="18"/>
        <v/>
      </c>
      <c r="AI85" s="54" t="s">
        <v>183</v>
      </c>
      <c r="AJ85" t="str">
        <f t="shared" si="19"/>
        <v/>
      </c>
      <c r="AK85" t="s">
        <v>183</v>
      </c>
      <c r="AL85" s="66" t="str">
        <f t="shared" si="20"/>
        <v/>
      </c>
      <c r="AS85" s="279"/>
      <c r="AU85" s="279"/>
    </row>
    <row r="86" spans="1:47" x14ac:dyDescent="0.35">
      <c r="A86" s="65">
        <v>65</v>
      </c>
      <c r="B86" t="s">
        <v>53</v>
      </c>
      <c r="C86" s="276">
        <v>40942</v>
      </c>
      <c r="D86" s="279"/>
      <c r="E86" s="54"/>
      <c r="F86" t="str">
        <f t="shared" ref="F86:F96" si="21">IF(OR(ISBLANK(E86),ISTEXT(E86)),"",LOOKUP(E86,$C$2:$C$11,F$2:F$11))</f>
        <v/>
      </c>
      <c r="G86" t="s">
        <v>183</v>
      </c>
      <c r="H86" s="58" t="str">
        <f t="shared" ref="H86:H96" si="22">IF(OR(ISBLANK(G86),ISTEXT(G86)),"",LOOKUP(G86,$C$2:$C$11,H$2:H$11))</f>
        <v/>
      </c>
      <c r="J86" s="54"/>
      <c r="K86" t="str">
        <f t="shared" ref="K86:K96" si="23">IF(OR(ISBLANK(J86),ISTEXT(J86)),"",LOOKUP(J86,$C$2:$C$11,K$2:K$11))</f>
        <v/>
      </c>
      <c r="L86" t="s">
        <v>183</v>
      </c>
      <c r="M86" s="58" t="str">
        <f t="shared" ref="M86:M96" si="24">IF(OR(ISBLANK(L86),ISTEXT(L86)),"",LOOKUP(L86,$C$2:$C$11,M$2:M$11))</f>
        <v/>
      </c>
      <c r="O86" s="54"/>
      <c r="P86" t="str">
        <f t="shared" ref="P86:P96" si="25">IF(OR(ISBLANK(O86),ISTEXT(O86)),"",LOOKUP(O86,$C$2:$C$11,P$2:P$11))</f>
        <v/>
      </c>
      <c r="Q86" t="s">
        <v>183</v>
      </c>
      <c r="R86" s="58" t="str">
        <f t="shared" ref="R86:R96" si="26">IF(OR(ISBLANK(Q86),ISTEXT(Q86)),"",LOOKUP(Q86,$C$2:$C$11,R$2:R$11))</f>
        <v/>
      </c>
      <c r="T86" s="54" t="s">
        <v>183</v>
      </c>
      <c r="U86" t="str">
        <f t="shared" ref="U86:U96" si="27">IF(OR(ISBLANK(T86),ISTEXT(T86)),"",LOOKUP(T86,$C$2:$C$11,U$2:U$11))</f>
        <v/>
      </c>
      <c r="V86" t="s">
        <v>183</v>
      </c>
      <c r="W86" s="58" t="str">
        <f t="shared" ref="W86:W96" si="28">IF(OR(ISBLANK(V86),ISTEXT(V86)),"",LOOKUP(V86,$C$2:$C$11,W$2:W$11))</f>
        <v/>
      </c>
      <c r="Y86" s="54">
        <v>8</v>
      </c>
      <c r="Z86">
        <f t="shared" ref="Z86:Z96" si="29">IF(OR(ISBLANK(Y86),ISTEXT(Y86)),"",LOOKUP(Y86,$C$2:$C$11,Z$2:Z$11))</f>
        <v>2085</v>
      </c>
      <c r="AA86" t="s">
        <v>183</v>
      </c>
      <c r="AB86" s="58" t="str">
        <f t="shared" ref="AB86:AB96" si="30">IF(OR(ISBLANK(AA86),ISTEXT(AA86)),"",LOOKUP(AA86,$C$2:$C$11,AB$2:AB$11))</f>
        <v/>
      </c>
      <c r="AD86" s="54" t="s">
        <v>183</v>
      </c>
      <c r="AE86" t="str">
        <f t="shared" ref="AE86:AE96" si="31">IF(OR(ISBLANK(AD86),ISTEXT(AD86)),"",LOOKUP(AD86,$C$2:$C$11,AE$2:AE$11))</f>
        <v/>
      </c>
      <c r="AF86" t="s">
        <v>183</v>
      </c>
      <c r="AG86" s="58" t="str">
        <f t="shared" ref="AG86:AG96" si="32">IF(OR(ISBLANK(AF86),ISTEXT(AF86)),"",LOOKUP(AF86,$C$2:$C$11,AG$2:AG$11))</f>
        <v/>
      </c>
      <c r="AI86" s="54" t="s">
        <v>183</v>
      </c>
      <c r="AJ86" t="str">
        <f t="shared" ref="AJ86:AJ96" si="33">IF(OR(ISBLANK(AI86),ISTEXT(AI86)),"",LOOKUP(AI86,$C$2:$C$11,AJ$2:AJ$11))</f>
        <v/>
      </c>
      <c r="AK86" t="s">
        <v>183</v>
      </c>
      <c r="AL86" s="66" t="str">
        <f t="shared" ref="AL86:AL96" si="34">IF(OR(ISBLANK(AK86),ISTEXT(AK86)),"",LOOKUP(AK86,$C$2:$C$11,AL$2:AL$11))</f>
        <v/>
      </c>
      <c r="AS86" s="279"/>
      <c r="AU86" s="279"/>
    </row>
    <row r="87" spans="1:47" x14ac:dyDescent="0.35">
      <c r="A87" s="65">
        <v>66</v>
      </c>
      <c r="B87" t="s">
        <v>54</v>
      </c>
      <c r="C87" s="276">
        <v>40943</v>
      </c>
      <c r="D87" s="279"/>
      <c r="E87" s="54"/>
      <c r="F87" t="str">
        <f t="shared" si="21"/>
        <v/>
      </c>
      <c r="G87" t="s">
        <v>183</v>
      </c>
      <c r="H87" s="58" t="str">
        <f t="shared" si="22"/>
        <v/>
      </c>
      <c r="J87" s="54"/>
      <c r="K87" t="str">
        <f t="shared" si="23"/>
        <v/>
      </c>
      <c r="L87" t="s">
        <v>183</v>
      </c>
      <c r="M87" s="58" t="str">
        <f t="shared" si="24"/>
        <v/>
      </c>
      <c r="O87" s="54"/>
      <c r="P87" t="str">
        <f t="shared" si="25"/>
        <v/>
      </c>
      <c r="Q87" t="s">
        <v>183</v>
      </c>
      <c r="R87" s="58" t="str">
        <f t="shared" si="26"/>
        <v/>
      </c>
      <c r="T87" s="54" t="s">
        <v>183</v>
      </c>
      <c r="U87" t="str">
        <f t="shared" si="27"/>
        <v/>
      </c>
      <c r="V87" t="s">
        <v>183</v>
      </c>
      <c r="W87" s="58" t="str">
        <f t="shared" si="28"/>
        <v/>
      </c>
      <c r="Y87" s="54" t="s">
        <v>183</v>
      </c>
      <c r="Z87" t="str">
        <f t="shared" si="29"/>
        <v/>
      </c>
      <c r="AA87" t="s">
        <v>183</v>
      </c>
      <c r="AB87" s="58" t="str">
        <f t="shared" si="30"/>
        <v/>
      </c>
      <c r="AD87" s="54" t="s">
        <v>183</v>
      </c>
      <c r="AE87" t="str">
        <f t="shared" si="31"/>
        <v/>
      </c>
      <c r="AF87" t="s">
        <v>183</v>
      </c>
      <c r="AG87" s="58" t="str">
        <f t="shared" si="32"/>
        <v/>
      </c>
      <c r="AI87" s="54" t="s">
        <v>183</v>
      </c>
      <c r="AJ87" t="str">
        <f t="shared" si="33"/>
        <v/>
      </c>
      <c r="AK87" t="s">
        <v>183</v>
      </c>
      <c r="AL87" s="66" t="str">
        <f t="shared" si="34"/>
        <v/>
      </c>
      <c r="AS87" s="279"/>
      <c r="AU87" s="279"/>
    </row>
    <row r="88" spans="1:47" x14ac:dyDescent="0.35">
      <c r="A88" s="65">
        <v>67</v>
      </c>
      <c r="B88" t="s">
        <v>55</v>
      </c>
      <c r="C88" s="276">
        <v>40944</v>
      </c>
      <c r="D88" s="279"/>
      <c r="E88" s="54"/>
      <c r="F88" t="str">
        <f t="shared" si="21"/>
        <v/>
      </c>
      <c r="G88" t="s">
        <v>183</v>
      </c>
      <c r="H88" s="58" t="str">
        <f t="shared" si="22"/>
        <v/>
      </c>
      <c r="J88" s="54"/>
      <c r="K88" t="str">
        <f t="shared" si="23"/>
        <v/>
      </c>
      <c r="L88" t="s">
        <v>183</v>
      </c>
      <c r="M88" s="58" t="str">
        <f t="shared" si="24"/>
        <v/>
      </c>
      <c r="O88" s="54"/>
      <c r="P88" t="str">
        <f t="shared" si="25"/>
        <v/>
      </c>
      <c r="Q88" t="s">
        <v>183</v>
      </c>
      <c r="R88" s="58" t="str">
        <f t="shared" si="26"/>
        <v/>
      </c>
      <c r="T88" s="54" t="s">
        <v>183</v>
      </c>
      <c r="U88" t="str">
        <f t="shared" si="27"/>
        <v/>
      </c>
      <c r="V88" t="s">
        <v>183</v>
      </c>
      <c r="W88" s="58" t="str">
        <f t="shared" si="28"/>
        <v/>
      </c>
      <c r="Y88" s="54">
        <v>9</v>
      </c>
      <c r="Z88">
        <f t="shared" si="29"/>
        <v>1740</v>
      </c>
      <c r="AA88">
        <v>8</v>
      </c>
      <c r="AB88" s="58">
        <f t="shared" si="30"/>
        <v>1460</v>
      </c>
      <c r="AD88" s="54" t="s">
        <v>183</v>
      </c>
      <c r="AE88" t="str">
        <f t="shared" si="31"/>
        <v/>
      </c>
      <c r="AF88" t="s">
        <v>183</v>
      </c>
      <c r="AG88" s="58" t="str">
        <f t="shared" si="32"/>
        <v/>
      </c>
      <c r="AI88" s="54" t="s">
        <v>183</v>
      </c>
      <c r="AJ88" t="str">
        <f t="shared" si="33"/>
        <v/>
      </c>
      <c r="AK88" t="s">
        <v>183</v>
      </c>
      <c r="AL88" s="66" t="str">
        <f t="shared" si="34"/>
        <v/>
      </c>
      <c r="AS88" s="279"/>
      <c r="AU88" s="279"/>
    </row>
    <row r="89" spans="1:47" x14ac:dyDescent="0.35">
      <c r="A89" s="65">
        <v>68</v>
      </c>
      <c r="B89" t="s">
        <v>56</v>
      </c>
      <c r="C89" s="276">
        <v>40945</v>
      </c>
      <c r="D89" s="279"/>
      <c r="E89" s="54"/>
      <c r="F89" t="str">
        <f t="shared" si="21"/>
        <v/>
      </c>
      <c r="G89" t="s">
        <v>183</v>
      </c>
      <c r="H89" s="58" t="str">
        <f t="shared" si="22"/>
        <v/>
      </c>
      <c r="J89" s="54"/>
      <c r="K89" t="str">
        <f t="shared" si="23"/>
        <v/>
      </c>
      <c r="L89" t="s">
        <v>183</v>
      </c>
      <c r="M89" s="58" t="str">
        <f t="shared" si="24"/>
        <v/>
      </c>
      <c r="O89" s="54"/>
      <c r="P89" t="str">
        <f t="shared" si="25"/>
        <v/>
      </c>
      <c r="Q89" t="s">
        <v>183</v>
      </c>
      <c r="R89" s="58" t="str">
        <f t="shared" si="26"/>
        <v/>
      </c>
      <c r="T89" s="54" t="s">
        <v>183</v>
      </c>
      <c r="U89" t="str">
        <f t="shared" si="27"/>
        <v/>
      </c>
      <c r="V89" t="s">
        <v>183</v>
      </c>
      <c r="W89" s="58" t="str">
        <f t="shared" si="28"/>
        <v/>
      </c>
      <c r="Y89" s="54" t="s">
        <v>183</v>
      </c>
      <c r="Z89" t="str">
        <f t="shared" si="29"/>
        <v/>
      </c>
      <c r="AA89" t="s">
        <v>183</v>
      </c>
      <c r="AB89" s="58" t="str">
        <f t="shared" si="30"/>
        <v/>
      </c>
      <c r="AD89" s="54" t="s">
        <v>183</v>
      </c>
      <c r="AE89" t="str">
        <f t="shared" si="31"/>
        <v/>
      </c>
      <c r="AF89" t="s">
        <v>183</v>
      </c>
      <c r="AG89" s="58" t="str">
        <f t="shared" si="32"/>
        <v/>
      </c>
      <c r="AI89" s="54" t="s">
        <v>183</v>
      </c>
      <c r="AJ89" t="str">
        <f t="shared" si="33"/>
        <v/>
      </c>
      <c r="AK89" t="s">
        <v>183</v>
      </c>
      <c r="AL89" s="66" t="str">
        <f t="shared" si="34"/>
        <v/>
      </c>
      <c r="AS89" s="279"/>
      <c r="AU89" s="279"/>
    </row>
    <row r="90" spans="1:47" x14ac:dyDescent="0.35">
      <c r="A90" s="65">
        <v>69</v>
      </c>
      <c r="B90" t="s">
        <v>57</v>
      </c>
      <c r="C90" s="276">
        <v>40946</v>
      </c>
      <c r="D90" s="279"/>
      <c r="E90" s="54"/>
      <c r="F90" t="str">
        <f t="shared" si="21"/>
        <v/>
      </c>
      <c r="G90" t="s">
        <v>183</v>
      </c>
      <c r="H90" s="58" t="str">
        <f t="shared" si="22"/>
        <v/>
      </c>
      <c r="J90" s="54"/>
      <c r="K90" t="str">
        <f t="shared" si="23"/>
        <v/>
      </c>
      <c r="L90" t="s">
        <v>183</v>
      </c>
      <c r="M90" s="58" t="str">
        <f t="shared" si="24"/>
        <v/>
      </c>
      <c r="O90" s="54"/>
      <c r="P90" t="str">
        <f t="shared" si="25"/>
        <v/>
      </c>
      <c r="Q90" t="s">
        <v>183</v>
      </c>
      <c r="R90" s="58" t="str">
        <f t="shared" si="26"/>
        <v/>
      </c>
      <c r="S90">
        <v>4</v>
      </c>
      <c r="T90" s="54">
        <v>8</v>
      </c>
      <c r="U90">
        <f t="shared" si="27"/>
        <v>2095</v>
      </c>
      <c r="V90" t="s">
        <v>183</v>
      </c>
      <c r="W90" s="58" t="str">
        <f t="shared" si="28"/>
        <v/>
      </c>
      <c r="Y90" s="54" t="s">
        <v>183</v>
      </c>
      <c r="Z90" t="str">
        <f t="shared" si="29"/>
        <v/>
      </c>
      <c r="AA90">
        <v>9</v>
      </c>
      <c r="AB90" s="58">
        <f t="shared" si="30"/>
        <v>1335</v>
      </c>
      <c r="AD90" s="54" t="s">
        <v>183</v>
      </c>
      <c r="AE90" t="str">
        <f t="shared" si="31"/>
        <v/>
      </c>
      <c r="AF90" t="s">
        <v>183</v>
      </c>
      <c r="AG90" s="58" t="str">
        <f t="shared" si="32"/>
        <v/>
      </c>
      <c r="AI90" s="54" t="s">
        <v>183</v>
      </c>
      <c r="AJ90" t="str">
        <f t="shared" si="33"/>
        <v/>
      </c>
      <c r="AK90" t="s">
        <v>183</v>
      </c>
      <c r="AL90" s="66" t="str">
        <f t="shared" si="34"/>
        <v/>
      </c>
      <c r="AS90" s="279"/>
      <c r="AU90" s="279"/>
    </row>
    <row r="91" spans="1:47" x14ac:dyDescent="0.35">
      <c r="A91" s="65">
        <v>70</v>
      </c>
      <c r="B91" t="s">
        <v>58</v>
      </c>
      <c r="C91" s="276">
        <v>40947</v>
      </c>
      <c r="D91" s="279"/>
      <c r="E91" s="54"/>
      <c r="F91" t="str">
        <f t="shared" si="21"/>
        <v/>
      </c>
      <c r="G91" t="s">
        <v>183</v>
      </c>
      <c r="H91" s="58" t="str">
        <f t="shared" si="22"/>
        <v/>
      </c>
      <c r="J91" s="54"/>
      <c r="K91" t="str">
        <f t="shared" si="23"/>
        <v/>
      </c>
      <c r="L91" t="s">
        <v>183</v>
      </c>
      <c r="M91" s="58" t="str">
        <f t="shared" si="24"/>
        <v/>
      </c>
      <c r="O91" s="54"/>
      <c r="P91" t="str">
        <f t="shared" si="25"/>
        <v/>
      </c>
      <c r="Q91" t="s">
        <v>183</v>
      </c>
      <c r="R91" s="58" t="str">
        <f t="shared" si="26"/>
        <v/>
      </c>
      <c r="S91">
        <v>4</v>
      </c>
      <c r="T91" s="54">
        <v>9</v>
      </c>
      <c r="U91">
        <f t="shared" si="27"/>
        <v>1860</v>
      </c>
      <c r="V91">
        <v>8</v>
      </c>
      <c r="W91" s="58">
        <f t="shared" si="28"/>
        <v>1235</v>
      </c>
      <c r="Y91" s="54" t="s">
        <v>183</v>
      </c>
      <c r="Z91" t="str">
        <f t="shared" si="29"/>
        <v/>
      </c>
      <c r="AA91" t="s">
        <v>183</v>
      </c>
      <c r="AB91" s="58" t="str">
        <f t="shared" si="30"/>
        <v/>
      </c>
      <c r="AD91" s="54" t="s">
        <v>183</v>
      </c>
      <c r="AE91" t="str">
        <f t="shared" si="31"/>
        <v/>
      </c>
      <c r="AF91" t="s">
        <v>183</v>
      </c>
      <c r="AG91" s="58" t="str">
        <f t="shared" si="32"/>
        <v/>
      </c>
      <c r="AI91" s="54" t="s">
        <v>183</v>
      </c>
      <c r="AJ91" t="str">
        <f t="shared" si="33"/>
        <v/>
      </c>
      <c r="AK91" t="s">
        <v>183</v>
      </c>
      <c r="AL91" s="66" t="str">
        <f t="shared" si="34"/>
        <v/>
      </c>
      <c r="AS91" s="279"/>
      <c r="AU91" s="279"/>
    </row>
    <row r="92" spans="1:47" x14ac:dyDescent="0.35">
      <c r="A92" s="65">
        <v>71</v>
      </c>
      <c r="B92" t="s">
        <v>52</v>
      </c>
      <c r="C92" s="276">
        <v>40948</v>
      </c>
      <c r="D92" s="279"/>
      <c r="E92" s="54"/>
      <c r="F92" t="str">
        <f t="shared" si="21"/>
        <v/>
      </c>
      <c r="G92" t="s">
        <v>183</v>
      </c>
      <c r="H92" s="58" t="str">
        <f t="shared" si="22"/>
        <v/>
      </c>
      <c r="J92" s="54"/>
      <c r="K92" t="str">
        <f t="shared" si="23"/>
        <v/>
      </c>
      <c r="L92" t="s">
        <v>183</v>
      </c>
      <c r="M92" s="58" t="str">
        <f t="shared" si="24"/>
        <v/>
      </c>
      <c r="N92">
        <v>3</v>
      </c>
      <c r="O92" s="54">
        <v>8</v>
      </c>
      <c r="P92">
        <f t="shared" si="25"/>
        <v>1845</v>
      </c>
      <c r="Q92">
        <v>8</v>
      </c>
      <c r="R92" s="58">
        <f t="shared" si="26"/>
        <v>1380</v>
      </c>
      <c r="T92" s="54" t="s">
        <v>183</v>
      </c>
      <c r="U92" t="str">
        <f t="shared" si="27"/>
        <v/>
      </c>
      <c r="V92">
        <v>9</v>
      </c>
      <c r="W92" s="58">
        <f t="shared" si="28"/>
        <v>1290</v>
      </c>
      <c r="Y92" s="54" t="s">
        <v>183</v>
      </c>
      <c r="Z92" t="str">
        <f t="shared" si="29"/>
        <v/>
      </c>
      <c r="AA92" t="s">
        <v>183</v>
      </c>
      <c r="AB92" s="58" t="str">
        <f t="shared" si="30"/>
        <v/>
      </c>
      <c r="AD92" s="54" t="s">
        <v>183</v>
      </c>
      <c r="AE92" t="str">
        <f t="shared" si="31"/>
        <v/>
      </c>
      <c r="AF92" t="s">
        <v>183</v>
      </c>
      <c r="AG92" s="58" t="str">
        <f t="shared" si="32"/>
        <v/>
      </c>
      <c r="AI92" s="54" t="s">
        <v>183</v>
      </c>
      <c r="AJ92" t="str">
        <f t="shared" si="33"/>
        <v/>
      </c>
      <c r="AK92" t="s">
        <v>183</v>
      </c>
      <c r="AL92" s="66" t="str">
        <f t="shared" si="34"/>
        <v/>
      </c>
      <c r="AS92" s="279"/>
      <c r="AU92" s="279"/>
    </row>
    <row r="93" spans="1:47" x14ac:dyDescent="0.35">
      <c r="A93" s="65">
        <v>72</v>
      </c>
      <c r="B93" t="s">
        <v>53</v>
      </c>
      <c r="C93" s="276">
        <v>40949</v>
      </c>
      <c r="D93" s="279"/>
      <c r="E93" s="54"/>
      <c r="F93" t="str">
        <f t="shared" si="21"/>
        <v/>
      </c>
      <c r="G93" t="s">
        <v>183</v>
      </c>
      <c r="H93" s="58" t="str">
        <f t="shared" si="22"/>
        <v/>
      </c>
      <c r="I93">
        <v>2</v>
      </c>
      <c r="J93" s="54">
        <v>10</v>
      </c>
      <c r="K93">
        <f t="shared" si="23"/>
        <v>2065</v>
      </c>
      <c r="L93">
        <v>10</v>
      </c>
      <c r="M93" s="58">
        <f t="shared" si="24"/>
        <v>1325</v>
      </c>
      <c r="O93" s="54"/>
      <c r="P93" t="str">
        <f t="shared" si="25"/>
        <v/>
      </c>
      <c r="Q93" t="s">
        <v>183</v>
      </c>
      <c r="R93" s="58" t="str">
        <f t="shared" si="26"/>
        <v/>
      </c>
      <c r="S93">
        <v>4</v>
      </c>
      <c r="T93" s="54">
        <v>10</v>
      </c>
      <c r="U93">
        <f t="shared" si="27"/>
        <v>1980</v>
      </c>
      <c r="V93" t="s">
        <v>183</v>
      </c>
      <c r="W93" s="58" t="str">
        <f t="shared" si="28"/>
        <v/>
      </c>
      <c r="X93">
        <v>5</v>
      </c>
      <c r="Y93" s="54">
        <v>10</v>
      </c>
      <c r="Z93">
        <f t="shared" si="29"/>
        <v>1695</v>
      </c>
      <c r="AA93" t="s">
        <v>183</v>
      </c>
      <c r="AB93" s="58" t="str">
        <f t="shared" si="30"/>
        <v/>
      </c>
      <c r="AD93" s="54" t="s">
        <v>183</v>
      </c>
      <c r="AE93" t="str">
        <f t="shared" si="31"/>
        <v/>
      </c>
      <c r="AF93" t="s">
        <v>183</v>
      </c>
      <c r="AG93" s="58" t="str">
        <f t="shared" si="32"/>
        <v/>
      </c>
      <c r="AI93" s="54" t="s">
        <v>183</v>
      </c>
      <c r="AJ93" t="str">
        <f t="shared" si="33"/>
        <v/>
      </c>
      <c r="AK93" t="s">
        <v>183</v>
      </c>
      <c r="AL93" s="66" t="str">
        <f t="shared" si="34"/>
        <v/>
      </c>
      <c r="AS93" s="279"/>
      <c r="AU93" s="279"/>
    </row>
    <row r="94" spans="1:47" x14ac:dyDescent="0.35">
      <c r="A94" s="65">
        <v>73</v>
      </c>
      <c r="B94" t="s">
        <v>54</v>
      </c>
      <c r="C94" s="276">
        <v>40950</v>
      </c>
      <c r="D94" s="279"/>
      <c r="E94" s="54"/>
      <c r="F94" t="str">
        <f t="shared" si="21"/>
        <v/>
      </c>
      <c r="G94" t="s">
        <v>183</v>
      </c>
      <c r="H94" s="58" t="str">
        <f t="shared" si="22"/>
        <v/>
      </c>
      <c r="J94" s="54"/>
      <c r="K94" t="str">
        <f t="shared" si="23"/>
        <v/>
      </c>
      <c r="L94" t="s">
        <v>183</v>
      </c>
      <c r="M94" s="58" t="str">
        <f t="shared" si="24"/>
        <v/>
      </c>
      <c r="O94" s="54"/>
      <c r="P94" t="str">
        <f t="shared" si="25"/>
        <v/>
      </c>
      <c r="Q94" t="s">
        <v>183</v>
      </c>
      <c r="R94" s="58" t="str">
        <f t="shared" si="26"/>
        <v/>
      </c>
      <c r="T94" s="54" t="s">
        <v>183</v>
      </c>
      <c r="U94" t="str">
        <f t="shared" si="27"/>
        <v/>
      </c>
      <c r="V94">
        <v>10</v>
      </c>
      <c r="W94" s="58">
        <f t="shared" si="28"/>
        <v>1275</v>
      </c>
      <c r="Y94" s="54" t="s">
        <v>183</v>
      </c>
      <c r="Z94" t="str">
        <f t="shared" si="29"/>
        <v/>
      </c>
      <c r="AA94" t="s">
        <v>183</v>
      </c>
      <c r="AB94" s="58" t="str">
        <f t="shared" si="30"/>
        <v/>
      </c>
      <c r="AD94" s="54" t="s">
        <v>183</v>
      </c>
      <c r="AE94" t="str">
        <f t="shared" si="31"/>
        <v/>
      </c>
      <c r="AF94" t="s">
        <v>183</v>
      </c>
      <c r="AG94" s="58" t="str">
        <f t="shared" si="32"/>
        <v/>
      </c>
      <c r="AI94" s="54" t="s">
        <v>183</v>
      </c>
      <c r="AJ94" t="str">
        <f t="shared" si="33"/>
        <v/>
      </c>
      <c r="AK94" t="s">
        <v>183</v>
      </c>
      <c r="AL94" s="66" t="str">
        <f t="shared" si="34"/>
        <v/>
      </c>
      <c r="AS94" s="279"/>
      <c r="AU94" s="279"/>
    </row>
    <row r="95" spans="1:47" x14ac:dyDescent="0.35">
      <c r="A95" s="65">
        <v>74</v>
      </c>
      <c r="B95" t="s">
        <v>55</v>
      </c>
      <c r="C95" s="276">
        <v>40951</v>
      </c>
      <c r="D95" s="279">
        <v>1</v>
      </c>
      <c r="E95" s="54">
        <v>10</v>
      </c>
      <c r="F95">
        <f t="shared" si="21"/>
        <v>1830</v>
      </c>
      <c r="G95">
        <v>10</v>
      </c>
      <c r="H95" s="58">
        <f t="shared" si="22"/>
        <v>1235</v>
      </c>
      <c r="J95" s="54"/>
      <c r="K95" t="str">
        <f t="shared" si="23"/>
        <v/>
      </c>
      <c r="L95" t="s">
        <v>183</v>
      </c>
      <c r="M95" s="58" t="str">
        <f t="shared" si="24"/>
        <v/>
      </c>
      <c r="O95" s="54"/>
      <c r="P95" t="str">
        <f t="shared" si="25"/>
        <v/>
      </c>
      <c r="Q95" t="s">
        <v>183</v>
      </c>
      <c r="R95" s="58" t="str">
        <f t="shared" si="26"/>
        <v/>
      </c>
      <c r="T95" s="54" t="s">
        <v>183</v>
      </c>
      <c r="U95" t="str">
        <f t="shared" si="27"/>
        <v/>
      </c>
      <c r="V95" t="s">
        <v>183</v>
      </c>
      <c r="W95" s="58" t="str">
        <f t="shared" si="28"/>
        <v/>
      </c>
      <c r="Y95" s="54" t="s">
        <v>183</v>
      </c>
      <c r="Z95" t="str">
        <f t="shared" si="29"/>
        <v/>
      </c>
      <c r="AA95">
        <v>10</v>
      </c>
      <c r="AB95" s="58">
        <f t="shared" si="30"/>
        <v>1375</v>
      </c>
      <c r="AD95" s="54" t="s">
        <v>183</v>
      </c>
      <c r="AE95" t="str">
        <f t="shared" si="31"/>
        <v/>
      </c>
      <c r="AF95" t="s">
        <v>183</v>
      </c>
      <c r="AG95" s="58" t="str">
        <f t="shared" si="32"/>
        <v/>
      </c>
      <c r="AI95" s="54" t="s">
        <v>183</v>
      </c>
      <c r="AJ95" t="str">
        <f t="shared" si="33"/>
        <v/>
      </c>
      <c r="AK95" t="s">
        <v>183</v>
      </c>
      <c r="AL95" s="66" t="str">
        <f t="shared" si="34"/>
        <v/>
      </c>
      <c r="AS95" s="279"/>
      <c r="AU95" s="279"/>
    </row>
    <row r="96" spans="1:47" ht="15" thickBot="1" x14ac:dyDescent="0.4">
      <c r="A96" s="65">
        <v>75</v>
      </c>
      <c r="B96" s="74" t="s">
        <v>56</v>
      </c>
      <c r="C96" s="291">
        <v>40952</v>
      </c>
      <c r="D96" s="295"/>
      <c r="E96" s="292"/>
      <c r="F96" s="74" t="str">
        <f t="shared" si="21"/>
        <v/>
      </c>
      <c r="G96" s="74" t="s">
        <v>183</v>
      </c>
      <c r="H96" s="293" t="str">
        <f t="shared" si="22"/>
        <v/>
      </c>
      <c r="I96" s="74"/>
      <c r="J96" s="292"/>
      <c r="K96" s="74" t="str">
        <f t="shared" si="23"/>
        <v/>
      </c>
      <c r="L96" s="74" t="s">
        <v>183</v>
      </c>
      <c r="M96" s="293" t="str">
        <f t="shared" si="24"/>
        <v/>
      </c>
      <c r="N96" s="74">
        <v>3</v>
      </c>
      <c r="O96" s="292">
        <v>9</v>
      </c>
      <c r="P96" s="74">
        <f t="shared" si="25"/>
        <v>1950</v>
      </c>
      <c r="Q96" s="74">
        <v>9</v>
      </c>
      <c r="R96" s="293">
        <f t="shared" si="26"/>
        <v>1585</v>
      </c>
      <c r="S96" s="74"/>
      <c r="T96" s="292" t="s">
        <v>183</v>
      </c>
      <c r="U96" s="74" t="str">
        <f t="shared" si="27"/>
        <v/>
      </c>
      <c r="V96" s="74" t="s">
        <v>183</v>
      </c>
      <c r="W96" s="293" t="str">
        <f t="shared" si="28"/>
        <v/>
      </c>
      <c r="X96" s="74"/>
      <c r="Y96" s="292" t="s">
        <v>183</v>
      </c>
      <c r="Z96" s="74" t="str">
        <f t="shared" si="29"/>
        <v/>
      </c>
      <c r="AA96" s="74" t="s">
        <v>183</v>
      </c>
      <c r="AB96" s="293" t="str">
        <f t="shared" si="30"/>
        <v/>
      </c>
      <c r="AC96" s="74"/>
      <c r="AD96" s="292" t="s">
        <v>183</v>
      </c>
      <c r="AE96" s="74" t="str">
        <f t="shared" si="31"/>
        <v/>
      </c>
      <c r="AF96" s="74" t="s">
        <v>183</v>
      </c>
      <c r="AG96" s="293" t="str">
        <f t="shared" si="32"/>
        <v/>
      </c>
      <c r="AH96" s="74"/>
      <c r="AI96" s="292" t="s">
        <v>183</v>
      </c>
      <c r="AJ96" s="74" t="str">
        <f t="shared" si="33"/>
        <v/>
      </c>
      <c r="AK96" s="74" t="s">
        <v>183</v>
      </c>
      <c r="AL96" s="68" t="str">
        <f t="shared" si="34"/>
        <v/>
      </c>
      <c r="AS96" s="279"/>
      <c r="AU96" s="279"/>
    </row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</sheetData>
  <mergeCells count="24">
    <mergeCell ref="AO20:AP20"/>
    <mergeCell ref="AQ20:AR20"/>
    <mergeCell ref="Y20:Z20"/>
    <mergeCell ref="AA20:AB20"/>
    <mergeCell ref="AD20:AE20"/>
    <mergeCell ref="AF20:AG20"/>
    <mergeCell ref="AI20:AJ20"/>
    <mergeCell ref="AK20:AL20"/>
    <mergeCell ref="AI19:AL19"/>
    <mergeCell ref="A20:C20"/>
    <mergeCell ref="E20:F20"/>
    <mergeCell ref="G20:H20"/>
    <mergeCell ref="J20:K20"/>
    <mergeCell ref="L20:M20"/>
    <mergeCell ref="O20:P20"/>
    <mergeCell ref="Q20:R20"/>
    <mergeCell ref="T20:U20"/>
    <mergeCell ref="V20:W20"/>
    <mergeCell ref="E19:H19"/>
    <mergeCell ref="J19:M19"/>
    <mergeCell ref="O19:R19"/>
    <mergeCell ref="T19:W19"/>
    <mergeCell ref="Y19:AB19"/>
    <mergeCell ref="AD19:AG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rgb="FFFFC000"/>
  </sheetPr>
  <dimension ref="A2:W58"/>
  <sheetViews>
    <sheetView topLeftCell="A30" workbookViewId="0">
      <selection activeCell="F51" sqref="F51:F58"/>
    </sheetView>
  </sheetViews>
  <sheetFormatPr defaultRowHeight="14.5" x14ac:dyDescent="0.35"/>
  <cols>
    <col min="2" max="2" width="11" customWidth="1"/>
    <col min="11" max="11" width="11.36328125" customWidth="1"/>
  </cols>
  <sheetData>
    <row r="2" spans="1:23" x14ac:dyDescent="0.35">
      <c r="A2" s="372" t="s">
        <v>128</v>
      </c>
      <c r="B2" s="373"/>
      <c r="C2" s="373"/>
      <c r="D2" s="373"/>
      <c r="E2" s="373"/>
      <c r="F2" s="373"/>
      <c r="G2" s="374"/>
      <c r="J2" s="375" t="s">
        <v>132</v>
      </c>
      <c r="K2" s="376"/>
      <c r="L2" s="376"/>
      <c r="M2" s="376"/>
      <c r="N2" s="377"/>
    </row>
    <row r="3" spans="1:23" ht="18.5" x14ac:dyDescent="0.45">
      <c r="A3" s="52"/>
      <c r="B3" s="382" t="s">
        <v>62</v>
      </c>
      <c r="C3" s="384"/>
      <c r="D3" s="383" t="s">
        <v>24</v>
      </c>
      <c r="E3" s="383"/>
      <c r="F3" s="383" t="s">
        <v>25</v>
      </c>
      <c r="G3" s="384"/>
      <c r="J3" s="186" t="s">
        <v>23</v>
      </c>
      <c r="K3" s="41" t="s">
        <v>62</v>
      </c>
      <c r="L3" s="149" t="s">
        <v>24</v>
      </c>
      <c r="M3" s="41" t="s">
        <v>25</v>
      </c>
      <c r="N3" s="150" t="s">
        <v>28</v>
      </c>
      <c r="Q3" s="378" t="s">
        <v>129</v>
      </c>
      <c r="R3" s="378"/>
      <c r="S3" s="378"/>
      <c r="T3" s="378"/>
      <c r="U3" s="378"/>
      <c r="V3" s="378"/>
      <c r="W3" s="378"/>
    </row>
    <row r="4" spans="1:23" x14ac:dyDescent="0.35">
      <c r="A4" s="54"/>
      <c r="B4" s="148" t="s">
        <v>26</v>
      </c>
      <c r="C4" s="149" t="s">
        <v>27</v>
      </c>
      <c r="D4" s="148" t="s">
        <v>26</v>
      </c>
      <c r="E4" s="150" t="s">
        <v>27</v>
      </c>
      <c r="F4" s="149" t="s">
        <v>26</v>
      </c>
      <c r="G4" s="150" t="s">
        <v>27</v>
      </c>
      <c r="J4" s="10" t="s">
        <v>1</v>
      </c>
      <c r="K4" s="296">
        <f>'Data fits from Mathematica'!J17*100</f>
        <v>58.20000000000001</v>
      </c>
      <c r="L4" s="88">
        <f>(('Ebbinghaus, Mack, Seitz'!D5-'Ebbinghaus, Mack, Seitz'!E5)/'Ebbinghaus, Mack, Seitz'!D5)*100</f>
        <v>54.430379746835435</v>
      </c>
      <c r="M4" s="209">
        <f>(('Ebbinghaus, Mack, Seitz'!F5-'Ebbinghaus, Mack, Seitz'!G5)/'Ebbinghaus, Mack, Seitz'!F5)*100</f>
        <v>44.206008583690988</v>
      </c>
      <c r="N4" s="210">
        <v>47.167729999999999</v>
      </c>
    </row>
    <row r="5" spans="1:23" x14ac:dyDescent="0.35">
      <c r="A5" s="10" t="s">
        <v>1</v>
      </c>
      <c r="B5" s="14">
        <v>23.8</v>
      </c>
      <c r="C5" s="14">
        <v>10.4</v>
      </c>
      <c r="D5" s="217">
        <v>23.7</v>
      </c>
      <c r="E5" s="218">
        <v>10.8</v>
      </c>
      <c r="F5" s="14">
        <v>23.3</v>
      </c>
      <c r="G5" s="218">
        <v>13</v>
      </c>
      <c r="J5" s="97" t="s">
        <v>109</v>
      </c>
      <c r="K5" s="296">
        <f>'Data fits from Mathematica'!J18*100</f>
        <v>44.2</v>
      </c>
      <c r="L5" s="89">
        <f>(('Ebbinghaus, Mack, Seitz'!D6-'Ebbinghaus, Mack, Seitz'!E6)/'Ebbinghaus, Mack, Seitz'!D6)*100</f>
        <v>43.190661478599225</v>
      </c>
      <c r="M5" s="87">
        <f>(('Ebbinghaus, Mack, Seitz'!F6-'Ebbinghaus, Mack, Seitz'!G6)/'Ebbinghaus, Mack, Seitz'!F6)*100</f>
        <v>32.489451476793249</v>
      </c>
      <c r="N5" s="212">
        <v>37.290900000000001</v>
      </c>
    </row>
    <row r="6" spans="1:23" x14ac:dyDescent="0.35">
      <c r="A6" s="97" t="s">
        <v>109</v>
      </c>
      <c r="B6" s="14">
        <v>24.4</v>
      </c>
      <c r="C6" s="14">
        <v>14.6</v>
      </c>
      <c r="D6" s="217">
        <v>25.7</v>
      </c>
      <c r="E6" s="218">
        <v>14.6</v>
      </c>
      <c r="F6" s="14">
        <v>23.7</v>
      </c>
      <c r="G6" s="218">
        <v>16</v>
      </c>
      <c r="J6" s="97" t="s">
        <v>110</v>
      </c>
      <c r="K6" s="296">
        <f>'Data fits from Mathematica'!J19*100</f>
        <v>35.799999999999997</v>
      </c>
      <c r="L6" s="89">
        <f>(('Ebbinghaus, Mack, Seitz'!D7-'Ebbinghaus, Mack, Seitz'!E7)/'Ebbinghaus, Mack, Seitz'!D7)*100</f>
        <v>28.512396694214871</v>
      </c>
      <c r="M6" s="87">
        <f>(('Ebbinghaus, Mack, Seitz'!F7-'Ebbinghaus, Mack, Seitz'!G7)/'Ebbinghaus, Mack, Seitz'!F7)*100</f>
        <v>26.976744186046513</v>
      </c>
      <c r="N6" s="212">
        <v>27.644490000000001</v>
      </c>
    </row>
    <row r="7" spans="1:23" x14ac:dyDescent="0.35">
      <c r="A7" s="97" t="s">
        <v>110</v>
      </c>
      <c r="B7" s="14">
        <v>24.9</v>
      </c>
      <c r="C7" s="14">
        <v>18.600000000000001</v>
      </c>
      <c r="D7" s="217">
        <v>24.2</v>
      </c>
      <c r="E7" s="218">
        <v>17.3</v>
      </c>
      <c r="F7" s="14">
        <v>21.5</v>
      </c>
      <c r="G7" s="218">
        <v>15.7</v>
      </c>
      <c r="J7" s="97" t="s">
        <v>111</v>
      </c>
      <c r="K7" s="296">
        <f>'Data fits from Mathematica'!J20*100</f>
        <v>33.700000000000003</v>
      </c>
      <c r="L7" s="89">
        <f>(('Ebbinghaus, Mack, Seitz'!D8-'Ebbinghaus, Mack, Seitz'!E8)/'Ebbinghaus, Mack, Seitz'!D8)*100</f>
        <v>31.59851301115242</v>
      </c>
      <c r="M7" s="87">
        <f>(('Ebbinghaus, Mack, Seitz'!F8-'Ebbinghaus, Mack, Seitz'!G8)/'Ebbinghaus, Mack, Seitz'!F8)*100</f>
        <v>27.004219409282694</v>
      </c>
      <c r="N7" s="212">
        <v>31.67801</v>
      </c>
    </row>
    <row r="8" spans="1:23" x14ac:dyDescent="0.35">
      <c r="A8" s="97" t="s">
        <v>111</v>
      </c>
      <c r="B8" s="14">
        <v>25.2</v>
      </c>
      <c r="C8" s="14">
        <v>16.8</v>
      </c>
      <c r="D8" s="217">
        <v>26.9</v>
      </c>
      <c r="E8" s="218">
        <v>18.399999999999999</v>
      </c>
      <c r="F8" s="14">
        <v>23.7</v>
      </c>
      <c r="G8" s="218">
        <v>17.3</v>
      </c>
      <c r="J8" s="97" t="s">
        <v>112</v>
      </c>
      <c r="K8" s="296">
        <f>'Data fits from Mathematica'!J21*100</f>
        <v>27.800000000000004</v>
      </c>
      <c r="L8" s="89">
        <f>(('Ebbinghaus, Mack, Seitz'!D9-'Ebbinghaus, Mack, Seitz'!E9)/'Ebbinghaus, Mack, Seitz'!D9)*100</f>
        <v>36.501901140684417</v>
      </c>
      <c r="M8" s="87">
        <f>(('Ebbinghaus, Mack, Seitz'!F9-'Ebbinghaus, Mack, Seitz'!G9)/'Ebbinghaus, Mack, Seitz'!F9)*100</f>
        <v>28.571428571428577</v>
      </c>
      <c r="N8" s="212">
        <v>23.000399999999999</v>
      </c>
    </row>
    <row r="9" spans="1:23" x14ac:dyDescent="0.35">
      <c r="A9" s="97" t="s">
        <v>112</v>
      </c>
      <c r="B9" s="14">
        <v>26.4</v>
      </c>
      <c r="C9" s="14">
        <v>19.2</v>
      </c>
      <c r="D9" s="217">
        <v>26.3</v>
      </c>
      <c r="E9" s="218">
        <v>16.7</v>
      </c>
      <c r="F9" s="14">
        <v>23.8</v>
      </c>
      <c r="G9" s="218">
        <v>17</v>
      </c>
      <c r="J9" s="97" t="s">
        <v>113</v>
      </c>
      <c r="K9" s="296">
        <f>'Data fits from Mathematica'!J22*100</f>
        <v>25.4</v>
      </c>
      <c r="L9" s="89">
        <f>(('Ebbinghaus, Mack, Seitz'!D10-'Ebbinghaus, Mack, Seitz'!E10)/'Ebbinghaus, Mack, Seitz'!D10)*100</f>
        <v>30.894308943089431</v>
      </c>
      <c r="M9" s="87">
        <f>(('Ebbinghaus, Mack, Seitz'!F10-'Ebbinghaus, Mack, Seitz'!G10)/'Ebbinghaus, Mack, Seitz'!F10)*100</f>
        <v>20.524017467248907</v>
      </c>
      <c r="N9" s="212">
        <v>16.820180000000001</v>
      </c>
    </row>
    <row r="10" spans="1:23" x14ac:dyDescent="0.35">
      <c r="A10" s="97" t="s">
        <v>113</v>
      </c>
      <c r="B10" s="14">
        <v>26.2</v>
      </c>
      <c r="C10" s="14">
        <v>19.7</v>
      </c>
      <c r="D10" s="217">
        <v>24.6</v>
      </c>
      <c r="E10" s="218">
        <v>17</v>
      </c>
      <c r="F10" s="14">
        <v>22.9</v>
      </c>
      <c r="G10" s="218">
        <v>18.2</v>
      </c>
      <c r="J10" s="11" t="s">
        <v>114</v>
      </c>
      <c r="K10" s="296">
        <f>'Data fits from Mathematica'!J23*100</f>
        <v>21.1</v>
      </c>
      <c r="L10" s="214">
        <f>(('Ebbinghaus, Mack, Seitz'!D11-'Ebbinghaus, Mack, Seitz'!E11)/'Ebbinghaus, Mack, Seitz'!D11)*100</f>
        <v>25.842696629213478</v>
      </c>
      <c r="M10" s="215">
        <f>(('Ebbinghaus, Mack, Seitz'!F11-'Ebbinghaus, Mack, Seitz'!G11)/'Ebbinghaus, Mack, Seitz'!F11)*100</f>
        <v>20.080321285140563</v>
      </c>
      <c r="N10" s="216">
        <v>4.0969850000000001</v>
      </c>
    </row>
    <row r="11" spans="1:23" x14ac:dyDescent="0.35">
      <c r="A11" s="11" t="s">
        <v>114</v>
      </c>
      <c r="B11" s="63">
        <v>25.7</v>
      </c>
      <c r="C11" s="63">
        <v>20.399999999999999</v>
      </c>
      <c r="D11" s="219">
        <v>26.7</v>
      </c>
      <c r="E11" s="220">
        <v>19.8</v>
      </c>
      <c r="F11" s="63">
        <v>24.9</v>
      </c>
      <c r="G11" s="220">
        <v>19.899999999999999</v>
      </c>
    </row>
    <row r="28" spans="1:7" ht="21" x14ac:dyDescent="0.5">
      <c r="A28" s="260" t="s">
        <v>139</v>
      </c>
      <c r="B28" s="260"/>
      <c r="C28" s="260"/>
      <c r="D28" s="260"/>
      <c r="E28" s="260"/>
      <c r="F28" s="260"/>
      <c r="G28" s="260"/>
    </row>
    <row r="32" spans="1:7" x14ac:dyDescent="0.35">
      <c r="A32" s="379" t="s">
        <v>130</v>
      </c>
      <c r="B32" s="380"/>
      <c r="C32" s="380"/>
      <c r="D32" s="380"/>
      <c r="E32" s="381"/>
    </row>
    <row r="33" spans="1:5" x14ac:dyDescent="0.35">
      <c r="B33" s="8" t="str">
        <f>'Ebbinghaus, Mack, Seitz'!K3</f>
        <v>Ebbinghaus</v>
      </c>
      <c r="C33" s="8" t="str">
        <f>'Ebbinghaus, Mack, Seitz'!L3</f>
        <v>Mack</v>
      </c>
      <c r="D33" s="8" t="str">
        <f>'Ebbinghaus, Mack, Seitz'!M3</f>
        <v>Seitz</v>
      </c>
      <c r="E33" s="8" t="str">
        <f>'Ebbinghaus, Mack, Seitz'!N3</f>
        <v>Joeri</v>
      </c>
    </row>
    <row r="34" spans="1:5" x14ac:dyDescent="0.35">
      <c r="A34" s="10" t="str">
        <f>'Ebbinghaus, Mack, Seitz'!J4</f>
        <v>20min</v>
      </c>
      <c r="B34">
        <f>100*'Ebbinghaus, Mack, Seitz'!K4/'Ebbinghaus, Mack, Seitz'!K$4</f>
        <v>100</v>
      </c>
      <c r="C34">
        <f>100*'Ebbinghaus, Mack, Seitz'!L4/'Ebbinghaus, Mack, Seitz'!L$4</f>
        <v>100</v>
      </c>
      <c r="D34">
        <f>100*'Ebbinghaus, Mack, Seitz'!M4/'Ebbinghaus, Mack, Seitz'!M$4</f>
        <v>100.00000000000001</v>
      </c>
      <c r="E34">
        <f>100*'Ebbinghaus, Mack, Seitz'!N4/'Ebbinghaus, Mack, Seitz'!N$4</f>
        <v>100</v>
      </c>
    </row>
    <row r="35" spans="1:5" x14ac:dyDescent="0.35">
      <c r="A35" s="97" t="str">
        <f>'Ebbinghaus, Mack, Seitz'!J5</f>
        <v>1hour</v>
      </c>
      <c r="B35">
        <f>100*'Ebbinghaus, Mack, Seitz'!K5/'Ebbinghaus, Mack, Seitz'!K$4</f>
        <v>75.94501718213057</v>
      </c>
      <c r="C35">
        <f>100*'Ebbinghaus, Mack, Seitz'!L5/'Ebbinghaus, Mack, Seitz'!L$4</f>
        <v>79.350285042077658</v>
      </c>
      <c r="D35">
        <f>100*'Ebbinghaus, Mack, Seitz'!M5/'Ebbinghaus, Mack, Seitz'!M$4</f>
        <v>73.495555282454632</v>
      </c>
      <c r="E35">
        <f>100*'Ebbinghaus, Mack, Seitz'!N5/'Ebbinghaus, Mack, Seitz'!N$4</f>
        <v>79.060196452108258</v>
      </c>
    </row>
    <row r="36" spans="1:5" x14ac:dyDescent="0.35">
      <c r="A36" s="97" t="str">
        <f>'Ebbinghaus, Mack, Seitz'!J6</f>
        <v>9hours</v>
      </c>
      <c r="B36">
        <f>100*'Ebbinghaus, Mack, Seitz'!K6/'Ebbinghaus, Mack, Seitz'!K$4</f>
        <v>61.512027491408915</v>
      </c>
      <c r="C36">
        <f>100*'Ebbinghaus, Mack, Seitz'!L6/'Ebbinghaus, Mack, Seitz'!L$4</f>
        <v>52.383240438208723</v>
      </c>
      <c r="D36">
        <f>100*'Ebbinghaus, Mack, Seitz'!M6/'Ebbinghaus, Mack, Seitz'!M$4</f>
        <v>61.02506209076541</v>
      </c>
      <c r="E36">
        <f>100*'Ebbinghaus, Mack, Seitz'!N6/'Ebbinghaus, Mack, Seitz'!N$4</f>
        <v>58.608904859318017</v>
      </c>
    </row>
    <row r="37" spans="1:5" x14ac:dyDescent="0.35">
      <c r="A37" s="97" t="str">
        <f>'Ebbinghaus, Mack, Seitz'!J7</f>
        <v>1day</v>
      </c>
      <c r="B37">
        <f>100*'Ebbinghaus, Mack, Seitz'!K7/'Ebbinghaus, Mack, Seitz'!K$4</f>
        <v>57.903780068728523</v>
      </c>
      <c r="C37">
        <f>100*'Ebbinghaus, Mack, Seitz'!L7/'Ebbinghaus, Mack, Seitz'!L$4</f>
        <v>58.05308204374515</v>
      </c>
      <c r="D37">
        <f>100*'Ebbinghaus, Mack, Seitz'!M7/'Ebbinghaus, Mack, Seitz'!M$4</f>
        <v>61.08721478022202</v>
      </c>
      <c r="E37">
        <f>100*'Ebbinghaus, Mack, Seitz'!N7/'Ebbinghaus, Mack, Seitz'!N$4</f>
        <v>67.160344583044377</v>
      </c>
    </row>
    <row r="38" spans="1:5" x14ac:dyDescent="0.35">
      <c r="A38" s="97" t="str">
        <f>'Ebbinghaus, Mack, Seitz'!J8</f>
        <v>2days</v>
      </c>
      <c r="B38">
        <f>100*'Ebbinghaus, Mack, Seitz'!K8/'Ebbinghaus, Mack, Seitz'!K$4</f>
        <v>47.766323024054984</v>
      </c>
      <c r="C38">
        <f>100*'Ebbinghaus, Mack, Seitz'!L8/'Ebbinghaus, Mack, Seitz'!L$4</f>
        <v>67.061632328234168</v>
      </c>
      <c r="D38">
        <f>100*'Ebbinghaus, Mack, Seitz'!M8/'Ebbinghaus, Mack, Seitz'!M$4</f>
        <v>64.632454923717077</v>
      </c>
      <c r="E38">
        <f>100*'Ebbinghaus, Mack, Seitz'!N8/'Ebbinghaus, Mack, Seitz'!N$4</f>
        <v>48.762999618595174</v>
      </c>
    </row>
    <row r="39" spans="1:5" x14ac:dyDescent="0.35">
      <c r="A39" s="97" t="str">
        <f>'Ebbinghaus, Mack, Seitz'!J9</f>
        <v>6days</v>
      </c>
      <c r="B39">
        <f>100*'Ebbinghaus, Mack, Seitz'!K9/'Ebbinghaus, Mack, Seitz'!K$4</f>
        <v>43.642611683848791</v>
      </c>
      <c r="C39">
        <f>100*'Ebbinghaus, Mack, Seitz'!L9/'Ebbinghaus, Mack, Seitz'!L$4</f>
        <v>56.759311779164314</v>
      </c>
      <c r="D39">
        <f>100*'Ebbinghaus, Mack, Seitz'!M9/'Ebbinghaus, Mack, Seitz'!M$4</f>
        <v>46.428117183194125</v>
      </c>
      <c r="E39">
        <f>100*'Ebbinghaus, Mack, Seitz'!N9/'Ebbinghaus, Mack, Seitz'!N$4</f>
        <v>35.66035507750744</v>
      </c>
    </row>
    <row r="40" spans="1:5" x14ac:dyDescent="0.35">
      <c r="A40" s="11" t="str">
        <f>'Ebbinghaus, Mack, Seitz'!J10</f>
        <v>31days</v>
      </c>
      <c r="B40">
        <f>100*'Ebbinghaus, Mack, Seitz'!K10/'Ebbinghaus, Mack, Seitz'!K$4</f>
        <v>36.25429553264604</v>
      </c>
      <c r="C40">
        <f>100*'Ebbinghaus, Mack, Seitz'!L10/'Ebbinghaus, Mack, Seitz'!L$4</f>
        <v>47.478442644368954</v>
      </c>
      <c r="D40">
        <f>100*'Ebbinghaus, Mack, Seitz'!M10/'Ebbinghaus, Mack, Seitz'!M$4</f>
        <v>45.424416111046128</v>
      </c>
      <c r="E40">
        <f>100*'Ebbinghaus, Mack, Seitz'!N10/'Ebbinghaus, Mack, Seitz'!N$4</f>
        <v>8.6859914606872124</v>
      </c>
    </row>
    <row r="50" spans="1:6" x14ac:dyDescent="0.35">
      <c r="A50" s="382" t="s">
        <v>131</v>
      </c>
      <c r="B50" s="383"/>
      <c r="C50" s="383"/>
      <c r="D50" s="383"/>
      <c r="E50" s="384"/>
    </row>
    <row r="51" spans="1:6" x14ac:dyDescent="0.35">
      <c r="A51" s="26" t="s">
        <v>29</v>
      </c>
      <c r="B51" s="92" t="str">
        <f>'Ebbinghaus, Mack, Seitz'!K3</f>
        <v>Ebbinghaus</v>
      </c>
      <c r="C51" s="26" t="str">
        <f>'Ebbinghaus, Mack, Seitz'!L3</f>
        <v>Mack</v>
      </c>
      <c r="D51" s="92" t="str">
        <f>'Ebbinghaus, Mack, Seitz'!M3</f>
        <v>Seitz</v>
      </c>
      <c r="E51" s="26" t="s">
        <v>143</v>
      </c>
      <c r="F51" t="s">
        <v>167</v>
      </c>
    </row>
    <row r="52" spans="1:6" x14ac:dyDescent="0.35">
      <c r="A52" s="91">
        <f>20/60/24</f>
        <v>1.3888888888888888E-2</v>
      </c>
      <c r="B52" s="297">
        <f>'Ebbinghaus, Mack, Seitz'!K4/'Ebbinghaus, Mack, Seitz'!K$4</f>
        <v>1</v>
      </c>
      <c r="C52" s="297">
        <f>'Ebbinghaus, Mack, Seitz'!L4/'Ebbinghaus, Mack, Seitz'!L$4</f>
        <v>1</v>
      </c>
      <c r="D52" s="297">
        <f>'Ebbinghaus, Mack, Seitz'!M4/'Ebbinghaus, Mack, Seitz'!M$4</f>
        <v>1</v>
      </c>
      <c r="E52" s="297">
        <f>'Ebbinghaus, Mack, Seitz'!N4/'Ebbinghaus, Mack, Seitz'!N$4</f>
        <v>1</v>
      </c>
      <c r="F52" s="271">
        <f>AVERAGE(B52:E52)</f>
        <v>1</v>
      </c>
    </row>
    <row r="53" spans="1:6" x14ac:dyDescent="0.35">
      <c r="A53" s="61">
        <f>1/24</f>
        <v>4.1666666666666664E-2</v>
      </c>
      <c r="B53" s="297">
        <f>'Ebbinghaus, Mack, Seitz'!K5/'Ebbinghaus, Mack, Seitz'!K$4</f>
        <v>0.75945017182130581</v>
      </c>
      <c r="C53" s="297">
        <f>'Ebbinghaus, Mack, Seitz'!L5/'Ebbinghaus, Mack, Seitz'!L$4</f>
        <v>0.79350285042077662</v>
      </c>
      <c r="D53" s="297">
        <f>'Ebbinghaus, Mack, Seitz'!M5/'Ebbinghaus, Mack, Seitz'!M$4</f>
        <v>0.73495555282454628</v>
      </c>
      <c r="E53" s="297">
        <f>'Ebbinghaus, Mack, Seitz'!N5/'Ebbinghaus, Mack, Seitz'!N$4</f>
        <v>0.79060196452108256</v>
      </c>
      <c r="F53" s="271">
        <f t="shared" ref="F53:F58" si="0">AVERAGE(B53:E53)</f>
        <v>0.76962763489692787</v>
      </c>
    </row>
    <row r="54" spans="1:6" x14ac:dyDescent="0.35">
      <c r="A54" s="61">
        <f>9/24</f>
        <v>0.375</v>
      </c>
      <c r="B54" s="297">
        <f>'Ebbinghaus, Mack, Seitz'!K6/'Ebbinghaus, Mack, Seitz'!K$4</f>
        <v>0.61512027491408916</v>
      </c>
      <c r="C54" s="297">
        <f>'Ebbinghaus, Mack, Seitz'!L6/'Ebbinghaus, Mack, Seitz'!L$4</f>
        <v>0.52383240438208722</v>
      </c>
      <c r="D54" s="297">
        <f>'Ebbinghaus, Mack, Seitz'!M6/'Ebbinghaus, Mack, Seitz'!M$4</f>
        <v>0.61025062090765414</v>
      </c>
      <c r="E54" s="297">
        <f>'Ebbinghaus, Mack, Seitz'!N6/'Ebbinghaus, Mack, Seitz'!N$4</f>
        <v>0.58608904859318012</v>
      </c>
      <c r="F54" s="271">
        <f t="shared" si="0"/>
        <v>0.58382308719925269</v>
      </c>
    </row>
    <row r="55" spans="1:6" x14ac:dyDescent="0.35">
      <c r="A55" s="61">
        <v>1</v>
      </c>
      <c r="B55" s="297">
        <f>'Ebbinghaus, Mack, Seitz'!K7/'Ebbinghaus, Mack, Seitz'!K$4</f>
        <v>0.57903780068728516</v>
      </c>
      <c r="C55" s="297">
        <f>'Ebbinghaus, Mack, Seitz'!L7/'Ebbinghaus, Mack, Seitz'!L$4</f>
        <v>0.58053082043745152</v>
      </c>
      <c r="D55" s="297">
        <f>'Ebbinghaus, Mack, Seitz'!M7/'Ebbinghaus, Mack, Seitz'!M$4</f>
        <v>0.6108721478022201</v>
      </c>
      <c r="E55" s="297">
        <f>'Ebbinghaus, Mack, Seitz'!N7/'Ebbinghaus, Mack, Seitz'!N$4</f>
        <v>0.67160344583044385</v>
      </c>
      <c r="F55" s="271">
        <f t="shared" si="0"/>
        <v>0.6105110536893501</v>
      </c>
    </row>
    <row r="56" spans="1:6" x14ac:dyDescent="0.35">
      <c r="A56" s="61">
        <v>2</v>
      </c>
      <c r="B56" s="297">
        <f>'Ebbinghaus, Mack, Seitz'!K8/'Ebbinghaus, Mack, Seitz'!K$4</f>
        <v>0.4776632302405498</v>
      </c>
      <c r="C56" s="297">
        <f>'Ebbinghaus, Mack, Seitz'!L8/'Ebbinghaus, Mack, Seitz'!L$4</f>
        <v>0.67061632328234178</v>
      </c>
      <c r="D56" s="297">
        <f>'Ebbinghaus, Mack, Seitz'!M8/'Ebbinghaus, Mack, Seitz'!M$4</f>
        <v>0.64632454923717075</v>
      </c>
      <c r="E56" s="297">
        <f>'Ebbinghaus, Mack, Seitz'!N8/'Ebbinghaus, Mack, Seitz'!N$4</f>
        <v>0.48762999618595171</v>
      </c>
      <c r="F56" s="271">
        <f t="shared" si="0"/>
        <v>0.57055852473650348</v>
      </c>
    </row>
    <row r="57" spans="1:6" x14ac:dyDescent="0.35">
      <c r="A57" s="61">
        <v>6</v>
      </c>
      <c r="B57" s="297">
        <f>'Ebbinghaus, Mack, Seitz'!K9/'Ebbinghaus, Mack, Seitz'!K$4</f>
        <v>0.43642611683848787</v>
      </c>
      <c r="C57" s="297">
        <f>'Ebbinghaus, Mack, Seitz'!L9/'Ebbinghaus, Mack, Seitz'!L$4</f>
        <v>0.56759311779164312</v>
      </c>
      <c r="D57" s="297">
        <f>'Ebbinghaus, Mack, Seitz'!M9/'Ebbinghaus, Mack, Seitz'!M$4</f>
        <v>0.46428117183194129</v>
      </c>
      <c r="E57" s="297">
        <f>'Ebbinghaus, Mack, Seitz'!N9/'Ebbinghaus, Mack, Seitz'!N$4</f>
        <v>0.35660355077507444</v>
      </c>
      <c r="F57" s="271">
        <f t="shared" si="0"/>
        <v>0.45622598930928665</v>
      </c>
    </row>
    <row r="58" spans="1:6" x14ac:dyDescent="0.35">
      <c r="A58" s="61">
        <v>31</v>
      </c>
      <c r="B58" s="297">
        <f>'Ebbinghaus, Mack, Seitz'!K10/'Ebbinghaus, Mack, Seitz'!K$4</f>
        <v>0.36254295532646047</v>
      </c>
      <c r="C58" s="297">
        <f>'Ebbinghaus, Mack, Seitz'!L10/'Ebbinghaus, Mack, Seitz'!L$4</f>
        <v>0.47478442644368957</v>
      </c>
      <c r="D58" s="297">
        <f>'Ebbinghaus, Mack, Seitz'!M10/'Ebbinghaus, Mack, Seitz'!M$4</f>
        <v>0.45424416111046129</v>
      </c>
      <c r="E58" s="297">
        <f>'Ebbinghaus, Mack, Seitz'!N10/'Ebbinghaus, Mack, Seitz'!N$4</f>
        <v>8.6859914606872118E-2</v>
      </c>
      <c r="F58" s="271">
        <f t="shared" si="0"/>
        <v>0.34460786437187085</v>
      </c>
    </row>
  </sheetData>
  <mergeCells count="8">
    <mergeCell ref="A2:G2"/>
    <mergeCell ref="J2:N2"/>
    <mergeCell ref="Q3:W3"/>
    <mergeCell ref="A32:E32"/>
    <mergeCell ref="A50:E50"/>
    <mergeCell ref="D3:E3"/>
    <mergeCell ref="B3:C3"/>
    <mergeCell ref="F3: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tabColor rgb="FFFFC000"/>
  </sheetPr>
  <dimension ref="A1:BY73"/>
  <sheetViews>
    <sheetView topLeftCell="BA1" zoomScale="90" zoomScaleNormal="90" workbookViewId="0">
      <selection activeCell="BU10" sqref="BU10:BX11"/>
    </sheetView>
  </sheetViews>
  <sheetFormatPr defaultRowHeight="14.5" x14ac:dyDescent="0.35"/>
  <cols>
    <col min="2" max="2" width="11" customWidth="1"/>
    <col min="3" max="3" width="10.81640625" customWidth="1"/>
    <col min="8" max="8" width="8.90625"/>
    <col min="9" max="9" width="12.81640625" customWidth="1"/>
    <col min="10" max="10" width="12.1796875" customWidth="1"/>
    <col min="12" max="12" width="11.36328125" customWidth="1"/>
    <col min="14" max="14" width="9.54296875" bestFit="1" customWidth="1"/>
    <col min="15" max="15" width="15.1796875" customWidth="1"/>
    <col min="16" max="16" width="11.08984375" customWidth="1"/>
    <col min="17" max="17" width="10.1796875" customWidth="1"/>
    <col min="18" max="18" width="10.08984375" customWidth="1"/>
    <col min="21" max="21" width="13.08984375" bestFit="1" customWidth="1"/>
    <col min="23" max="23" width="12" bestFit="1" customWidth="1"/>
    <col min="24" max="24" width="11.1796875" customWidth="1"/>
    <col min="30" max="30" width="13.36328125" bestFit="1" customWidth="1"/>
    <col min="31" max="34" width="12" bestFit="1" customWidth="1"/>
    <col min="44" max="44" width="10" bestFit="1" customWidth="1"/>
    <col min="48" max="48" width="11.08984375" bestFit="1" customWidth="1"/>
    <col min="51" max="51" width="12" bestFit="1" customWidth="1"/>
    <col min="58" max="58" width="13.08984375" bestFit="1" customWidth="1"/>
    <col min="65" max="65" width="9.08984375" bestFit="1" customWidth="1"/>
  </cols>
  <sheetData>
    <row r="1" spans="1:77" x14ac:dyDescent="0.35">
      <c r="AC1" s="6"/>
      <c r="AD1" s="273" t="s">
        <v>243</v>
      </c>
      <c r="AE1" s="323">
        <v>1880</v>
      </c>
      <c r="AF1" s="273">
        <v>1885</v>
      </c>
      <c r="AQ1" s="6"/>
      <c r="AR1" s="273" t="s">
        <v>243</v>
      </c>
      <c r="AS1" s="273">
        <v>1880</v>
      </c>
      <c r="AT1" s="323">
        <v>1885</v>
      </c>
    </row>
    <row r="2" spans="1:77" x14ac:dyDescent="0.35">
      <c r="V2" s="6"/>
      <c r="W2" s="273" t="s">
        <v>243</v>
      </c>
      <c r="X2" s="323">
        <v>1880</v>
      </c>
      <c r="Y2" s="273">
        <v>1885</v>
      </c>
      <c r="AC2" s="61" t="s">
        <v>146</v>
      </c>
      <c r="AD2">
        <v>0.26801771966995774</v>
      </c>
      <c r="AE2" s="324">
        <v>0.2645946537198946</v>
      </c>
      <c r="AF2">
        <v>0.26513893729577415</v>
      </c>
      <c r="AQ2" s="61" t="s">
        <v>146</v>
      </c>
      <c r="AR2">
        <v>0.6905332009851014</v>
      </c>
      <c r="AS2">
        <v>0.66010903783407249</v>
      </c>
      <c r="AT2" s="324">
        <v>0.68208119357687236</v>
      </c>
    </row>
    <row r="3" spans="1:77" x14ac:dyDescent="0.35">
      <c r="O3" s="6"/>
      <c r="P3" s="273" t="s">
        <v>243</v>
      </c>
      <c r="Q3" s="323">
        <v>1880</v>
      </c>
      <c r="R3" s="273">
        <v>1885</v>
      </c>
      <c r="V3" s="61" t="s">
        <v>146</v>
      </c>
      <c r="W3">
        <v>1.647685362762807</v>
      </c>
      <c r="X3" s="324">
        <v>1.3345980352436908</v>
      </c>
      <c r="Y3">
        <v>1.3946853188689459</v>
      </c>
      <c r="AC3" s="61" t="s">
        <v>147</v>
      </c>
      <c r="AD3">
        <v>2.0886196800826134E-5</v>
      </c>
      <c r="AE3" s="324">
        <v>2.58068621151679E-5</v>
      </c>
      <c r="AF3">
        <v>2.5118786022413443E-5</v>
      </c>
      <c r="AG3" s="28"/>
      <c r="AK3" s="61" t="s">
        <v>255</v>
      </c>
      <c r="AQ3" s="61" t="s">
        <v>147</v>
      </c>
      <c r="AR3">
        <v>3.0330621131612713E-4</v>
      </c>
      <c r="AS3">
        <v>2.8321874388412358E-4</v>
      </c>
      <c r="AT3" s="324">
        <v>2.8532033961060753E-4</v>
      </c>
      <c r="AX3" s="385" t="s">
        <v>159</v>
      </c>
      <c r="AY3" s="385"/>
      <c r="AZ3" s="385"/>
      <c r="BA3" s="385"/>
      <c r="BB3" s="385"/>
      <c r="BL3" s="6"/>
      <c r="BM3" s="273" t="s">
        <v>243</v>
      </c>
      <c r="BN3" s="273">
        <v>1880</v>
      </c>
      <c r="BO3" s="323">
        <v>1885</v>
      </c>
      <c r="BT3" s="6"/>
      <c r="BU3" s="273" t="s">
        <v>243</v>
      </c>
      <c r="BV3" s="273">
        <v>1880</v>
      </c>
      <c r="BW3" s="323">
        <v>1885</v>
      </c>
    </row>
    <row r="4" spans="1:77" x14ac:dyDescent="0.35">
      <c r="A4" s="372" t="s">
        <v>128</v>
      </c>
      <c r="B4" s="373"/>
      <c r="C4" s="373"/>
      <c r="D4" s="373"/>
      <c r="E4" s="373"/>
      <c r="F4" s="373"/>
      <c r="G4" s="374"/>
      <c r="H4" s="319"/>
      <c r="O4" s="61" t="s">
        <v>146</v>
      </c>
      <c r="P4">
        <v>1.3983105974858652</v>
      </c>
      <c r="Q4" s="324">
        <v>1.3345980353417477</v>
      </c>
      <c r="R4">
        <v>1.3946853231644849</v>
      </c>
      <c r="V4" s="61" t="s">
        <v>147</v>
      </c>
      <c r="W4">
        <v>0.1515288799767403</v>
      </c>
      <c r="X4" s="324">
        <v>0.1264953420256516</v>
      </c>
      <c r="Y4">
        <v>0.13017465418643709</v>
      </c>
      <c r="AC4" s="61" t="s">
        <v>150</v>
      </c>
      <c r="AD4">
        <v>0.25379487846554649</v>
      </c>
      <c r="AE4" s="324">
        <v>0.26261594244639319</v>
      </c>
      <c r="AF4">
        <v>0.26179733974425945</v>
      </c>
      <c r="AK4">
        <v>0.36147898090643815</v>
      </c>
      <c r="AL4">
        <v>0.3233561928592173</v>
      </c>
      <c r="AM4">
        <v>0.45649934305680157</v>
      </c>
      <c r="AN4">
        <v>0.2910941547287621</v>
      </c>
      <c r="AQ4" s="61" t="s">
        <v>150</v>
      </c>
      <c r="AR4">
        <v>1.4186306182731396E-4</v>
      </c>
      <c r="AS4">
        <v>1.3800971622995349E-4</v>
      </c>
      <c r="AT4" s="324">
        <v>1.340265995586398E-4</v>
      </c>
      <c r="AX4" t="s">
        <v>146</v>
      </c>
      <c r="AY4">
        <v>0.72637334612074744</v>
      </c>
      <c r="AZ4">
        <v>0.64584072618013721</v>
      </c>
      <c r="BA4">
        <v>0.72644323812108302</v>
      </c>
      <c r="BB4">
        <v>0.58705349857396305</v>
      </c>
      <c r="BL4" s="61" t="s">
        <v>146</v>
      </c>
      <c r="BM4">
        <v>0.52276568160708592</v>
      </c>
      <c r="BN4">
        <v>0.48111692105367321</v>
      </c>
      <c r="BO4" s="324">
        <v>0.51936929228948192</v>
      </c>
      <c r="BT4" s="61" t="s">
        <v>146</v>
      </c>
      <c r="BU4">
        <v>1.7972732548619561</v>
      </c>
      <c r="BV4">
        <v>1.6529270645897436</v>
      </c>
      <c r="BW4" s="324">
        <v>1.7836571218637218</v>
      </c>
    </row>
    <row r="5" spans="1:77" ht="18.5" x14ac:dyDescent="0.45">
      <c r="A5" s="52"/>
      <c r="B5" s="382" t="s">
        <v>62</v>
      </c>
      <c r="C5" s="384"/>
      <c r="D5" s="383" t="s">
        <v>24</v>
      </c>
      <c r="E5" s="383"/>
      <c r="F5" s="383" t="s">
        <v>25</v>
      </c>
      <c r="G5" s="384"/>
      <c r="H5" s="26"/>
      <c r="I5" s="386" t="s">
        <v>164</v>
      </c>
      <c r="J5" s="358"/>
      <c r="K5" s="358" t="s">
        <v>24</v>
      </c>
      <c r="L5" s="358"/>
      <c r="M5" s="358" t="s">
        <v>25</v>
      </c>
      <c r="N5" s="358"/>
      <c r="O5" s="61" t="s">
        <v>147</v>
      </c>
      <c r="P5">
        <v>0.13035244926811415</v>
      </c>
      <c r="Q5" s="324">
        <v>0.12649534202329626</v>
      </c>
      <c r="R5">
        <v>0.13017465450212615</v>
      </c>
      <c r="S5" s="322"/>
      <c r="T5" s="322"/>
      <c r="U5" s="322"/>
      <c r="V5" s="61" t="s">
        <v>153</v>
      </c>
      <c r="W5">
        <v>3.0352252456056317E-2</v>
      </c>
      <c r="X5" s="324">
        <v>3.0352252456056317E-2</v>
      </c>
      <c r="Y5">
        <v>3.0352252456056317E-2</v>
      </c>
      <c r="AC5" s="61" t="s">
        <v>151</v>
      </c>
      <c r="AD5">
        <v>2.3841857910156251E-8</v>
      </c>
      <c r="AE5" s="324">
        <v>2.3841857910156251E-8</v>
      </c>
      <c r="AF5">
        <v>2.3841857910156251E-8</v>
      </c>
      <c r="AK5">
        <v>2.8532033961060753E-4</v>
      </c>
      <c r="AL5">
        <v>3.0635091006165922E-4</v>
      </c>
      <c r="AM5">
        <v>7.5545329583531567E-4</v>
      </c>
      <c r="AN5">
        <v>3.6741339836329393E-4</v>
      </c>
      <c r="AQ5" s="61" t="s">
        <v>151</v>
      </c>
      <c r="AR5" s="265">
        <v>1.8354564624833082E-7</v>
      </c>
      <c r="AS5" s="265">
        <v>1.8112346880354853E-7</v>
      </c>
      <c r="AT5" s="325">
        <v>1.7875485186644554E-7</v>
      </c>
      <c r="AX5" t="s">
        <v>147</v>
      </c>
      <c r="AY5">
        <v>3.3594589594210055E-4</v>
      </c>
      <c r="AZ5">
        <v>2.4426152584575367E-4</v>
      </c>
      <c r="BA5">
        <v>7.5545329583531567E-4</v>
      </c>
      <c r="BB5">
        <v>3.6741339836582056E-4</v>
      </c>
      <c r="BL5" s="61" t="s">
        <v>147</v>
      </c>
      <c r="BM5">
        <v>0.1009528628283736</v>
      </c>
      <c r="BN5">
        <v>9.3004476277052647E-2</v>
      </c>
      <c r="BO5" s="324">
        <v>0.10035970904346408</v>
      </c>
      <c r="BT5" s="61" t="s">
        <v>147</v>
      </c>
      <c r="BU5">
        <v>1.20522030089337</v>
      </c>
      <c r="BV5">
        <v>1.135839812988078</v>
      </c>
      <c r="BW5" s="324">
        <v>1.1991252450620715</v>
      </c>
    </row>
    <row r="6" spans="1:77" x14ac:dyDescent="0.35">
      <c r="A6" s="54"/>
      <c r="B6" s="148" t="s">
        <v>26</v>
      </c>
      <c r="C6" s="149" t="s">
        <v>27</v>
      </c>
      <c r="D6" s="148" t="s">
        <v>26</v>
      </c>
      <c r="E6" s="150" t="s">
        <v>27</v>
      </c>
      <c r="F6" s="149" t="s">
        <v>26</v>
      </c>
      <c r="G6" s="150" t="s">
        <v>27</v>
      </c>
      <c r="H6" s="26"/>
      <c r="I6" s="26" t="s">
        <v>123</v>
      </c>
      <c r="J6" s="26" t="s">
        <v>160</v>
      </c>
      <c r="K6" s="26" t="s">
        <v>123</v>
      </c>
      <c r="L6" s="26" t="s">
        <v>160</v>
      </c>
      <c r="M6" s="26" t="s">
        <v>123</v>
      </c>
      <c r="N6" s="26" t="s">
        <v>160</v>
      </c>
      <c r="O6" s="61" t="s">
        <v>148</v>
      </c>
      <c r="P6">
        <v>2.8461488816745053E-3</v>
      </c>
      <c r="Q6" s="324">
        <v>1.7314141703034572E-3</v>
      </c>
      <c r="R6">
        <v>2.4395501054934932E-3</v>
      </c>
      <c r="V6" s="61" t="s">
        <v>148</v>
      </c>
      <c r="W6">
        <v>2.3157909255997946E-3</v>
      </c>
      <c r="X6" s="324">
        <v>1.7314141703034516E-3</v>
      </c>
      <c r="Y6">
        <v>2.4395501054934954E-3</v>
      </c>
      <c r="AC6" s="61" t="s">
        <v>148</v>
      </c>
      <c r="AD6">
        <v>1.176361993999136E-2</v>
      </c>
      <c r="AE6" s="324">
        <v>1.1470060889735158E-2</v>
      </c>
      <c r="AF6">
        <v>1.1664710004768554E-2</v>
      </c>
      <c r="AK6">
        <v>0.32060221267043421</v>
      </c>
      <c r="AL6">
        <v>0.32290969850348522</v>
      </c>
      <c r="AM6">
        <v>0.26994389506428146</v>
      </c>
      <c r="AN6">
        <v>0.2959593438516378</v>
      </c>
      <c r="AQ6" s="61" t="s">
        <v>148</v>
      </c>
      <c r="AR6">
        <v>4.7332271660175179E-3</v>
      </c>
      <c r="AS6">
        <v>4.7065949332214113E-3</v>
      </c>
      <c r="AT6" s="324">
        <v>4.6826521782107298E-3</v>
      </c>
      <c r="AX6" t="s">
        <v>150</v>
      </c>
      <c r="AY6">
        <v>1.1834294185556831E-4</v>
      </c>
      <c r="AZ6">
        <v>1.0613020945938726E-4</v>
      </c>
      <c r="BA6">
        <v>2.8067858517873557E-4</v>
      </c>
      <c r="BB6">
        <v>1.8483502709188652E-4</v>
      </c>
      <c r="BL6" s="61" t="s">
        <v>148</v>
      </c>
      <c r="BM6">
        <v>2.2398578307408351E-3</v>
      </c>
      <c r="BN6">
        <v>1.2595333550698665E-3</v>
      </c>
      <c r="BO6" s="324">
        <v>1.8462472008736607E-3</v>
      </c>
      <c r="BT6" s="61" t="s">
        <v>148</v>
      </c>
      <c r="BU6">
        <v>2.1822949780120897E-3</v>
      </c>
      <c r="BV6">
        <v>1.4761786472177944E-3</v>
      </c>
      <c r="BW6" s="324">
        <v>1.8197318225136837E-3</v>
      </c>
    </row>
    <row r="7" spans="1:77" x14ac:dyDescent="0.35">
      <c r="A7" s="10" t="s">
        <v>1</v>
      </c>
      <c r="B7" s="14">
        <v>23.8</v>
      </c>
      <c r="C7" s="14">
        <v>10.4</v>
      </c>
      <c r="D7" s="217">
        <v>23.7</v>
      </c>
      <c r="E7" s="218">
        <v>10.8</v>
      </c>
      <c r="F7" s="14">
        <v>23.3</v>
      </c>
      <c r="G7" s="218">
        <v>13</v>
      </c>
      <c r="H7" s="14"/>
      <c r="I7" s="270">
        <f>(0.9/23.8)</f>
        <v>3.7815126050420166E-2</v>
      </c>
      <c r="J7" s="271">
        <f t="shared" ref="J7:J13" si="0">I7/SQRT(F32)</f>
        <v>1.0916286602324857E-2</v>
      </c>
      <c r="K7" s="270">
        <f>1.6/D7</f>
        <v>6.7510548523206759E-2</v>
      </c>
      <c r="L7" s="271">
        <f>K7/SQRT(10)</f>
        <v>2.134870994206501E-2</v>
      </c>
      <c r="M7" s="270">
        <f>1.7/F7</f>
        <v>7.2961373390557929E-2</v>
      </c>
      <c r="N7" s="271">
        <f>M7/SQRT(10)</f>
        <v>2.3072412112816496E-2</v>
      </c>
      <c r="O7" s="273" t="s">
        <v>149</v>
      </c>
      <c r="P7" s="6">
        <v>0.97050720484382291</v>
      </c>
      <c r="Q7" s="326">
        <v>0.98205298777550254</v>
      </c>
      <c r="R7" s="6">
        <v>0.97472801931457986</v>
      </c>
      <c r="V7" s="273" t="s">
        <v>149</v>
      </c>
      <c r="W7" s="6">
        <v>0.97596289980272555</v>
      </c>
      <c r="X7" s="326">
        <v>0.98205298777574657</v>
      </c>
      <c r="Y7" s="6">
        <v>0.97472801927329777</v>
      </c>
      <c r="AC7" s="273" t="s">
        <v>149</v>
      </c>
      <c r="AD7" s="6">
        <v>0.87787376895188163</v>
      </c>
      <c r="AE7" s="326">
        <v>0.88087825890030413</v>
      </c>
      <c r="AF7" s="6">
        <v>0.87884347850239442</v>
      </c>
      <c r="AK7">
        <v>1.7875485186644554E-7</v>
      </c>
      <c r="AL7">
        <v>7.7305242914998719E-8</v>
      </c>
      <c r="AM7">
        <v>1.2204361369712591E-7</v>
      </c>
      <c r="AN7">
        <v>7.8179314689776015E-7</v>
      </c>
      <c r="AQ7" s="273" t="s">
        <v>149</v>
      </c>
      <c r="AR7" s="6">
        <v>0.95088214637758861</v>
      </c>
      <c r="AS7" s="6">
        <v>0.95109675232053004</v>
      </c>
      <c r="AT7" s="326">
        <v>0.95135116083364091</v>
      </c>
      <c r="AX7" t="s">
        <v>151</v>
      </c>
      <c r="AY7" s="265">
        <v>1.6602370229545047E-7</v>
      </c>
      <c r="AZ7">
        <v>7.7305242914998719E-8</v>
      </c>
      <c r="BA7">
        <v>1.2204361369712591E-7</v>
      </c>
      <c r="BB7" s="265">
        <v>1.2250587734298997E-6</v>
      </c>
      <c r="BL7" s="273" t="s">
        <v>149</v>
      </c>
      <c r="BM7" s="6">
        <v>0.97672569452851588</v>
      </c>
      <c r="BN7" s="6">
        <v>0.98691287856714904</v>
      </c>
      <c r="BO7" s="326">
        <v>0.98081588514510876</v>
      </c>
      <c r="BT7" s="273" t="s">
        <v>149</v>
      </c>
      <c r="BU7" s="6">
        <v>0.97733051062131759</v>
      </c>
      <c r="BV7" s="6">
        <v>0.98467456335992398</v>
      </c>
      <c r="BW7" s="326">
        <v>0.98109807959316542</v>
      </c>
    </row>
    <row r="8" spans="1:77" x14ac:dyDescent="0.35">
      <c r="A8" s="97" t="s">
        <v>109</v>
      </c>
      <c r="B8" s="14">
        <v>24.4</v>
      </c>
      <c r="C8" s="14">
        <v>14.6</v>
      </c>
      <c r="D8" s="217">
        <v>25.7</v>
      </c>
      <c r="E8" s="218">
        <v>14.6</v>
      </c>
      <c r="F8" s="14">
        <v>23.7</v>
      </c>
      <c r="G8" s="218">
        <v>16</v>
      </c>
      <c r="H8" s="14"/>
      <c r="I8" s="270">
        <f>1.7/B8</f>
        <v>6.9672131147540992E-2</v>
      </c>
      <c r="J8" s="271">
        <f t="shared" si="0"/>
        <v>2.0112611836523853E-2</v>
      </c>
      <c r="K8" s="270">
        <f>1.6/D8</f>
        <v>6.2256809338521409E-2</v>
      </c>
      <c r="L8" s="271">
        <f t="shared" ref="L8:L13" si="1">K8/SQRT(10)</f>
        <v>1.9687331736456839E-2</v>
      </c>
      <c r="M8" s="270">
        <f>2.8/F8</f>
        <v>0.11814345991561181</v>
      </c>
      <c r="N8" s="271">
        <f t="shared" ref="N8:N13" si="2">M8/SQRT(10)</f>
        <v>3.7360242398613762E-2</v>
      </c>
      <c r="AX8" t="s">
        <v>153</v>
      </c>
      <c r="AY8">
        <v>0.1423793773207277</v>
      </c>
      <c r="AZ8">
        <v>0.12079019128135639</v>
      </c>
      <c r="BA8">
        <v>0</v>
      </c>
      <c r="BB8">
        <v>0.05</v>
      </c>
      <c r="BL8" s="389" t="s">
        <v>234</v>
      </c>
      <c r="BM8" s="389"/>
      <c r="BN8" s="389"/>
      <c r="BO8" s="389"/>
      <c r="BP8" s="389"/>
      <c r="BQ8" s="389"/>
      <c r="BT8" s="389" t="s">
        <v>234</v>
      </c>
      <c r="BU8" s="389"/>
      <c r="BV8" s="389"/>
      <c r="BW8" s="389"/>
      <c r="BX8" s="389"/>
      <c r="BY8" s="389"/>
    </row>
    <row r="9" spans="1:77" ht="15" thickBot="1" x14ac:dyDescent="0.4">
      <c r="A9" s="97" t="s">
        <v>110</v>
      </c>
      <c r="B9" s="14">
        <v>24.9</v>
      </c>
      <c r="C9" s="14">
        <v>18.600000000000001</v>
      </c>
      <c r="D9" s="217">
        <v>24.2</v>
      </c>
      <c r="E9" s="218">
        <v>17.3</v>
      </c>
      <c r="F9" s="14">
        <v>21.5</v>
      </c>
      <c r="G9" s="218">
        <v>15.7</v>
      </c>
      <c r="H9" s="14"/>
      <c r="I9" s="270">
        <f>1.6/B9</f>
        <v>6.4257028112449807E-2</v>
      </c>
      <c r="J9" s="271">
        <f t="shared" si="0"/>
        <v>1.8549406239024124E-2</v>
      </c>
      <c r="K9" s="270">
        <f>1.8/D9</f>
        <v>7.43801652892562E-2</v>
      </c>
      <c r="L9" s="271">
        <f t="shared" si="1"/>
        <v>2.352107350538464E-2</v>
      </c>
      <c r="M9" s="270">
        <f>2/F9</f>
        <v>9.3023255813953487E-2</v>
      </c>
      <c r="N9" s="271">
        <f t="shared" si="2"/>
        <v>2.941653637365934E-2</v>
      </c>
      <c r="O9" s="385" t="s">
        <v>145</v>
      </c>
      <c r="P9" s="385"/>
      <c r="Q9" s="385"/>
      <c r="R9" s="385"/>
      <c r="S9" s="385"/>
      <c r="U9" s="262" t="s">
        <v>209</v>
      </c>
      <c r="V9" s="385" t="s">
        <v>154</v>
      </c>
      <c r="W9" s="385"/>
      <c r="X9" s="385"/>
      <c r="Y9" s="385"/>
      <c r="Z9" s="385"/>
      <c r="AC9" s="385" t="s">
        <v>152</v>
      </c>
      <c r="AD9" s="385"/>
      <c r="AE9" s="385"/>
      <c r="AF9" s="385"/>
      <c r="AG9" s="385"/>
      <c r="AJ9" s="385" t="s">
        <v>152</v>
      </c>
      <c r="AK9" s="385"/>
      <c r="AL9" s="385"/>
      <c r="AM9" s="385"/>
      <c r="AN9" s="385"/>
      <c r="AQ9" s="385" t="s">
        <v>157</v>
      </c>
      <c r="AR9" s="385"/>
      <c r="AS9" s="385"/>
      <c r="AT9" s="385"/>
      <c r="AU9" s="385"/>
      <c r="AX9" s="385" t="s">
        <v>159</v>
      </c>
      <c r="AY9" s="385"/>
      <c r="AZ9" s="385"/>
      <c r="BA9" s="385"/>
      <c r="BB9" s="385"/>
      <c r="BE9" s="28" t="s">
        <v>204</v>
      </c>
      <c r="BF9" s="28"/>
      <c r="BG9" s="28"/>
      <c r="BH9" s="28"/>
      <c r="BI9" s="28"/>
      <c r="BL9" s="370" t="s">
        <v>233</v>
      </c>
      <c r="BM9" s="370"/>
      <c r="BN9" s="370"/>
      <c r="BO9" s="370"/>
      <c r="BP9" s="370"/>
      <c r="BT9" s="370" t="s">
        <v>235</v>
      </c>
      <c r="BU9" s="370"/>
      <c r="BV9" s="370"/>
      <c r="BW9" s="370"/>
      <c r="BX9" s="370"/>
    </row>
    <row r="10" spans="1:77" ht="15" thickBot="1" x14ac:dyDescent="0.4">
      <c r="A10" s="97" t="s">
        <v>111</v>
      </c>
      <c r="B10" s="14">
        <v>25.2</v>
      </c>
      <c r="C10" s="14">
        <v>16.8</v>
      </c>
      <c r="D10" s="217">
        <v>26.9</v>
      </c>
      <c r="E10" s="218">
        <v>18.399999999999999</v>
      </c>
      <c r="F10" s="14">
        <v>23.7</v>
      </c>
      <c r="G10" s="218">
        <v>17.3</v>
      </c>
      <c r="H10" s="14"/>
      <c r="I10" s="270">
        <f>2.2/B10</f>
        <v>8.7301587301587311E-2</v>
      </c>
      <c r="J10" s="271">
        <f t="shared" si="0"/>
        <v>1.7460317460317461E-2</v>
      </c>
      <c r="K10" s="270">
        <f>2.6/D10</f>
        <v>9.6654275092936809E-2</v>
      </c>
      <c r="L10" s="271">
        <f t="shared" si="1"/>
        <v>3.0564765488616304E-2</v>
      </c>
      <c r="M10" s="270">
        <f>2.2/F10</f>
        <v>9.2827004219409287E-2</v>
      </c>
      <c r="N10" s="271">
        <f t="shared" si="2"/>
        <v>2.9354476170339386E-2</v>
      </c>
      <c r="O10" s="61" t="s">
        <v>146</v>
      </c>
      <c r="P10">
        <f>P12</f>
        <v>1.4</v>
      </c>
      <c r="Q10">
        <f t="shared" ref="Q10:S10" si="3">Q12</f>
        <v>0.96499999999999997</v>
      </c>
      <c r="R10">
        <f t="shared" si="3"/>
        <v>0.82199999999999995</v>
      </c>
      <c r="S10">
        <f t="shared" si="3"/>
        <v>1.56</v>
      </c>
      <c r="T10" s="298">
        <v>1.1542980197202242</v>
      </c>
      <c r="U10" s="28">
        <v>48.084364294819942</v>
      </c>
      <c r="V10" s="61" t="s">
        <v>146</v>
      </c>
      <c r="W10">
        <v>1.65</v>
      </c>
      <c r="X10">
        <v>2.13</v>
      </c>
      <c r="Y10">
        <v>1.27</v>
      </c>
      <c r="Z10">
        <v>1.67</v>
      </c>
      <c r="AC10" t="s">
        <v>146</v>
      </c>
      <c r="AD10">
        <v>0.36109082851396784</v>
      </c>
      <c r="AE10">
        <v>0.32115222064657856</v>
      </c>
      <c r="AF10">
        <v>0.43350606323091806</v>
      </c>
      <c r="AG10">
        <v>0.28499216569706531</v>
      </c>
      <c r="AJ10" t="s">
        <v>146</v>
      </c>
      <c r="AK10">
        <v>0.36109082851396784</v>
      </c>
      <c r="AL10">
        <v>0.32115222064657856</v>
      </c>
      <c r="AM10">
        <v>0.43350606323091806</v>
      </c>
      <c r="AN10">
        <v>0.28499216569706531</v>
      </c>
      <c r="AQ10" t="s">
        <v>146</v>
      </c>
      <c r="AR10">
        <v>0.70399999999999996</v>
      </c>
      <c r="AS10">
        <v>0.63900000000000001</v>
      </c>
      <c r="AT10">
        <v>0.56999999999999995</v>
      </c>
      <c r="AU10">
        <v>0.56299999999999994</v>
      </c>
      <c r="AV10" s="298">
        <v>0.65050498715186245</v>
      </c>
      <c r="AX10" t="s">
        <v>146</v>
      </c>
      <c r="AY10">
        <v>0.71699468917482412</v>
      </c>
      <c r="AZ10">
        <v>0.64584072618013721</v>
      </c>
      <c r="BA10">
        <v>0.63569971997280905</v>
      </c>
      <c r="BB10">
        <v>0.56785356894680394</v>
      </c>
      <c r="BE10" t="s">
        <v>146</v>
      </c>
      <c r="BF10">
        <v>0.6277788513838809</v>
      </c>
      <c r="BG10">
        <v>0.64626589136270252</v>
      </c>
      <c r="BH10">
        <v>0.72644323812108302</v>
      </c>
      <c r="BI10">
        <v>0.5870534985803999</v>
      </c>
      <c r="BL10" s="61" t="s">
        <v>146</v>
      </c>
      <c r="BM10">
        <v>0.52300000000000002</v>
      </c>
      <c r="BN10">
        <v>0.32500000000000001</v>
      </c>
      <c r="BO10">
        <v>0.248</v>
      </c>
      <c r="BP10">
        <v>0.51600000000000001</v>
      </c>
      <c r="BQ10" s="298">
        <f>AVERAGE(BM10:BP10)</f>
        <v>0.40300000000000002</v>
      </c>
      <c r="BT10" s="61" t="s">
        <v>146</v>
      </c>
      <c r="BU10">
        <v>1.8</v>
      </c>
      <c r="BV10">
        <v>1.34</v>
      </c>
      <c r="BW10">
        <v>0.9</v>
      </c>
      <c r="BX10">
        <v>1.36</v>
      </c>
      <c r="BY10" s="298">
        <f>AVERAGE(BU10:BX10)</f>
        <v>1.35</v>
      </c>
    </row>
    <row r="11" spans="1:77" x14ac:dyDescent="0.35">
      <c r="A11" s="97" t="s">
        <v>112</v>
      </c>
      <c r="B11" s="14">
        <v>26.4</v>
      </c>
      <c r="C11" s="14">
        <v>19.2</v>
      </c>
      <c r="D11" s="217">
        <v>26.3</v>
      </c>
      <c r="E11" s="218">
        <v>16.7</v>
      </c>
      <c r="F11" s="14">
        <v>23.8</v>
      </c>
      <c r="G11" s="218">
        <v>17</v>
      </c>
      <c r="H11" s="14"/>
      <c r="I11" s="270">
        <f>1.7/B11</f>
        <v>6.4393939393939392E-2</v>
      </c>
      <c r="J11" s="271">
        <f t="shared" si="0"/>
        <v>1.2878787878787878E-2</v>
      </c>
      <c r="K11" s="270">
        <f>1.9/D11</f>
        <v>7.2243346007604556E-2</v>
      </c>
      <c r="L11" s="271">
        <f t="shared" si="1"/>
        <v>2.2845351917566235E-2</v>
      </c>
      <c r="M11" s="270">
        <f>2.2/F11</f>
        <v>9.2436974789915971E-2</v>
      </c>
      <c r="N11" s="271">
        <f t="shared" si="2"/>
        <v>2.9231138035169892E-2</v>
      </c>
      <c r="O11" s="61" t="s">
        <v>147</v>
      </c>
      <c r="P11">
        <f>P13</f>
        <v>0.13</v>
      </c>
      <c r="Q11">
        <f t="shared" ref="Q11:S11" si="4">Q13</f>
        <v>9.2600000000000002E-2</v>
      </c>
      <c r="R11">
        <f t="shared" si="4"/>
        <v>9.9000000000000005E-2</v>
      </c>
      <c r="S11">
        <f t="shared" si="4"/>
        <v>0.16700000000000001</v>
      </c>
      <c r="T11" s="299">
        <v>0.12200005618575915</v>
      </c>
      <c r="U11" s="28">
        <v>0.1303376303240901</v>
      </c>
      <c r="V11" s="61" t="s">
        <v>147</v>
      </c>
      <c r="W11">
        <v>0.152</v>
      </c>
      <c r="X11">
        <v>0.19400000000000001</v>
      </c>
      <c r="Y11">
        <v>0.155</v>
      </c>
      <c r="Z11">
        <v>0.17599999999999999</v>
      </c>
      <c r="AC11" t="s">
        <v>147</v>
      </c>
      <c r="AD11">
        <v>2.8701129647902969E-4</v>
      </c>
      <c r="AE11">
        <v>3.0261807010704381E-4</v>
      </c>
      <c r="AF11">
        <v>7.0580668797487055E-4</v>
      </c>
      <c r="AG11">
        <v>3.5136270369438897E-4</v>
      </c>
      <c r="AJ11" t="s">
        <v>147</v>
      </c>
      <c r="AK11">
        <v>2.8701129647902969E-4</v>
      </c>
      <c r="AL11">
        <v>3.0261807010704381E-4</v>
      </c>
      <c r="AM11">
        <v>7.0580668797487055E-4</v>
      </c>
      <c r="AN11">
        <v>3.5136270369438897E-4</v>
      </c>
      <c r="AQ11" t="s">
        <v>147</v>
      </c>
      <c r="AR11">
        <v>3.19E-4</v>
      </c>
      <c r="AS11">
        <v>2.9599999999999998E-4</v>
      </c>
      <c r="AT11">
        <v>4.57E-4</v>
      </c>
      <c r="AU11">
        <v>3.5300000000000002E-4</v>
      </c>
      <c r="AV11" s="299">
        <v>3.999999999999579E-4</v>
      </c>
      <c r="AX11" t="s">
        <v>147</v>
      </c>
      <c r="AY11">
        <v>3.3594589594208564E-4</v>
      </c>
      <c r="AZ11">
        <v>2.4426152584575367E-4</v>
      </c>
      <c r="BA11">
        <v>5.6884647041492232E-4</v>
      </c>
      <c r="BB11">
        <v>3.4819507903887401E-4</v>
      </c>
      <c r="BE11" t="s">
        <v>147</v>
      </c>
      <c r="BF11" s="265">
        <v>2.6565507889104759E-5</v>
      </c>
      <c r="BG11">
        <v>3.0635091006165922E-4</v>
      </c>
      <c r="BH11">
        <v>7.5545329583531567E-4</v>
      </c>
      <c r="BI11">
        <v>3.6741339836329393E-4</v>
      </c>
      <c r="BL11" s="61" t="s">
        <v>147</v>
      </c>
      <c r="BM11">
        <v>0.10100000000000001</v>
      </c>
      <c r="BN11">
        <v>5.1799999999999999E-2</v>
      </c>
      <c r="BO11">
        <v>5.2499999999999998E-2</v>
      </c>
      <c r="BP11">
        <v>0.14000000000000001</v>
      </c>
      <c r="BQ11" s="298">
        <f>AVERAGE(BM11:BP11)</f>
        <v>8.6324999999999999E-2</v>
      </c>
      <c r="BT11" s="61" t="s">
        <v>147</v>
      </c>
      <c r="BU11">
        <v>1.21</v>
      </c>
      <c r="BV11">
        <v>0.873</v>
      </c>
      <c r="BW11">
        <v>0.82</v>
      </c>
      <c r="BX11">
        <v>1.34</v>
      </c>
      <c r="BY11" s="298">
        <f>AVERAGE(BU11:BX11)</f>
        <v>1.0607500000000001</v>
      </c>
    </row>
    <row r="12" spans="1:77" x14ac:dyDescent="0.35">
      <c r="A12" s="97" t="s">
        <v>113</v>
      </c>
      <c r="B12" s="14">
        <v>26.2</v>
      </c>
      <c r="C12" s="14">
        <v>19.7</v>
      </c>
      <c r="D12" s="217">
        <v>24.6</v>
      </c>
      <c r="E12" s="218">
        <v>17</v>
      </c>
      <c r="F12" s="14">
        <v>22.9</v>
      </c>
      <c r="G12" s="218">
        <v>18.2</v>
      </c>
      <c r="H12" s="14"/>
      <c r="I12" s="270">
        <f>2.5/B12</f>
        <v>9.5419847328244281E-2</v>
      </c>
      <c r="J12" s="271">
        <f t="shared" si="0"/>
        <v>1.9083969465648856E-2</v>
      </c>
      <c r="K12" s="270">
        <f>1.4/D12</f>
        <v>5.6910569105691047E-2</v>
      </c>
      <c r="L12" s="271">
        <f t="shared" si="1"/>
        <v>1.7996702131039554E-2</v>
      </c>
      <c r="M12" s="270">
        <f>3/F12</f>
        <v>0.13100436681222707</v>
      </c>
      <c r="N12" s="271">
        <f t="shared" si="2"/>
        <v>4.1427218255480951E-2</v>
      </c>
      <c r="P12">
        <v>1.4</v>
      </c>
      <c r="Q12">
        <v>0.96499999999999997</v>
      </c>
      <c r="R12">
        <v>0.82199999999999995</v>
      </c>
      <c r="S12">
        <v>1.56</v>
      </c>
      <c r="T12" s="299"/>
      <c r="U12" s="28"/>
      <c r="V12" s="61" t="s">
        <v>153</v>
      </c>
      <c r="W12">
        <v>3.0300000000000001E-2</v>
      </c>
      <c r="X12">
        <v>0.13100000000000001</v>
      </c>
      <c r="Y12">
        <v>6.3100000000000003E-2</v>
      </c>
      <c r="Z12">
        <v>1.0999999999999999E-2</v>
      </c>
      <c r="AC12" t="s">
        <v>150</v>
      </c>
      <c r="AD12">
        <v>0.32086642037840468</v>
      </c>
      <c r="AE12">
        <v>0.32270909344756088</v>
      </c>
      <c r="AF12">
        <v>0.26854877615386774</v>
      </c>
      <c r="AG12">
        <v>0.28970519754868113</v>
      </c>
      <c r="AJ12" t="s">
        <v>150</v>
      </c>
      <c r="AK12">
        <v>0.32086642037840468</v>
      </c>
      <c r="AL12">
        <v>0.32270909344756088</v>
      </c>
      <c r="AM12">
        <v>0.26854877615386774</v>
      </c>
      <c r="AN12">
        <v>0.28970519754868113</v>
      </c>
      <c r="AQ12" t="s">
        <v>150</v>
      </c>
      <c r="AR12">
        <v>1.45E-4</v>
      </c>
      <c r="AS12">
        <v>1.4999999999999999E-4</v>
      </c>
      <c r="AT12">
        <v>2.13E-4</v>
      </c>
      <c r="AU12">
        <v>1.8799999999999999E-4</v>
      </c>
      <c r="AV12" s="299">
        <v>1.8169227984149027E-4</v>
      </c>
      <c r="AX12" t="s">
        <v>150</v>
      </c>
      <c r="AY12">
        <v>1.4873441164132704E-4</v>
      </c>
      <c r="AZ12">
        <v>1.0928389537351997E-4</v>
      </c>
      <c r="BA12">
        <v>2.3641249033088261E-4</v>
      </c>
      <c r="BB12">
        <v>1.7913450639418565E-4</v>
      </c>
      <c r="BE12" t="s">
        <v>150</v>
      </c>
      <c r="BF12">
        <v>1.0681525205506278E-5</v>
      </c>
      <c r="BG12">
        <v>1.5303100273953888E-4</v>
      </c>
      <c r="BH12">
        <v>2.8067858517873557E-4</v>
      </c>
      <c r="BI12">
        <v>1.8483502709294662E-4</v>
      </c>
      <c r="BQ12" s="299"/>
      <c r="BY12" s="299"/>
    </row>
    <row r="13" spans="1:77" x14ac:dyDescent="0.35">
      <c r="A13" s="11" t="s">
        <v>114</v>
      </c>
      <c r="B13" s="63">
        <v>25.7</v>
      </c>
      <c r="C13" s="63">
        <v>20.399999999999999</v>
      </c>
      <c r="D13" s="219">
        <v>26.7</v>
      </c>
      <c r="E13" s="220">
        <v>19.8</v>
      </c>
      <c r="F13" s="63">
        <v>24.9</v>
      </c>
      <c r="G13" s="220">
        <v>19.899999999999999</v>
      </c>
      <c r="H13" s="14"/>
      <c r="I13" s="270">
        <f>2.4/B13</f>
        <v>9.3385214007782102E-2</v>
      </c>
      <c r="J13" s="271">
        <f t="shared" si="0"/>
        <v>1.3768898629251094E-2</v>
      </c>
      <c r="K13" s="270">
        <f>2.3/D13</f>
        <v>8.6142322097378279E-2</v>
      </c>
      <c r="L13" s="271">
        <f t="shared" si="1"/>
        <v>2.7240594076356824E-2</v>
      </c>
      <c r="M13" s="270">
        <f>3.6/F13</f>
        <v>0.14457831325301207</v>
      </c>
      <c r="N13" s="271">
        <f t="shared" si="2"/>
        <v>4.5719677014482596E-2</v>
      </c>
      <c r="P13">
        <v>0.13</v>
      </c>
      <c r="Q13">
        <v>9.2600000000000002E-2</v>
      </c>
      <c r="R13">
        <v>9.9000000000000005E-2</v>
      </c>
      <c r="S13">
        <v>0.16700000000000001</v>
      </c>
      <c r="T13" s="299"/>
      <c r="U13" s="28"/>
      <c r="AC13" t="s">
        <v>151</v>
      </c>
      <c r="AD13">
        <v>1.7875485186644554E-7</v>
      </c>
      <c r="AE13" s="265">
        <v>7.7305242914998719E-8</v>
      </c>
      <c r="AF13">
        <v>1.2204361369712591E-7</v>
      </c>
      <c r="AG13">
        <v>8.3060021775104969E-7</v>
      </c>
      <c r="AJ13" t="s">
        <v>151</v>
      </c>
      <c r="AK13">
        <v>1.7875485186644554E-7</v>
      </c>
      <c r="AL13">
        <v>7.7305242914998719E-8</v>
      </c>
      <c r="AM13">
        <v>1.2204361369712591E-7</v>
      </c>
      <c r="AN13">
        <v>8.3060021775104969E-7</v>
      </c>
      <c r="AQ13" t="s">
        <v>151</v>
      </c>
      <c r="AR13" s="265">
        <v>1.79E-7</v>
      </c>
      <c r="AS13" s="265">
        <v>7.9899999999999994E-8</v>
      </c>
      <c r="AT13" s="265">
        <v>1.2200000000000001E-7</v>
      </c>
      <c r="AU13" s="265">
        <v>9.9999999999999995E-7</v>
      </c>
      <c r="AV13" s="299">
        <v>1.8310254938985541E-7</v>
      </c>
      <c r="AX13" t="s">
        <v>151</v>
      </c>
      <c r="AY13" s="265">
        <v>1.508664045982121E-7</v>
      </c>
      <c r="AZ13" s="265">
        <v>1.023666267072768E-7</v>
      </c>
      <c r="BA13" s="265">
        <v>1.3464470713732127E-7</v>
      </c>
      <c r="BB13" s="265">
        <v>1.1880546357584864E-6</v>
      </c>
      <c r="BE13" t="s">
        <v>151</v>
      </c>
      <c r="BF13">
        <v>2.3841857910156251E-8</v>
      </c>
      <c r="BG13">
        <v>7.7305242914998719E-8</v>
      </c>
      <c r="BH13">
        <v>1.2204361369712591E-7</v>
      </c>
      <c r="BI13" s="265">
        <v>7.8179314689776015E-7</v>
      </c>
      <c r="BQ13" s="299"/>
      <c r="BY13" s="299"/>
    </row>
    <row r="14" spans="1:77" x14ac:dyDescent="0.35">
      <c r="P14" s="79" t="s">
        <v>264</v>
      </c>
      <c r="Q14" s="79"/>
      <c r="R14" s="79"/>
      <c r="S14" s="79"/>
      <c r="T14" s="299"/>
      <c r="U14" s="28"/>
      <c r="W14" s="79" t="s">
        <v>264</v>
      </c>
      <c r="X14" s="79"/>
      <c r="Y14" s="79"/>
      <c r="Z14" s="79"/>
      <c r="AR14" s="79" t="s">
        <v>264</v>
      </c>
      <c r="AS14" s="79"/>
      <c r="AT14" s="79"/>
      <c r="AU14" s="79"/>
      <c r="AV14" s="299"/>
      <c r="AX14" t="s">
        <v>153</v>
      </c>
      <c r="AY14">
        <v>0</v>
      </c>
      <c r="AZ14">
        <v>0.11048451461640767</v>
      </c>
      <c r="BA14">
        <v>1.9999999999999993E-2</v>
      </c>
      <c r="BB14">
        <v>5.0910831791016853E-2</v>
      </c>
      <c r="BM14" s="79" t="s">
        <v>264</v>
      </c>
      <c r="BN14" s="79"/>
      <c r="BO14" s="79"/>
      <c r="BP14" s="79"/>
      <c r="BQ14" s="299"/>
      <c r="BU14" s="79" t="s">
        <v>264</v>
      </c>
      <c r="BV14" s="79"/>
      <c r="BW14" s="79"/>
      <c r="BX14" s="79"/>
      <c r="BY14" s="299"/>
    </row>
    <row r="15" spans="1:77" x14ac:dyDescent="0.35">
      <c r="A15" s="387" t="s">
        <v>132</v>
      </c>
      <c r="B15" s="388"/>
      <c r="C15" s="388"/>
      <c r="D15" s="388"/>
      <c r="E15" s="388"/>
      <c r="F15" s="388"/>
      <c r="G15" s="370" t="s">
        <v>62</v>
      </c>
      <c r="H15" s="370"/>
      <c r="I15" s="262" t="s">
        <v>144</v>
      </c>
      <c r="P15" s="61" t="s">
        <v>62</v>
      </c>
      <c r="Q15" s="61" t="s">
        <v>24</v>
      </c>
      <c r="R15" s="61" t="s">
        <v>25</v>
      </c>
      <c r="S15" s="61" t="s">
        <v>254</v>
      </c>
      <c r="T15" s="302" t="s">
        <v>167</v>
      </c>
      <c r="U15" s="28"/>
      <c r="W15" s="61" t="s">
        <v>62</v>
      </c>
      <c r="X15" s="61" t="s">
        <v>24</v>
      </c>
      <c r="Y15" s="61" t="s">
        <v>25</v>
      </c>
      <c r="Z15" s="61" t="s">
        <v>254</v>
      </c>
      <c r="AR15" s="26" t="s">
        <v>62</v>
      </c>
      <c r="AS15" s="26" t="s">
        <v>24</v>
      </c>
      <c r="AT15" s="26" t="s">
        <v>25</v>
      </c>
      <c r="AU15" s="26" t="s">
        <v>254</v>
      </c>
      <c r="AV15" s="300" t="s">
        <v>167</v>
      </c>
      <c r="BM15" s="61" t="s">
        <v>62</v>
      </c>
      <c r="BN15" s="61" t="s">
        <v>24</v>
      </c>
      <c r="BO15" s="61" t="s">
        <v>25</v>
      </c>
      <c r="BP15" s="61" t="s">
        <v>254</v>
      </c>
      <c r="BQ15" s="302" t="s">
        <v>167</v>
      </c>
      <c r="BU15" s="61" t="s">
        <v>62</v>
      </c>
      <c r="BV15" s="61" t="s">
        <v>24</v>
      </c>
      <c r="BW15" s="61" t="s">
        <v>25</v>
      </c>
      <c r="BX15" s="61" t="s">
        <v>254</v>
      </c>
      <c r="BY15" s="302" t="s">
        <v>167</v>
      </c>
    </row>
    <row r="16" spans="1:77" x14ac:dyDescent="0.35">
      <c r="A16" s="186" t="s">
        <v>23</v>
      </c>
      <c r="B16" s="61" t="s">
        <v>142</v>
      </c>
      <c r="C16" s="41" t="s">
        <v>62</v>
      </c>
      <c r="D16" s="149" t="s">
        <v>24</v>
      </c>
      <c r="E16" s="41" t="s">
        <v>25</v>
      </c>
      <c r="F16" s="150" t="s">
        <v>254</v>
      </c>
      <c r="G16" s="320">
        <v>1880</v>
      </c>
      <c r="H16" s="321">
        <v>1885</v>
      </c>
      <c r="I16" s="61" t="str">
        <f>B16</f>
        <v>Interval s</v>
      </c>
      <c r="J16" s="61" t="str">
        <f>C16</f>
        <v>Ebbinghaus</v>
      </c>
      <c r="K16" s="61" t="str">
        <f>D16</f>
        <v>Mack</v>
      </c>
      <c r="L16" s="61" t="str">
        <f>E16</f>
        <v>Seitz</v>
      </c>
      <c r="M16" s="61" t="s">
        <v>254</v>
      </c>
      <c r="N16" s="61" t="s">
        <v>167</v>
      </c>
      <c r="O16" s="61" t="str">
        <f>I16</f>
        <v>Interval s</v>
      </c>
      <c r="P16" s="61" t="s">
        <v>211</v>
      </c>
      <c r="Q16" s="61" t="s">
        <v>211</v>
      </c>
      <c r="R16" s="61" t="s">
        <v>211</v>
      </c>
      <c r="S16" s="61" t="s">
        <v>211</v>
      </c>
      <c r="T16" s="299"/>
      <c r="U16" s="262" t="s">
        <v>210</v>
      </c>
      <c r="V16" s="61" t="s">
        <v>265</v>
      </c>
      <c r="W16" s="61" t="s">
        <v>212</v>
      </c>
      <c r="X16" s="61" t="s">
        <v>212</v>
      </c>
      <c r="Y16" s="61" t="s">
        <v>212</v>
      </c>
      <c r="Z16" s="61" t="s">
        <v>212</v>
      </c>
      <c r="AC16" s="61" t="str">
        <f>V16</f>
        <v>Min</v>
      </c>
      <c r="AD16" s="61" t="str">
        <f>P15</f>
        <v>Ebbinghaus</v>
      </c>
      <c r="AE16" s="61" t="str">
        <f>Q15</f>
        <v>Mack</v>
      </c>
      <c r="AF16" s="61" t="str">
        <f>R15</f>
        <v>Seitz</v>
      </c>
      <c r="AG16" s="61" t="str">
        <f>S15</f>
        <v>Dros</v>
      </c>
      <c r="AJ16" s="61" t="str">
        <f>AC16</f>
        <v>Min</v>
      </c>
      <c r="AK16" s="61" t="str">
        <f>AD16</f>
        <v>Ebbinghaus</v>
      </c>
      <c r="AL16" s="61" t="str">
        <f>AE16</f>
        <v>Mack</v>
      </c>
      <c r="AM16" s="61" t="str">
        <f>AF16</f>
        <v>Seitz</v>
      </c>
      <c r="AN16" s="61" t="str">
        <f>AG16</f>
        <v>Dros</v>
      </c>
      <c r="AQ16" s="26" t="s">
        <v>142</v>
      </c>
      <c r="AR16" s="26" t="s">
        <v>213</v>
      </c>
      <c r="AS16" s="26" t="s">
        <v>213</v>
      </c>
      <c r="AT16" s="26" t="s">
        <v>213</v>
      </c>
      <c r="AU16" s="26" t="s">
        <v>213</v>
      </c>
      <c r="AV16" s="300" t="s">
        <v>213</v>
      </c>
      <c r="AX16" s="26" t="s">
        <v>142</v>
      </c>
      <c r="AY16" s="26" t="s">
        <v>62</v>
      </c>
      <c r="AZ16" s="26" t="s">
        <v>24</v>
      </c>
      <c r="BA16" s="26" t="s">
        <v>25</v>
      </c>
      <c r="BB16" s="26" t="s">
        <v>254</v>
      </c>
      <c r="BE16" s="26" t="s">
        <v>142</v>
      </c>
      <c r="BF16" s="26" t="s">
        <v>62</v>
      </c>
      <c r="BG16" s="26" t="s">
        <v>24</v>
      </c>
      <c r="BH16" s="26" t="s">
        <v>25</v>
      </c>
      <c r="BI16" s="26" t="s">
        <v>254</v>
      </c>
      <c r="BK16" s="26" t="s">
        <v>266</v>
      </c>
      <c r="BL16" s="61" t="str">
        <f>BE16</f>
        <v>Interval s</v>
      </c>
      <c r="BM16" s="61">
        <v>1880</v>
      </c>
      <c r="BN16" s="61">
        <v>1880</v>
      </c>
      <c r="BO16" s="61">
        <v>1880</v>
      </c>
      <c r="BP16" s="61">
        <v>1880</v>
      </c>
      <c r="BQ16" s="299"/>
      <c r="BT16" s="61" t="str">
        <f>BL16</f>
        <v>Interval s</v>
      </c>
      <c r="BU16" s="61">
        <v>1885</v>
      </c>
      <c r="BV16" s="61">
        <v>1885</v>
      </c>
      <c r="BW16" s="61">
        <v>1885</v>
      </c>
      <c r="BX16" s="61">
        <v>1885</v>
      </c>
      <c r="BY16" s="299"/>
    </row>
    <row r="17" spans="1:77" x14ac:dyDescent="0.35">
      <c r="A17" s="10" t="s">
        <v>1</v>
      </c>
      <c r="B17" s="91">
        <f>20*60</f>
        <v>1200</v>
      </c>
      <c r="C17" s="208">
        <v>58.2</v>
      </c>
      <c r="D17" s="88">
        <f>(('Data fits from Mathematica'!D7-'Data fits from Mathematica'!E7)/'Data fits from Mathematica'!D7)*100</f>
        <v>54.430379746835435</v>
      </c>
      <c r="E17" s="209">
        <f>(('Data fits from Mathematica'!F7-'Data fits from Mathematica'!G7)/'Data fits from Mathematica'!F7)*100</f>
        <v>44.206008583690988</v>
      </c>
      <c r="F17" s="210">
        <v>47.167729999999999</v>
      </c>
      <c r="G17">
        <f>15*60</f>
        <v>900</v>
      </c>
      <c r="H17">
        <f>19*60</f>
        <v>1140</v>
      </c>
      <c r="I17" s="61">
        <f t="shared" ref="I17:I23" si="5">B17</f>
        <v>1200</v>
      </c>
      <c r="J17">
        <f>C17/100</f>
        <v>0.58200000000000007</v>
      </c>
      <c r="K17">
        <f t="shared" ref="K17:M23" si="6">D17/100</f>
        <v>0.54430379746835433</v>
      </c>
      <c r="L17">
        <f t="shared" si="6"/>
        <v>0.44206008583690987</v>
      </c>
      <c r="M17">
        <f t="shared" si="6"/>
        <v>0.47167729999999997</v>
      </c>
      <c r="N17">
        <f>AVERAGE(J17:M17)</f>
        <v>0.51001029582631607</v>
      </c>
      <c r="O17" s="61">
        <f>I17</f>
        <v>1200</v>
      </c>
      <c r="P17">
        <f t="shared" ref="P17:P23" si="7">P$10*(1+$H17)^-P$11</f>
        <v>0.56063589714682582</v>
      </c>
      <c r="Q17">
        <f>Q$10*(1+$I17)^-Q$11</f>
        <v>0.50045108004700845</v>
      </c>
      <c r="R17">
        <f>R$10*(1+$I17)^-R$11</f>
        <v>0.40737751983096249</v>
      </c>
      <c r="S17">
        <f>S$10*(1+$I17)^-S$11</f>
        <v>0.47735438472437869</v>
      </c>
      <c r="T17" s="299">
        <f>T$10*(1+$I17)^-T$11</f>
        <v>0.48597455489649177</v>
      </c>
      <c r="U17" s="28">
        <f>(U$10*($I17/3600)^-U$11)/100</f>
        <v>0.55486934575274649</v>
      </c>
      <c r="V17" s="61">
        <f t="shared" ref="V17:V23" si="8">O17</f>
        <v>1200</v>
      </c>
      <c r="W17">
        <f>W$10*(1+$H17)^-W$11</f>
        <v>0.56594799576925048</v>
      </c>
      <c r="X17">
        <f>X$10*(1+$I17)^-X$11</f>
        <v>0.53820565916354401</v>
      </c>
      <c r="Y17">
        <f>Y$10*(1+$I17)^-Y$11</f>
        <v>0.42313071788064932</v>
      </c>
      <c r="Z17">
        <f>Z$10*(1+$I17)^-Z$11</f>
        <v>0.47942083264753155</v>
      </c>
      <c r="AC17" s="61">
        <f>V17</f>
        <v>1200</v>
      </c>
      <c r="AD17">
        <f>AD$10*EXP(-$H17*AD$11)+AD$12*EXP(-$H17*AD$13)</f>
        <v>0.58112755081241818</v>
      </c>
      <c r="AE17">
        <f>AE$10*EXP(-$I17*AE$11)+AE$12*EXP(-$I17*AE$13)</f>
        <v>0.54603663762832511</v>
      </c>
      <c r="AF17">
        <f>AF$10*EXP(-$I17*AF$11)+AF$12*EXP(-$I17*AF$13)</f>
        <v>0.45435905181260261</v>
      </c>
      <c r="AG17">
        <f>AG$10*EXP(-$I17*AG$11)+AG$12*EXP(-$I17*AG$13)</f>
        <v>0.47636382798493127</v>
      </c>
      <c r="AJ17" s="61">
        <f t="shared" ref="AJ17:AJ22" si="9">AC17</f>
        <v>1200</v>
      </c>
      <c r="AK17" s="265">
        <f>AK$10*EXP(-$H17*AK$11)+AK$12*EXP(-$H17*AK$13)</f>
        <v>0.58112755081241818</v>
      </c>
      <c r="AL17" s="265">
        <f>AL$10*EXP(-$I17*AL$11)+AL$12*EXP(-$I17*AL$13)</f>
        <v>0.54603663762832511</v>
      </c>
      <c r="AM17">
        <f>AM$10*EXP(-$I17*AM$11)+AM$12*EXP(-$I17*AM$13)</f>
        <v>0.45435905181260261</v>
      </c>
      <c r="AN17">
        <f>AN$10*EXP(-$I17*AN$11)+AN$12*EXP(-$I17*AN$13)</f>
        <v>0.47636382798493127</v>
      </c>
      <c r="AQ17" s="91">
        <f>20*60</f>
        <v>1200</v>
      </c>
      <c r="AR17" s="265">
        <f>AR$10*EXP(-$H17*AR$11) + (AR$10* AR$12/(AR$11-AR$13))*(EXP(-$H17*AR$13)-EXP(-$H17*AR$11) )</f>
        <v>0.58691840399038564</v>
      </c>
      <c r="AS17">
        <f>AS$10*EXP(-$I17*AS$11) + (AS$10* AS$12/(AS$11-AS$13))*(EXP(-$I17*AS$13)-EXP(-$I17*AS$11) )</f>
        <v>0.54476600874399028</v>
      </c>
      <c r="AT17">
        <f>AT$10*EXP(-$I17*AT$11) + (AT$10* AT$12/(AT$11-AT$13))*(EXP(-$I17*AT$13)-EXP(-$I17*AT$11) )</f>
        <v>0.44152423934178775</v>
      </c>
      <c r="AU17">
        <f>AU$10*EXP(-$I17*AU$11) + (AU$10* AU$12/(AU$11-AU$13))*(EXP(-$I17*AU$13)-EXP(-$I17*AU$11) )</f>
        <v>0.47206109029132504</v>
      </c>
      <c r="AV17" s="299">
        <f>AV$10*EXP(-$I17*AV$11) + (AV$10* AV$12/(AV$11-AV$13))*(EXP(-$I17*AV$13)-EXP(-$I17*AV$11) )</f>
        <v>0.51514995218984339</v>
      </c>
      <c r="AX17" s="91">
        <f>20*60</f>
        <v>1200</v>
      </c>
      <c r="AY17">
        <f t="shared" ref="AY17:BB19" si="10">AY$10*EXP(-$AQ17*AY$11) + (AY$10* AY$12/(AY$11-AY$13))*(EXP(-$I17*AY$13)-EXP(-$I17*AY$11) )</f>
        <v>0.58442012417046563</v>
      </c>
      <c r="AZ17">
        <f t="shared" si="10"/>
        <v>0.55516399664336014</v>
      </c>
      <c r="BA17">
        <f t="shared" si="10"/>
        <v>0.451903017841355</v>
      </c>
      <c r="BB17">
        <f t="shared" si="10"/>
        <v>0.47361394296739301</v>
      </c>
      <c r="BE17" s="91">
        <f>20*60</f>
        <v>1200</v>
      </c>
      <c r="BF17">
        <f>BF$10*EXP(-$AQ17*BF$11)</f>
        <v>0.60808176054440999</v>
      </c>
      <c r="BG17">
        <f t="shared" ref="BG17:BI19" si="11">BG$10*EXP(-$AQ17*BG$11)</f>
        <v>0.44746124184540514</v>
      </c>
      <c r="BH17">
        <f t="shared" si="11"/>
        <v>0.29342333463362308</v>
      </c>
      <c r="BI17">
        <f t="shared" si="11"/>
        <v>0.37774519333745682</v>
      </c>
      <c r="BK17">
        <f>BL17/(24*3600)</f>
        <v>1.3888888888888888E-2</v>
      </c>
      <c r="BL17" s="61">
        <f t="shared" ref="BL17:BL23" si="12">BE17</f>
        <v>1200</v>
      </c>
      <c r="BM17">
        <f>1 - (1-(2/($H17/60))^BM$11)^BM$10</f>
        <v>0.56524172870733702</v>
      </c>
      <c r="BN17">
        <f t="shared" ref="BN17:BQ17" si="13">1 - (1-(2/($BL17/60))^BN$11)^BN$10</f>
        <v>0.50847747333673554</v>
      </c>
      <c r="BO17">
        <f t="shared" si="13"/>
        <v>0.41657562376226287</v>
      </c>
      <c r="BP17">
        <f t="shared" si="13"/>
        <v>0.48577305175969476</v>
      </c>
      <c r="BQ17">
        <f t="shared" si="13"/>
        <v>0.49866328504440083</v>
      </c>
      <c r="BT17" s="61">
        <f t="shared" ref="BT17:BT23" si="14">BL17</f>
        <v>1200</v>
      </c>
      <c r="BU17">
        <f>BU$10/(LOG($H17/60)^BU$11+BU$10)</f>
        <v>0.57206095452458094</v>
      </c>
      <c r="BV17">
        <f t="shared" ref="BV17:BY17" si="15">BV$10/(LOG($BT17/60)^BV$11+BV$10)</f>
        <v>0.51572835985956622</v>
      </c>
      <c r="BW17">
        <f>BW$10/(LOG($BT17/60)^BW$11+BW$10)</f>
        <v>0.42039583983300438</v>
      </c>
      <c r="BX17">
        <f t="shared" si="15"/>
        <v>0.48871574588999089</v>
      </c>
      <c r="BY17">
        <f t="shared" si="15"/>
        <v>0.50524020683628534</v>
      </c>
    </row>
    <row r="18" spans="1:77" x14ac:dyDescent="0.35">
      <c r="A18" s="97" t="s">
        <v>109</v>
      </c>
      <c r="B18" s="61">
        <f>3600</f>
        <v>3600</v>
      </c>
      <c r="C18" s="211">
        <v>44.2</v>
      </c>
      <c r="D18" s="89">
        <f>(('Data fits from Mathematica'!D8-'Data fits from Mathematica'!E8)/'Data fits from Mathematica'!D8)*100</f>
        <v>43.190661478599225</v>
      </c>
      <c r="E18" s="87">
        <f>(('Data fits from Mathematica'!F8-'Data fits from Mathematica'!G8)/'Data fits from Mathematica'!F8)*100</f>
        <v>32.489451476793249</v>
      </c>
      <c r="F18" s="212">
        <v>37.290900000000001</v>
      </c>
      <c r="G18">
        <f>63*60</f>
        <v>3780</v>
      </c>
      <c r="H18">
        <f>G18</f>
        <v>3780</v>
      </c>
      <c r="I18" s="61">
        <f t="shared" si="5"/>
        <v>3600</v>
      </c>
      <c r="J18">
        <f t="shared" ref="J18:J23" si="16">C18/100</f>
        <v>0.442</v>
      </c>
      <c r="K18">
        <f t="shared" si="6"/>
        <v>0.43190661478599224</v>
      </c>
      <c r="L18">
        <f t="shared" si="6"/>
        <v>0.32489451476793252</v>
      </c>
      <c r="M18">
        <f t="shared" si="6"/>
        <v>0.37290899999999999</v>
      </c>
      <c r="N18">
        <f t="shared" ref="N18:N23" si="17">AVERAGE(J18:M18)</f>
        <v>0.39292753238848116</v>
      </c>
      <c r="O18" s="61">
        <f t="shared" ref="O18:O23" si="18">I18</f>
        <v>3600</v>
      </c>
      <c r="P18">
        <f t="shared" si="7"/>
        <v>0.47977671620296797</v>
      </c>
      <c r="Q18">
        <f t="shared" ref="Q18:S23" si="19">Q$10*(1+$I18)^-Q$11</f>
        <v>0.45206671557280903</v>
      </c>
      <c r="R18">
        <f t="shared" si="19"/>
        <v>0.36541462784345818</v>
      </c>
      <c r="S18">
        <f t="shared" si="19"/>
        <v>0.39737627747654886</v>
      </c>
      <c r="T18" s="299">
        <f t="shared" ref="T18:T23" si="20">T$10*(1+$I18)^-T$11</f>
        <v>0.42504423488186488</v>
      </c>
      <c r="U18" s="28">
        <f t="shared" ref="U18:U23" si="21">(U$10*($I18/3600)^-U$11)/100</f>
        <v>0.48084364294819942</v>
      </c>
      <c r="V18" s="61">
        <f t="shared" si="8"/>
        <v>3600</v>
      </c>
      <c r="W18">
        <f>W$10*(1+$G18)^-W$11</f>
        <v>0.47172373579257543</v>
      </c>
      <c r="X18">
        <f t="shared" ref="X18:Z19" si="22">X$10*(1+$I18)^-X$11</f>
        <v>0.4349441739716462</v>
      </c>
      <c r="Y18">
        <f t="shared" si="22"/>
        <v>0.35690952403603321</v>
      </c>
      <c r="Z18">
        <f t="shared" si="22"/>
        <v>0.39517185151308559</v>
      </c>
      <c r="AC18" s="61">
        <f t="shared" ref="AC18:AC23" si="23">V18</f>
        <v>3600</v>
      </c>
      <c r="AD18">
        <f t="shared" ref="AD18:AD23" si="24">AD$10*EXP(-$H18*AD$11)+AD$12*EXP(-$H18*AD$13)</f>
        <v>0.44267479451245473</v>
      </c>
      <c r="AE18">
        <f t="shared" ref="AE18:AG23" si="25">AE$10*EXP(-$I18*AE$11)+AE$12*EXP(-$I18*AE$13)</f>
        <v>0.43065806871875179</v>
      </c>
      <c r="AF18">
        <f t="shared" si="25"/>
        <v>0.30258898020994263</v>
      </c>
      <c r="AG18">
        <f t="shared" si="25"/>
        <v>0.36928379731863981</v>
      </c>
      <c r="AJ18" s="61">
        <f t="shared" si="9"/>
        <v>3600</v>
      </c>
      <c r="AK18" s="265">
        <f t="shared" ref="AK18:AK23" si="26">AK$10*EXP(-$H18*AK$11)+AK$12*EXP(-$H18*AK$13)</f>
        <v>0.44267479451245473</v>
      </c>
      <c r="AL18">
        <f t="shared" ref="AL18:AN23" si="27">AL$10*EXP(-$I18*AL$11)+AL$12*EXP(-$I18*AL$13)</f>
        <v>0.43065806871875179</v>
      </c>
      <c r="AM18">
        <f t="shared" si="27"/>
        <v>0.30258898020994263</v>
      </c>
      <c r="AN18">
        <f t="shared" si="27"/>
        <v>0.36928379731863981</v>
      </c>
      <c r="AQ18" s="61">
        <f>3600</f>
        <v>3600</v>
      </c>
      <c r="AR18" s="265">
        <f t="shared" ref="AR18:AR23" si="28">AR$10*EXP(-$H18*AR$11) + (AR$10* AR$12/(AR$11-AR$13))*(EXP(-$H18*AR$13)-EXP(-$H18*AR$11) )</f>
        <v>0.43489669561696664</v>
      </c>
      <c r="AS18">
        <f t="shared" ref="AS18:AV23" si="29">AS$10*EXP(-$I18*AS$11) + (AS$10* AS$12/(AS$11-AS$13))*(EXP(-$I18*AS$13)-EXP(-$I18*AS$11) )</f>
        <v>0.43236871511686875</v>
      </c>
      <c r="AT18">
        <f t="shared" si="29"/>
        <v>0.32433622971420745</v>
      </c>
      <c r="AU18">
        <f t="shared" si="29"/>
        <v>0.3732177739997819</v>
      </c>
      <c r="AV18" s="299">
        <f t="shared" si="29"/>
        <v>0.379503230039757</v>
      </c>
      <c r="AX18" s="61">
        <f>3600</f>
        <v>3600</v>
      </c>
      <c r="AY18">
        <f t="shared" si="10"/>
        <v>0.43658279341712725</v>
      </c>
      <c r="AZ18">
        <f t="shared" si="10"/>
        <v>0.43704553179566386</v>
      </c>
      <c r="BA18">
        <f t="shared" si="10"/>
        <v>0.31205157959682445</v>
      </c>
      <c r="BB18">
        <f t="shared" si="10"/>
        <v>0.37032158652959835</v>
      </c>
      <c r="BE18" s="61">
        <f>3600</f>
        <v>3600</v>
      </c>
      <c r="BF18">
        <f>BF$10*EXP(-$AQ18*BF$11)</f>
        <v>0.57052222669587893</v>
      </c>
      <c r="BG18">
        <f t="shared" si="11"/>
        <v>0.21450815137938153</v>
      </c>
      <c r="BH18">
        <f t="shared" si="11"/>
        <v>4.7871889990345307E-2</v>
      </c>
      <c r="BI18">
        <f t="shared" si="11"/>
        <v>0.15640170358605859</v>
      </c>
      <c r="BK18">
        <f t="shared" ref="BK18:BK23" si="30">BL18/(24*3600)</f>
        <v>4.1666666666666664E-2</v>
      </c>
      <c r="BL18" s="61">
        <f t="shared" si="12"/>
        <v>3600</v>
      </c>
      <c r="BM18">
        <f t="shared" ref="BM18:BM23" si="31">1 - (1-(2/($H18/60))^BM$11)^BM$10</f>
        <v>0.4726317961164469</v>
      </c>
      <c r="BN18">
        <f t="shared" ref="BN18:BQ23" si="32">1 - (1-(2/($BL18/60))^BN$11)^BN$10</f>
        <v>0.4470493761824067</v>
      </c>
      <c r="BO18">
        <f t="shared" si="32"/>
        <v>0.36177884661157445</v>
      </c>
      <c r="BP18">
        <f t="shared" si="32"/>
        <v>0.39398469312598117</v>
      </c>
      <c r="BQ18">
        <f t="shared" si="32"/>
        <v>0.42396998313812262</v>
      </c>
      <c r="BT18" s="61">
        <f t="shared" si="14"/>
        <v>3600</v>
      </c>
      <c r="BU18">
        <f t="shared" ref="BU18:BU23" si="33">BU$10/(LOG($H18/60)^BU$11+BU$10)</f>
        <v>0.46929074651267294</v>
      </c>
      <c r="BV18">
        <f t="shared" ref="BV18:BY23" si="34">BV$10/(LOG($BT18/60)^BV$11+BV$10)</f>
        <v>0.4477398960010347</v>
      </c>
      <c r="BW18">
        <f t="shared" si="34"/>
        <v>0.35954687843792404</v>
      </c>
      <c r="BX18">
        <f t="shared" si="34"/>
        <v>0.38608836568296678</v>
      </c>
      <c r="BY18">
        <f t="shared" si="34"/>
        <v>0.42300838288703341</v>
      </c>
    </row>
    <row r="19" spans="1:77" x14ac:dyDescent="0.35">
      <c r="A19" s="97" t="s">
        <v>110</v>
      </c>
      <c r="B19" s="61">
        <f>9*3600</f>
        <v>32400</v>
      </c>
      <c r="C19" s="211">
        <v>35.799999999999997</v>
      </c>
      <c r="D19" s="89">
        <f>(('Data fits from Mathematica'!D9-'Data fits from Mathematica'!E9)/'Data fits from Mathematica'!D9)*100</f>
        <v>28.512396694214871</v>
      </c>
      <c r="E19" s="87">
        <f>(('Data fits from Mathematica'!F9-'Data fits from Mathematica'!G9)/'Data fits from Mathematica'!F9)*100</f>
        <v>26.976744186046513</v>
      </c>
      <c r="F19" s="212">
        <v>27.644490000000001</v>
      </c>
      <c r="G19">
        <f>525*60</f>
        <v>31500</v>
      </c>
      <c r="H19">
        <f t="shared" ref="H19:H23" si="35">G19</f>
        <v>31500</v>
      </c>
      <c r="I19" s="61">
        <f t="shared" si="5"/>
        <v>32400</v>
      </c>
      <c r="J19">
        <f t="shared" si="16"/>
        <v>0.35799999999999998</v>
      </c>
      <c r="K19">
        <f t="shared" si="6"/>
        <v>0.2851239669421487</v>
      </c>
      <c r="L19">
        <f t="shared" si="6"/>
        <v>0.26976744186046514</v>
      </c>
      <c r="M19">
        <f t="shared" si="6"/>
        <v>0.27644489999999999</v>
      </c>
      <c r="N19">
        <f t="shared" si="17"/>
        <v>0.29733407720065347</v>
      </c>
      <c r="O19" s="61">
        <f t="shared" si="18"/>
        <v>32400</v>
      </c>
      <c r="P19">
        <f t="shared" si="7"/>
        <v>0.36420497288100251</v>
      </c>
      <c r="Q19">
        <f t="shared" si="19"/>
        <v>0.36884984406619487</v>
      </c>
      <c r="R19">
        <f t="shared" si="19"/>
        <v>0.29398592236250443</v>
      </c>
      <c r="S19">
        <f t="shared" si="19"/>
        <v>0.27533495035751493</v>
      </c>
      <c r="T19" s="299">
        <f t="shared" si="20"/>
        <v>0.32510943298112294</v>
      </c>
      <c r="U19" s="28">
        <f t="shared" si="21"/>
        <v>0.36110223075310038</v>
      </c>
      <c r="V19" s="61">
        <f t="shared" si="8"/>
        <v>32400</v>
      </c>
      <c r="W19">
        <f t="shared" ref="W19" si="36">W$10*(1+$G19)^-W$11</f>
        <v>0.34177370343957336</v>
      </c>
      <c r="X19">
        <f t="shared" si="22"/>
        <v>0.2840084561790136</v>
      </c>
      <c r="Y19">
        <f t="shared" si="22"/>
        <v>0.25390261088978372</v>
      </c>
      <c r="Z19">
        <f t="shared" si="22"/>
        <v>0.26844677459636612</v>
      </c>
      <c r="AC19" s="61">
        <f t="shared" si="23"/>
        <v>32400</v>
      </c>
      <c r="AD19">
        <f t="shared" si="24"/>
        <v>0.31910754817239634</v>
      </c>
      <c r="AE19">
        <f t="shared" si="25"/>
        <v>0.32191954133598177</v>
      </c>
      <c r="AF19">
        <f t="shared" si="25"/>
        <v>0.26748897384340742</v>
      </c>
      <c r="AG19">
        <f t="shared" si="25"/>
        <v>0.28201602431335443</v>
      </c>
      <c r="AJ19" s="61">
        <f t="shared" si="9"/>
        <v>32400</v>
      </c>
      <c r="AK19" s="265">
        <f t="shared" si="26"/>
        <v>0.31910754817239634</v>
      </c>
      <c r="AL19">
        <f t="shared" si="27"/>
        <v>0.32191954133598177</v>
      </c>
      <c r="AM19">
        <f t="shared" si="27"/>
        <v>0.26748897384340742</v>
      </c>
      <c r="AN19">
        <f t="shared" si="27"/>
        <v>0.28201602431335443</v>
      </c>
      <c r="AQ19" s="61">
        <f>9*3600</f>
        <v>32400</v>
      </c>
      <c r="AR19" s="265">
        <f t="shared" si="28"/>
        <v>0.31839600950145502</v>
      </c>
      <c r="AS19">
        <f t="shared" si="29"/>
        <v>0.32308911898805098</v>
      </c>
      <c r="AT19">
        <f t="shared" si="29"/>
        <v>0.26469011285949129</v>
      </c>
      <c r="AU19">
        <f t="shared" si="29"/>
        <v>0.29110968915721236</v>
      </c>
      <c r="AV19" s="299">
        <f t="shared" si="29"/>
        <v>0.29386694096821131</v>
      </c>
      <c r="AX19" s="61">
        <f>9*3600</f>
        <v>32400</v>
      </c>
      <c r="AY19" s="265">
        <f>AY$10*EXP(-$AQ19*AY$11) + (AY$10* AY$12/(AY$11-AY$13))*(EXP(-$I19*AY$13)-EXP(-$I19*AY$11) )</f>
        <v>0.31603891401013079</v>
      </c>
      <c r="AZ19">
        <f t="shared" si="10"/>
        <v>0.28824693936053614</v>
      </c>
      <c r="BA19">
        <f t="shared" si="10"/>
        <v>0.26310892508158684</v>
      </c>
      <c r="BB19">
        <f t="shared" si="10"/>
        <v>0.28207551589165725</v>
      </c>
      <c r="BE19" s="61">
        <f>9*3600</f>
        <v>32400</v>
      </c>
      <c r="BF19">
        <f>BF$10*EXP(-$AQ19*BF$11)</f>
        <v>0.26546035337176549</v>
      </c>
      <c r="BG19">
        <f t="shared" si="11"/>
        <v>3.1601254166578237E-5</v>
      </c>
      <c r="BH19">
        <f t="shared" si="11"/>
        <v>1.7025962777476525E-11</v>
      </c>
      <c r="BI19">
        <f t="shared" si="11"/>
        <v>3.9696468126166079E-6</v>
      </c>
      <c r="BK19">
        <f t="shared" si="30"/>
        <v>0.375</v>
      </c>
      <c r="BL19" s="61">
        <f t="shared" si="12"/>
        <v>32400</v>
      </c>
      <c r="BM19">
        <f t="shared" si="31"/>
        <v>0.35664989940104597</v>
      </c>
      <c r="BN19">
        <f t="shared" si="32"/>
        <v>0.36128554831877435</v>
      </c>
      <c r="BO19">
        <f t="shared" si="32"/>
        <v>0.28767365397159916</v>
      </c>
      <c r="BP19">
        <f t="shared" si="32"/>
        <v>0.27005522659873948</v>
      </c>
      <c r="BQ19">
        <f t="shared" si="32"/>
        <v>0.32057561547491054</v>
      </c>
      <c r="BT19" s="61">
        <f t="shared" si="14"/>
        <v>32400</v>
      </c>
      <c r="BU19">
        <f t="shared" si="33"/>
        <v>0.34908837315463781</v>
      </c>
      <c r="BV19">
        <f t="shared" si="34"/>
        <v>0.35781718262595796</v>
      </c>
      <c r="BW19">
        <f t="shared" si="34"/>
        <v>0.28300454888403204</v>
      </c>
      <c r="BX19">
        <f t="shared" si="34"/>
        <v>0.26125537787030606</v>
      </c>
      <c r="BY19">
        <f t="shared" si="34"/>
        <v>0.31731511837582649</v>
      </c>
    </row>
    <row r="20" spans="1:77" x14ac:dyDescent="0.35">
      <c r="A20" s="97" t="s">
        <v>111</v>
      </c>
      <c r="B20" s="61">
        <f>24*3600</f>
        <v>86400</v>
      </c>
      <c r="C20" s="211">
        <v>33.700000000000003</v>
      </c>
      <c r="D20" s="89">
        <f>(('Data fits from Mathematica'!D10-'Data fits from Mathematica'!E10)/'Data fits from Mathematica'!D10)*100</f>
        <v>31.59851301115242</v>
      </c>
      <c r="E20" s="87">
        <f>(('Data fits from Mathematica'!F10-'Data fits from Mathematica'!G10)/'Data fits from Mathematica'!F10)*100</f>
        <v>27.004219409282694</v>
      </c>
      <c r="F20" s="212">
        <v>31.67801</v>
      </c>
      <c r="G20">
        <f>B20</f>
        <v>86400</v>
      </c>
      <c r="H20">
        <f t="shared" si="35"/>
        <v>86400</v>
      </c>
      <c r="I20" s="61">
        <f t="shared" si="5"/>
        <v>86400</v>
      </c>
      <c r="J20">
        <f t="shared" si="16"/>
        <v>0.33700000000000002</v>
      </c>
      <c r="K20">
        <f t="shared" si="6"/>
        <v>0.31598513011152418</v>
      </c>
      <c r="L20">
        <f t="shared" si="6"/>
        <v>0.27004219409282693</v>
      </c>
      <c r="M20">
        <f t="shared" si="6"/>
        <v>0.31678010000000001</v>
      </c>
      <c r="N20">
        <f t="shared" si="17"/>
        <v>0.30995185605108777</v>
      </c>
      <c r="O20" s="61">
        <f t="shared" si="18"/>
        <v>86400</v>
      </c>
      <c r="P20">
        <f t="shared" si="7"/>
        <v>0.31943359979765296</v>
      </c>
      <c r="Q20">
        <f t="shared" si="19"/>
        <v>0.33682605235418533</v>
      </c>
      <c r="R20">
        <f t="shared" si="19"/>
        <v>0.2667819603045497</v>
      </c>
      <c r="S20">
        <f t="shared" si="19"/>
        <v>0.23373619180550009</v>
      </c>
      <c r="T20" s="299">
        <f t="shared" si="20"/>
        <v>0.28844458041739285</v>
      </c>
      <c r="U20" s="28">
        <f t="shared" si="21"/>
        <v>0.31776818702587933</v>
      </c>
      <c r="V20" s="61">
        <f t="shared" si="8"/>
        <v>86400</v>
      </c>
      <c r="W20">
        <f>W$10*(1+$I20)^-W$11 + W$12</f>
        <v>0.32347915671446087</v>
      </c>
      <c r="X20">
        <f t="shared" ref="W20:Z23" si="37">X$10*(1+$I20)^-X$11 + X$12</f>
        <v>0.36579830760584875</v>
      </c>
      <c r="Y20">
        <f t="shared" si="37"/>
        <v>0.28119379607696132</v>
      </c>
      <c r="Z20">
        <f t="shared" si="37"/>
        <v>0.23688592345031662</v>
      </c>
      <c r="AC20" s="61">
        <f t="shared" si="23"/>
        <v>86400</v>
      </c>
      <c r="AD20">
        <f t="shared" si="24"/>
        <v>0.31594889677635141</v>
      </c>
      <c r="AE20">
        <f t="shared" si="25"/>
        <v>0.32056084583415478</v>
      </c>
      <c r="AF20">
        <f t="shared" si="25"/>
        <v>0.26573192261451334</v>
      </c>
      <c r="AG20">
        <f t="shared" si="25"/>
        <v>0.2696433033682708</v>
      </c>
      <c r="AJ20" s="61">
        <f t="shared" si="9"/>
        <v>86400</v>
      </c>
      <c r="AK20" s="265">
        <f t="shared" si="26"/>
        <v>0.31594889677635141</v>
      </c>
      <c r="AL20">
        <f t="shared" si="27"/>
        <v>0.32056084583415478</v>
      </c>
      <c r="AM20">
        <f t="shared" si="27"/>
        <v>0.26573192261451334</v>
      </c>
      <c r="AN20">
        <f t="shared" si="27"/>
        <v>0.2696433033682708</v>
      </c>
      <c r="AQ20" s="61">
        <f>24*3600</f>
        <v>86400</v>
      </c>
      <c r="AR20" s="265">
        <f t="shared" si="28"/>
        <v>0.3152659857770243</v>
      </c>
      <c r="AS20">
        <f t="shared" si="29"/>
        <v>0.32167666755371749</v>
      </c>
      <c r="AT20">
        <f t="shared" si="29"/>
        <v>0.26295195363969753</v>
      </c>
      <c r="AU20">
        <f t="shared" si="29"/>
        <v>0.27580398534221257</v>
      </c>
      <c r="AV20" s="299">
        <f t="shared" si="29"/>
        <v>0.29097481131730213</v>
      </c>
      <c r="AX20" s="61">
        <f>24*3600</f>
        <v>86400</v>
      </c>
      <c r="AY20" s="265">
        <f>(AY$10+AY$14)*EXP(-$AQ20*AY$11) + ((AY$10+AY$14)* AY$12/(AY$11-AY$13))*(EXP(-$I20*AY$13)-EXP(-$I20*AY$11) )</f>
        <v>0.31346724619636895</v>
      </c>
      <c r="AZ20">
        <f>(AZ$10+AZ$14)*EXP(-$AQ20*AZ$11) + ((AZ$10+AZ$14)* AZ$12/(AZ$11-AZ$13))*(EXP(-$I20*AZ$13)-EXP(-$I20*AZ$11) )</f>
        <v>0.33554489314383906</v>
      </c>
      <c r="BA20">
        <f>(BA$10+BA$14)*EXP(-$AQ20*BA$11) + ((BA$10+BA$14)* BA$12/(BA$11-BA$13))*(EXP(-$I20*BA$13)-EXP(-$I20*BA$11) )</f>
        <v>0.26942064891871403</v>
      </c>
      <c r="BB20">
        <f>(BB$10+BB$14)*EXP(-$AQ20*BB$11) + ((BB$10+BB$14)* BB$12/(BB$11-BB$13))*(EXP(-$I20*BB$13)-EXP(-$I20*BB$11) )</f>
        <v>0.28826165732545966</v>
      </c>
      <c r="BE20" s="61">
        <f>24*3600</f>
        <v>86400</v>
      </c>
      <c r="BF20">
        <f>BF$10*EXP(-$AQ20*BF$11) + (BF$10* BF$12/(BF$11-BF$13))*(EXP(-$I20*BF$13)-EXP(-$I20*BF$11) )</f>
        <v>0.28991484525641326</v>
      </c>
      <c r="BG20">
        <f t="shared" ref="BG20:BI23" si="38">BG$10*EXP(-$I20*BG$11) + (BG$10* BG$12/(BG$11-BG$13))*(EXP(-$I20*BG$13)-EXP(-$I20*BG$11) )</f>
        <v>0.32076011547851024</v>
      </c>
      <c r="BH20">
        <f t="shared" si="38"/>
        <v>0.26711240788668489</v>
      </c>
      <c r="BI20">
        <f t="shared" si="38"/>
        <v>0.27662842098020263</v>
      </c>
      <c r="BK20">
        <f t="shared" si="30"/>
        <v>1</v>
      </c>
      <c r="BL20" s="61">
        <f t="shared" si="12"/>
        <v>86400</v>
      </c>
      <c r="BM20">
        <f t="shared" si="31"/>
        <v>0.31472696100970188</v>
      </c>
      <c r="BN20">
        <f t="shared" si="32"/>
        <v>0.33212475893017324</v>
      </c>
      <c r="BO20">
        <f t="shared" si="32"/>
        <v>0.26304507115813947</v>
      </c>
      <c r="BP20">
        <f t="shared" si="32"/>
        <v>0.23044271778367087</v>
      </c>
      <c r="BQ20">
        <f t="shared" si="32"/>
        <v>0.28610819193347825</v>
      </c>
      <c r="BT20" s="61">
        <f t="shared" si="14"/>
        <v>86400</v>
      </c>
      <c r="BU20">
        <f t="shared" si="33"/>
        <v>0.30921788334688188</v>
      </c>
      <c r="BV20">
        <f t="shared" si="34"/>
        <v>0.32930563029565219</v>
      </c>
      <c r="BW20">
        <f t="shared" si="34"/>
        <v>0.25953158959951084</v>
      </c>
      <c r="BX20">
        <f t="shared" si="34"/>
        <v>0.22555418968558041</v>
      </c>
      <c r="BY20">
        <f t="shared" si="34"/>
        <v>0.28499561852077565</v>
      </c>
    </row>
    <row r="21" spans="1:77" x14ac:dyDescent="0.35">
      <c r="A21" s="97" t="s">
        <v>112</v>
      </c>
      <c r="B21" s="61">
        <f>48*3600</f>
        <v>172800</v>
      </c>
      <c r="C21" s="211">
        <v>27.8</v>
      </c>
      <c r="D21" s="89">
        <f>(('Data fits from Mathematica'!D11-'Data fits from Mathematica'!E11)/'Data fits from Mathematica'!D11)*100</f>
        <v>36.501901140684417</v>
      </c>
      <c r="E21" s="87">
        <f>(('Data fits from Mathematica'!F11-'Data fits from Mathematica'!G11)/'Data fits from Mathematica'!F11)*100</f>
        <v>28.571428571428577</v>
      </c>
      <c r="F21" s="212">
        <v>23.000399999999999</v>
      </c>
      <c r="G21">
        <f t="shared" ref="G21:G23" si="39">B21</f>
        <v>172800</v>
      </c>
      <c r="H21">
        <f t="shared" si="35"/>
        <v>172800</v>
      </c>
      <c r="I21" s="61">
        <f t="shared" si="5"/>
        <v>172800</v>
      </c>
      <c r="J21">
        <f t="shared" si="16"/>
        <v>0.27800000000000002</v>
      </c>
      <c r="K21">
        <f t="shared" si="6"/>
        <v>0.36501901140684417</v>
      </c>
      <c r="L21">
        <f t="shared" si="6"/>
        <v>0.28571428571428575</v>
      </c>
      <c r="M21">
        <f t="shared" si="6"/>
        <v>0.23000399999999999</v>
      </c>
      <c r="N21">
        <f t="shared" si="17"/>
        <v>0.28968432428028246</v>
      </c>
      <c r="O21" s="61">
        <f t="shared" si="18"/>
        <v>172800</v>
      </c>
      <c r="P21">
        <f t="shared" si="7"/>
        <v>0.29190868936032993</v>
      </c>
      <c r="Q21">
        <f t="shared" si="19"/>
        <v>0.31588611053592974</v>
      </c>
      <c r="R21">
        <f t="shared" si="19"/>
        <v>0.24908910870757353</v>
      </c>
      <c r="S21">
        <f t="shared" si="19"/>
        <v>0.20818736785375419</v>
      </c>
      <c r="T21" s="299">
        <f t="shared" si="20"/>
        <v>0.26505561792523746</v>
      </c>
      <c r="U21" s="28">
        <f t="shared" si="21"/>
        <v>0.29031861269456782</v>
      </c>
      <c r="V21" s="61">
        <f t="shared" si="8"/>
        <v>172800</v>
      </c>
      <c r="W21">
        <f t="shared" si="37"/>
        <v>0.29416203891700005</v>
      </c>
      <c r="X21">
        <f t="shared" si="37"/>
        <v>0.33625589105318965</v>
      </c>
      <c r="Y21">
        <f t="shared" si="37"/>
        <v>0.2589772742803636</v>
      </c>
      <c r="Z21">
        <f t="shared" si="37"/>
        <v>0.2109439791523488</v>
      </c>
      <c r="AC21" s="61">
        <f t="shared" si="23"/>
        <v>172800</v>
      </c>
      <c r="AD21">
        <f t="shared" si="24"/>
        <v>0.31110673797710037</v>
      </c>
      <c r="AE21">
        <f t="shared" si="25"/>
        <v>0.31842689892374504</v>
      </c>
      <c r="AF21">
        <f t="shared" si="25"/>
        <v>0.26294461552841714</v>
      </c>
      <c r="AG21">
        <f t="shared" si="25"/>
        <v>0.25097068215051865</v>
      </c>
      <c r="AJ21" s="61">
        <f t="shared" si="9"/>
        <v>172800</v>
      </c>
      <c r="AK21" s="265">
        <f t="shared" si="26"/>
        <v>0.31110673797710037</v>
      </c>
      <c r="AL21">
        <f t="shared" si="27"/>
        <v>0.31842689892374504</v>
      </c>
      <c r="AM21">
        <f t="shared" si="27"/>
        <v>0.26294461552841714</v>
      </c>
      <c r="AN21">
        <f t="shared" si="27"/>
        <v>0.25097068215051865</v>
      </c>
      <c r="AQ21" s="61">
        <f>48*3600</f>
        <v>172800</v>
      </c>
      <c r="AR21" s="265">
        <f t="shared" si="28"/>
        <v>0.31042771794079282</v>
      </c>
      <c r="AS21">
        <f t="shared" si="29"/>
        <v>0.31946366507656226</v>
      </c>
      <c r="AT21">
        <f t="shared" si="29"/>
        <v>0.26019478658866718</v>
      </c>
      <c r="AU21">
        <f t="shared" si="29"/>
        <v>0.25297493568256113</v>
      </c>
      <c r="AV21" s="299">
        <f t="shared" si="29"/>
        <v>0.2864077927705459</v>
      </c>
      <c r="AX21" s="61">
        <f>48*3600</f>
        <v>172800</v>
      </c>
      <c r="AY21">
        <f t="shared" ref="AY21:BB23" si="40">(AY$10+AY$14)*EXP(-$AQ21*AY$11) + ((AY$10+AY$14)* AY$12/(AY$11-AY$13))*(EXP(-$I21*AY$13)-EXP(-$I21*AY$11) )</f>
        <v>0.30940776024401806</v>
      </c>
      <c r="AZ21">
        <f t="shared" si="40"/>
        <v>0.33259025927700864</v>
      </c>
      <c r="BA21">
        <f t="shared" si="40"/>
        <v>0.26630455731813368</v>
      </c>
      <c r="BB21">
        <f t="shared" si="40"/>
        <v>0.26014019039264935</v>
      </c>
      <c r="BE21" s="61">
        <f>48*3600</f>
        <v>172800</v>
      </c>
      <c r="BF21">
        <f>BF$10*EXP(-$AQ21*BF$11) + (BF$10* BF$12/(BF$11-BF$13))*(EXP(-$I21*BF$13)-EXP(-$I21*BF$11) )</f>
        <v>0.25541358707589523</v>
      </c>
      <c r="BG21">
        <f t="shared" si="38"/>
        <v>0.31862484204702052</v>
      </c>
      <c r="BH21">
        <f t="shared" si="38"/>
        <v>0.26431062065705335</v>
      </c>
      <c r="BI21">
        <f t="shared" si="38"/>
        <v>0.25856011943437107</v>
      </c>
      <c r="BK21">
        <f t="shared" si="30"/>
        <v>2</v>
      </c>
      <c r="BL21" s="61">
        <f t="shared" si="12"/>
        <v>172800</v>
      </c>
      <c r="BM21">
        <f t="shared" si="31"/>
        <v>0.28946815037062268</v>
      </c>
      <c r="BN21">
        <f t="shared" si="32"/>
        <v>0.31380034174885163</v>
      </c>
      <c r="BO21">
        <f t="shared" si="32"/>
        <v>0.24770527444931489</v>
      </c>
      <c r="BP21">
        <f t="shared" si="32"/>
        <v>0.20650442870818264</v>
      </c>
      <c r="BQ21">
        <f t="shared" si="32"/>
        <v>0.26473177874005571</v>
      </c>
      <c r="BT21" s="61">
        <f t="shared" si="14"/>
        <v>172800</v>
      </c>
      <c r="BU21">
        <f t="shared" si="33"/>
        <v>0.28619511513839319</v>
      </c>
      <c r="BV21">
        <f t="shared" si="34"/>
        <v>0.31199593915224544</v>
      </c>
      <c r="BW21">
        <f t="shared" si="34"/>
        <v>0.24544472456723854</v>
      </c>
      <c r="BX21">
        <f t="shared" si="34"/>
        <v>0.2049596219636276</v>
      </c>
      <c r="BY21">
        <f t="shared" si="34"/>
        <v>0.26573219581967278</v>
      </c>
    </row>
    <row r="22" spans="1:77" x14ac:dyDescent="0.35">
      <c r="A22" s="97" t="s">
        <v>113</v>
      </c>
      <c r="B22" s="61">
        <f>6*24*3600</f>
        <v>518400</v>
      </c>
      <c r="C22" s="211">
        <v>25.4</v>
      </c>
      <c r="D22" s="89">
        <f>(('Data fits from Mathematica'!D12-'Data fits from Mathematica'!E12)/'Data fits from Mathematica'!D12)*100</f>
        <v>30.894308943089431</v>
      </c>
      <c r="E22" s="87">
        <f>(('Data fits from Mathematica'!F12-'Data fits from Mathematica'!G12)/'Data fits from Mathematica'!F12)*100</f>
        <v>20.524017467248907</v>
      </c>
      <c r="F22" s="212">
        <v>16.820180000000001</v>
      </c>
      <c r="G22">
        <f t="shared" si="39"/>
        <v>518400</v>
      </c>
      <c r="H22">
        <f t="shared" si="35"/>
        <v>518400</v>
      </c>
      <c r="I22" s="61">
        <f t="shared" si="5"/>
        <v>518400</v>
      </c>
      <c r="J22">
        <f t="shared" si="16"/>
        <v>0.254</v>
      </c>
      <c r="K22">
        <f t="shared" si="6"/>
        <v>0.30894308943089432</v>
      </c>
      <c r="L22">
        <f t="shared" si="6"/>
        <v>0.20524017467248906</v>
      </c>
      <c r="M22">
        <f t="shared" si="6"/>
        <v>0.16820180000000001</v>
      </c>
      <c r="N22">
        <f t="shared" si="17"/>
        <v>0.23409626602584588</v>
      </c>
      <c r="O22" s="61">
        <f t="shared" si="18"/>
        <v>518400</v>
      </c>
      <c r="P22">
        <f t="shared" si="7"/>
        <v>0.25305881946475595</v>
      </c>
      <c r="Q22">
        <f t="shared" si="19"/>
        <v>0.28533119641571975</v>
      </c>
      <c r="R22">
        <f t="shared" si="19"/>
        <v>0.22341889540608217</v>
      </c>
      <c r="S22">
        <f t="shared" si="19"/>
        <v>0.17329075929524526</v>
      </c>
      <c r="T22" s="299">
        <f t="shared" si="20"/>
        <v>0.23180798837263125</v>
      </c>
      <c r="U22" s="28">
        <f t="shared" si="21"/>
        <v>0.2515869013350201</v>
      </c>
      <c r="V22" s="61">
        <f t="shared" si="8"/>
        <v>518400</v>
      </c>
      <c r="W22">
        <f t="shared" si="37"/>
        <v>0.25358252665209202</v>
      </c>
      <c r="X22">
        <f t="shared" si="37"/>
        <v>0.29685723931519692</v>
      </c>
      <c r="Y22">
        <f t="shared" si="37"/>
        <v>0.22830778831390297</v>
      </c>
      <c r="Z22">
        <f t="shared" si="37"/>
        <v>0.17579168140292994</v>
      </c>
      <c r="AC22" s="61">
        <f t="shared" si="23"/>
        <v>518400</v>
      </c>
      <c r="AD22">
        <f t="shared" si="24"/>
        <v>0.29246891438606465</v>
      </c>
      <c r="AE22">
        <f t="shared" si="25"/>
        <v>0.31003222385454388</v>
      </c>
      <c r="AF22">
        <f t="shared" si="25"/>
        <v>0.25208470191915594</v>
      </c>
      <c r="AG22">
        <f t="shared" si="25"/>
        <v>0.18834599925034667</v>
      </c>
      <c r="AJ22" s="61">
        <f t="shared" si="9"/>
        <v>518400</v>
      </c>
      <c r="AK22" s="265">
        <f t="shared" si="26"/>
        <v>0.29246891438606465</v>
      </c>
      <c r="AL22">
        <f t="shared" si="27"/>
        <v>0.31003222385454388</v>
      </c>
      <c r="AM22">
        <f t="shared" si="27"/>
        <v>0.25208470191915594</v>
      </c>
      <c r="AN22">
        <f t="shared" si="27"/>
        <v>0.18834599925034667</v>
      </c>
      <c r="AQ22" s="61">
        <f>6*24*3600</f>
        <v>518400</v>
      </c>
      <c r="AR22" s="265">
        <f t="shared" si="28"/>
        <v>0.29180584940067555</v>
      </c>
      <c r="AS22">
        <f t="shared" si="29"/>
        <v>0.3107628568106246</v>
      </c>
      <c r="AT22">
        <f t="shared" si="29"/>
        <v>0.24945220400052123</v>
      </c>
      <c r="AU22">
        <f t="shared" si="29"/>
        <v>0.17905453341128769</v>
      </c>
      <c r="AV22" s="299">
        <f t="shared" si="29"/>
        <v>0.26884537576219875</v>
      </c>
      <c r="AX22" s="61">
        <f>6*24*3600</f>
        <v>518400</v>
      </c>
      <c r="AY22">
        <f t="shared" si="40"/>
        <v>0.29368876671289135</v>
      </c>
      <c r="AZ22">
        <f t="shared" si="40"/>
        <v>0.32102961374766492</v>
      </c>
      <c r="BA22">
        <f t="shared" si="40"/>
        <v>0.25419645052989154</v>
      </c>
      <c r="BB22">
        <f t="shared" si="40"/>
        <v>0.17253998339373147</v>
      </c>
      <c r="BE22" s="61">
        <f>6*24*3600</f>
        <v>518400</v>
      </c>
      <c r="BF22">
        <f>BF$10*EXP(-$AQ22*BF$11) + (BF$10* BF$12/(BF$11-BF$13))*(EXP(-$I22*BF$13)-EXP(-$I22*BF$11) )</f>
        <v>0.24954262448479816</v>
      </c>
      <c r="BG22">
        <f t="shared" si="38"/>
        <v>0.31022494861150768</v>
      </c>
      <c r="BH22">
        <f t="shared" si="38"/>
        <v>0.25339428947233816</v>
      </c>
      <c r="BI22">
        <f t="shared" si="38"/>
        <v>0.19734244629252598</v>
      </c>
      <c r="BK22">
        <f t="shared" si="30"/>
        <v>6</v>
      </c>
      <c r="BL22" s="61">
        <f t="shared" si="12"/>
        <v>518400</v>
      </c>
      <c r="BM22">
        <f t="shared" si="31"/>
        <v>0.25427349834979918</v>
      </c>
      <c r="BN22">
        <f t="shared" si="32"/>
        <v>0.28786494604824342</v>
      </c>
      <c r="BO22">
        <f t="shared" si="32"/>
        <v>0.22616780208015597</v>
      </c>
      <c r="BP22">
        <f t="shared" si="32"/>
        <v>0.17410952648288114</v>
      </c>
      <c r="BQ22">
        <f t="shared" si="32"/>
        <v>0.23493767873058291</v>
      </c>
      <c r="BT22" s="61">
        <f t="shared" si="14"/>
        <v>518400</v>
      </c>
      <c r="BU22">
        <f t="shared" si="33"/>
        <v>0.25535157300469313</v>
      </c>
      <c r="BV22">
        <f t="shared" si="34"/>
        <v>0.2883115964256463</v>
      </c>
      <c r="BW22">
        <f t="shared" si="34"/>
        <v>0.22635600297994343</v>
      </c>
      <c r="BX22">
        <f t="shared" si="34"/>
        <v>0.17818232162558512</v>
      </c>
      <c r="BY22">
        <f t="shared" si="34"/>
        <v>0.23986197889563116</v>
      </c>
    </row>
    <row r="23" spans="1:77" x14ac:dyDescent="0.35">
      <c r="A23" s="11" t="s">
        <v>114</v>
      </c>
      <c r="B23" s="61">
        <f>31*24*3600</f>
        <v>2678400</v>
      </c>
      <c r="C23" s="213">
        <v>21.1</v>
      </c>
      <c r="D23" s="214">
        <f>(('Data fits from Mathematica'!D13-'Data fits from Mathematica'!E13)/'Data fits from Mathematica'!D13)*100</f>
        <v>25.842696629213478</v>
      </c>
      <c r="E23" s="215">
        <f>(('Data fits from Mathematica'!F13-'Data fits from Mathematica'!G13)/'Data fits from Mathematica'!F13)*100</f>
        <v>20.080321285140563</v>
      </c>
      <c r="F23" s="216">
        <v>4.0969850000000001</v>
      </c>
      <c r="G23">
        <f t="shared" si="39"/>
        <v>2678400</v>
      </c>
      <c r="H23">
        <f t="shared" si="35"/>
        <v>2678400</v>
      </c>
      <c r="I23" s="61">
        <f t="shared" si="5"/>
        <v>2678400</v>
      </c>
      <c r="J23">
        <f t="shared" si="16"/>
        <v>0.21100000000000002</v>
      </c>
      <c r="K23">
        <f t="shared" si="6"/>
        <v>0.2584269662921348</v>
      </c>
      <c r="L23">
        <f t="shared" si="6"/>
        <v>0.20080321285140562</v>
      </c>
      <c r="M23">
        <f t="shared" si="6"/>
        <v>4.0969850000000002E-2</v>
      </c>
      <c r="N23">
        <f t="shared" si="17"/>
        <v>0.1778000072858851</v>
      </c>
      <c r="O23" s="61">
        <f t="shared" si="18"/>
        <v>2678400</v>
      </c>
      <c r="P23">
        <f t="shared" si="7"/>
        <v>0.2044109741281892</v>
      </c>
      <c r="Q23">
        <f t="shared" si="19"/>
        <v>0.24507896237258689</v>
      </c>
      <c r="R23">
        <f t="shared" si="19"/>
        <v>0.18989438939378825</v>
      </c>
      <c r="S23">
        <f t="shared" si="19"/>
        <v>0.13172535370821831</v>
      </c>
      <c r="T23" s="299">
        <f t="shared" si="20"/>
        <v>0.18972159469259328</v>
      </c>
      <c r="U23" s="28">
        <f t="shared" si="21"/>
        <v>0.20310932696265874</v>
      </c>
      <c r="V23" s="61">
        <f t="shared" si="8"/>
        <v>2678400</v>
      </c>
      <c r="W23">
        <f t="shared" si="37"/>
        <v>0.20425898028508729</v>
      </c>
      <c r="X23">
        <f t="shared" si="37"/>
        <v>0.2516067840709677</v>
      </c>
      <c r="Y23">
        <f t="shared" si="37"/>
        <v>0.19118049672156689</v>
      </c>
      <c r="Z23">
        <f t="shared" si="37"/>
        <v>0.13442705473753197</v>
      </c>
      <c r="AC23" s="61">
        <f t="shared" si="23"/>
        <v>2678400</v>
      </c>
      <c r="AD23">
        <f t="shared" si="24"/>
        <v>0.19878978416250481</v>
      </c>
      <c r="AE23">
        <f t="shared" si="25"/>
        <v>0.26235457153206349</v>
      </c>
      <c r="AF23">
        <f t="shared" si="25"/>
        <v>0.19366908286579293</v>
      </c>
      <c r="AG23">
        <f>AG$10*EXP(-$I23*AG$11)+AG$12*EXP(-$I23*AG$13)</f>
        <v>3.1317724728772582E-2</v>
      </c>
      <c r="AJ23" s="61">
        <f>AD23</f>
        <v>0.19878978416250481</v>
      </c>
      <c r="AK23" s="265">
        <f t="shared" si="26"/>
        <v>0.19878978416250481</v>
      </c>
      <c r="AL23">
        <f t="shared" si="27"/>
        <v>0.26235457153206349</v>
      </c>
      <c r="AM23">
        <f t="shared" si="27"/>
        <v>0.19366908286579293</v>
      </c>
      <c r="AN23">
        <f t="shared" si="27"/>
        <v>3.1317724728772582E-2</v>
      </c>
      <c r="AQ23" s="61">
        <f>31*24*3600</f>
        <v>2678400</v>
      </c>
      <c r="AR23" s="265">
        <f t="shared" si="28"/>
        <v>0.19823410520934873</v>
      </c>
      <c r="AS23">
        <f t="shared" si="29"/>
        <v>0.26150309082156964</v>
      </c>
      <c r="AT23">
        <f t="shared" si="29"/>
        <v>0.19166466904635174</v>
      </c>
      <c r="AU23">
        <f t="shared" si="29"/>
        <v>2.0649485738070565E-2</v>
      </c>
      <c r="AV23" s="299">
        <f t="shared" si="29"/>
        <v>0.18102495530214155</v>
      </c>
      <c r="AX23" s="61">
        <f>31*24*3600</f>
        <v>2678400</v>
      </c>
      <c r="AY23">
        <f t="shared" si="40"/>
        <v>0.21201333127199007</v>
      </c>
      <c r="AZ23">
        <f t="shared" si="40"/>
        <v>0.25734599405775976</v>
      </c>
      <c r="BA23">
        <f t="shared" si="40"/>
        <v>0.19004764957286058</v>
      </c>
      <c r="BB23">
        <f t="shared" si="40"/>
        <v>1.3255744215221129E-2</v>
      </c>
      <c r="BE23" s="61">
        <f>31*24*3600</f>
        <v>2678400</v>
      </c>
      <c r="BF23">
        <f>BF$10*EXP(-$AQ23*BF$11) + (BF$10* BF$12/(BF$11-BF$13))*(EXP(-$I23*BF$13)-EXP(-$I23*BF$11) )</f>
        <v>0.23701649936921099</v>
      </c>
      <c r="BG23">
        <f t="shared" si="38"/>
        <v>0.26251765851833941</v>
      </c>
      <c r="BH23">
        <f t="shared" si="38"/>
        <v>0.19467519953382698</v>
      </c>
      <c r="BI23">
        <f t="shared" si="38"/>
        <v>3.6461879894574792E-2</v>
      </c>
      <c r="BK23">
        <f t="shared" si="30"/>
        <v>31</v>
      </c>
      <c r="BL23" s="61">
        <f t="shared" si="12"/>
        <v>2678400</v>
      </c>
      <c r="BM23">
        <f t="shared" si="31"/>
        <v>0.21058813386638486</v>
      </c>
      <c r="BN23">
        <f t="shared" si="32"/>
        <v>0.25472345968588195</v>
      </c>
      <c r="BO23">
        <f t="shared" si="32"/>
        <v>0.19893204949881926</v>
      </c>
      <c r="BP23">
        <f t="shared" si="32"/>
        <v>0.13566540237065838</v>
      </c>
      <c r="BQ23">
        <f t="shared" si="32"/>
        <v>0.19782975505623301</v>
      </c>
      <c r="BT23" s="61">
        <f t="shared" si="14"/>
        <v>2678400</v>
      </c>
      <c r="BU23">
        <f t="shared" si="33"/>
        <v>0.21895767460729779</v>
      </c>
      <c r="BV23">
        <f t="shared" si="34"/>
        <v>0.259424151325439</v>
      </c>
      <c r="BW23">
        <f t="shared" si="34"/>
        <v>0.20334089696687943</v>
      </c>
      <c r="BX23">
        <f t="shared" si="34"/>
        <v>0.14781553627379335</v>
      </c>
      <c r="BY23">
        <f t="shared" si="34"/>
        <v>0.20914871444530536</v>
      </c>
    </row>
    <row r="24" spans="1:77" x14ac:dyDescent="0.35">
      <c r="J24">
        <f>J19-J20</f>
        <v>2.0999999999999963E-2</v>
      </c>
      <c r="K24">
        <f t="shared" ref="K24:M24" si="41">K19-K20</f>
        <v>-3.0861163169375483E-2</v>
      </c>
      <c r="L24">
        <f t="shared" si="41"/>
        <v>-2.747522323617857E-4</v>
      </c>
      <c r="M24">
        <f t="shared" si="41"/>
        <v>-4.0335200000000015E-2</v>
      </c>
      <c r="O24" s="262" t="s">
        <v>239</v>
      </c>
      <c r="P24" t="b">
        <f>OR($J20&gt;P20,$J21&gt;P21)</f>
        <v>1</v>
      </c>
      <c r="Q24" t="b">
        <f>OR($K20&gt;Q20,$K21&gt;Q21)</f>
        <v>1</v>
      </c>
      <c r="R24" t="b">
        <f>OR($L20&gt;R20,$L21&gt;R21)</f>
        <v>1</v>
      </c>
      <c r="S24" t="b">
        <f>OR($M20&gt;S20,$M21&gt;S21)</f>
        <v>1</v>
      </c>
      <c r="T24" t="b">
        <f>OR($N20&gt;T20,$N21&gt;T21)</f>
        <v>1</v>
      </c>
      <c r="U24" s="28"/>
      <c r="W24" t="b">
        <f>OR($J20&gt;W20,$J21&gt;W21)</f>
        <v>1</v>
      </c>
      <c r="X24" t="b">
        <f>OR($K20&gt;X20,$K21&gt;X21)</f>
        <v>1</v>
      </c>
      <c r="Y24" t="b">
        <f>OR($L20&gt;Y20,$L21&gt;Y21)</f>
        <v>1</v>
      </c>
      <c r="Z24" t="b">
        <f>OR($M20&gt;Z20,$M21&gt;Z21)</f>
        <v>1</v>
      </c>
      <c r="AA24" t="b">
        <f>OR($N20&gt;AA20,$N21&gt;AA21)</f>
        <v>1</v>
      </c>
      <c r="AD24" t="b">
        <f>OR($J20&gt;AD20,$J21&gt;AD21)</f>
        <v>1</v>
      </c>
      <c r="AE24" t="b">
        <f>OR($K20&gt;AE20,$K21&gt;AE21)</f>
        <v>1</v>
      </c>
      <c r="AF24" t="b">
        <f>OR($L20&gt;AF20,$L21&gt;AF21)</f>
        <v>1</v>
      </c>
      <c r="AG24" t="b">
        <f>OR($M20&gt;AG20,$M21&gt;AG21)</f>
        <v>1</v>
      </c>
      <c r="AH24" t="b">
        <f>OR($N20&gt;AH20,$N21&gt;AH21)</f>
        <v>1</v>
      </c>
      <c r="AR24" t="b">
        <f>OR($J20&gt;AR20,$J21&gt;AR21)</f>
        <v>1</v>
      </c>
      <c r="AS24" t="b">
        <f>OR($K20&gt;AS20,$K21&gt;AS21)</f>
        <v>1</v>
      </c>
      <c r="AT24" t="b">
        <f>OR($L20&gt;AT20,$L21&gt;AT21)</f>
        <v>1</v>
      </c>
      <c r="AU24" t="b">
        <f>OR($M20&gt;AU20,$M21&gt;AU21)</f>
        <v>1</v>
      </c>
      <c r="AV24" t="b">
        <f>OR($N20&gt;AV20,$N21&gt;AV21)</f>
        <v>1</v>
      </c>
      <c r="AY24" t="b">
        <f>OR($J20&gt;AY20,$J21&gt;AY21)</f>
        <v>1</v>
      </c>
      <c r="AZ24" t="b">
        <f>OR($K20&gt;AZ20,$K21&gt;AZ21)</f>
        <v>1</v>
      </c>
      <c r="BA24" t="b">
        <f>OR($L20&gt;BA20,$L21&gt;BA21)</f>
        <v>1</v>
      </c>
      <c r="BB24" t="b">
        <f>OR($M20&gt;BB20,$M21&gt;BB21)</f>
        <v>1</v>
      </c>
      <c r="BC24" t="b">
        <f>OR($N20&gt;BC20,$N21&gt;BC21)</f>
        <v>1</v>
      </c>
      <c r="BF24" t="b">
        <f>OR($J20&gt;BF20,$J21&gt;BF21)</f>
        <v>1</v>
      </c>
      <c r="BG24" t="b">
        <f>OR($K20&gt;BG20,$K21&gt;BG21)</f>
        <v>1</v>
      </c>
      <c r="BH24" t="b">
        <f>OR($L20&gt;BH20,$L21&gt;BH21)</f>
        <v>1</v>
      </c>
      <c r="BI24" t="b">
        <f>OR($M20&gt;BI20,$M21&gt;BI21)</f>
        <v>1</v>
      </c>
      <c r="BJ24" t="b">
        <f>OR($N20&gt;BJ20,$N21&gt;BJ21)</f>
        <v>1</v>
      </c>
      <c r="BM24" t="b">
        <f>OR($J20&gt;BM20,$J21&gt;BM21)</f>
        <v>1</v>
      </c>
      <c r="BN24" t="b">
        <f>OR($K20&gt;BN20,$K21&gt;BN21)</f>
        <v>1</v>
      </c>
      <c r="BO24" t="b">
        <f>OR($L20&gt;BO20,$L21&gt;BO21)</f>
        <v>1</v>
      </c>
      <c r="BP24" t="b">
        <f>OR($M20&gt;BP20,$M21&gt;BP21)</f>
        <v>1</v>
      </c>
      <c r="BQ24" t="b">
        <f>OR($N20&gt;BQ20,$N21&gt;BQ21)</f>
        <v>1</v>
      </c>
      <c r="BU24" t="b">
        <f>OR($J20&gt;BU20,$J21&gt;BU21)</f>
        <v>1</v>
      </c>
      <c r="BV24" t="b">
        <f>OR($K20&gt;BV20,$K21&gt;BV21)</f>
        <v>1</v>
      </c>
      <c r="BW24" t="b">
        <f>OR($L20&gt;BW20,$L21&gt;BW21)</f>
        <v>1</v>
      </c>
      <c r="BX24" t="b">
        <f>OR($M20&gt;BX20,$M21&gt;BX21)</f>
        <v>1</v>
      </c>
      <c r="BY24" t="b">
        <f>OR($N20&gt;BY20,$N21&gt;BY21)</f>
        <v>1</v>
      </c>
    </row>
    <row r="25" spans="1:77" x14ac:dyDescent="0.35">
      <c r="J25">
        <f>J19-J21</f>
        <v>7.999999999999996E-2</v>
      </c>
      <c r="K25">
        <f t="shared" ref="K25:M25" si="42">K19-K21</f>
        <v>-7.9895044464695475E-2</v>
      </c>
      <c r="L25">
        <f t="shared" si="42"/>
        <v>-1.5946843853820614E-2</v>
      </c>
      <c r="M25">
        <f t="shared" si="42"/>
        <v>4.6440900000000007E-2</v>
      </c>
      <c r="O25" s="262" t="s">
        <v>240</v>
      </c>
      <c r="P25" t="b">
        <f>OR($J20-P20&gt;$J32,$J21-P21&gt;$J33)</f>
        <v>1</v>
      </c>
      <c r="Q25" t="b">
        <f>OR($K20-Q20&gt;$K32,$K21-Q21&gt;$K33)</f>
        <v>1</v>
      </c>
      <c r="R25" t="b">
        <f>OR($L20-R20&gt;$L32,$L21-R21&gt;$L33)</f>
        <v>1</v>
      </c>
      <c r="S25" t="b">
        <f>OR($M20-S20&gt;$M32,$M21-S21&gt;$M33)</f>
        <v>1</v>
      </c>
      <c r="U25" s="28"/>
      <c r="W25" t="b">
        <f>OR($J20-W20&gt;$J32,$J21-W21&gt;$J33)</f>
        <v>1</v>
      </c>
      <c r="X25" t="b">
        <f>OR($K20-X20&gt;$K32,$K21-X21&gt;$K33)</f>
        <v>1</v>
      </c>
      <c r="Y25" t="b">
        <f>OR($L20-Y20&gt;$L32,$L21-Y21&gt;$L33)</f>
        <v>0</v>
      </c>
      <c r="Z25" t="b">
        <f>OR($M20-Z20&gt;$M32,$M21-Z21&gt;$M33)</f>
        <v>1</v>
      </c>
      <c r="AD25" t="b">
        <f>OR($J20-AD20&gt;$J32,$J21-AD21&gt;$J33)</f>
        <v>1</v>
      </c>
      <c r="AE25" t="b">
        <f>OR($K20-AE20&gt;$K32,$K21-AE21&gt;$K33)</f>
        <v>1</v>
      </c>
      <c r="AF25" t="b">
        <f>OR($L20-AF20&gt;$L32,$L21-AF21&gt;$L33)</f>
        <v>0</v>
      </c>
      <c r="AG25" t="b">
        <f>OR($M20-AG20&gt;$M32,$M21-AG21&gt;$M33)</f>
        <v>1</v>
      </c>
      <c r="AR25" t="b">
        <f>OR($J20-AR20&gt;$J32,$J21-AR21&gt;$J33)</f>
        <v>1</v>
      </c>
      <c r="AS25" t="b">
        <f>OR($K20-AS20&gt;$K32,$K21-AS21&gt;$K33)</f>
        <v>1</v>
      </c>
      <c r="AT25" t="b">
        <f>OR($L20-AT20&gt;$L32,$L21-AT21&gt;$L33)</f>
        <v>0</v>
      </c>
      <c r="AU25" t="b">
        <f>OR($M20-AU20&gt;$M32,$M21-AU21&gt;$M33)</f>
        <v>1</v>
      </c>
      <c r="AY25" t="b">
        <f>OR($J20-AY20&gt;$J32,$J21-AY21&gt;$J33)</f>
        <v>1</v>
      </c>
      <c r="AZ25" t="b">
        <f>OR($K20-AZ20&gt;$K32,$K21-AZ21&gt;$K33)</f>
        <v>1</v>
      </c>
      <c r="BA25" t="b">
        <f>OR($L20-BA20&gt;$L32,$L21-BA21&gt;$L33)</f>
        <v>0</v>
      </c>
      <c r="BB25" t="b">
        <f>OR($M20-BB20&gt;$M32,$M21-BB21&gt;$M33)</f>
        <v>1</v>
      </c>
      <c r="BF25" t="b">
        <f>OR($J20-BF20&gt;$J32,$J21-BF21&gt;$J33)</f>
        <v>1</v>
      </c>
      <c r="BG25" t="b">
        <f>OR($K20-BG20&gt;$K32,$K21-BG21&gt;$K33)</f>
        <v>1</v>
      </c>
      <c r="BH25" t="b">
        <f>OR($L20-BH20&gt;$L32,$L21-BH21&gt;$L33)</f>
        <v>0</v>
      </c>
      <c r="BI25" t="b">
        <f>OR($M20-BI20&gt;$M32,$M21-BI21&gt;$M33)</f>
        <v>1</v>
      </c>
      <c r="BM25" t="b">
        <f>OR($J20-BM20&gt;$J32,$J21-BM21&gt;$J33)</f>
        <v>1</v>
      </c>
      <c r="BN25" t="b">
        <f>OR($K20-BN20&gt;$K32,$K21-BN21&gt;$K33)</f>
        <v>1</v>
      </c>
      <c r="BO25" t="b">
        <f>OR($L20-BO20&gt;$L32,$L21-BO21&gt;$L33)</f>
        <v>1</v>
      </c>
      <c r="BP25" t="b">
        <f>OR($M20-BP20&gt;$M32,$M21-BP21&gt;$M33)</f>
        <v>1</v>
      </c>
      <c r="BU25" t="b">
        <f>OR($J20-BU20&gt;$J32,$J21-BU21&gt;$J33)</f>
        <v>1</v>
      </c>
      <c r="BV25" t="b">
        <f>OR($K20-BV20&gt;$K32,$K21-BV21&gt;$K33)</f>
        <v>1</v>
      </c>
      <c r="BW25" t="b">
        <f>OR($L20-BW20&gt;$L32,$L21-BW21&gt;$L33)</f>
        <v>1</v>
      </c>
      <c r="BX25" t="b">
        <f>OR($M20-BX20&gt;$M32,$M21-BX21&gt;$M33)</f>
        <v>1</v>
      </c>
    </row>
    <row r="26" spans="1:77" x14ac:dyDescent="0.35">
      <c r="J26">
        <f>(J$19-J20)/J32</f>
        <v>1.7499999999999969</v>
      </c>
      <c r="K26">
        <f t="shared" ref="K26:M26" si="43">(K$19-K20)/K32</f>
        <v>-1.0096973647931167</v>
      </c>
      <c r="L26">
        <f t="shared" si="43"/>
        <v>-9.3598070279790353E-3</v>
      </c>
      <c r="M26">
        <f t="shared" si="43"/>
        <v>-2.129533378584421</v>
      </c>
      <c r="U26" s="28"/>
    </row>
    <row r="27" spans="1:77" x14ac:dyDescent="0.35">
      <c r="J27">
        <f>(J$19-J21)/J33</f>
        <v>6.6666666666666634</v>
      </c>
      <c r="K27">
        <f t="shared" ref="K27:M27" si="44">(K$19-K21)/K33</f>
        <v>-3.4972122448795644</v>
      </c>
      <c r="L27">
        <f t="shared" si="44"/>
        <v>-0.54554303820241024</v>
      </c>
      <c r="M27">
        <f t="shared" si="44"/>
        <v>2.9800904459009447</v>
      </c>
      <c r="U27" s="28"/>
    </row>
    <row r="28" spans="1:77" x14ac:dyDescent="0.35">
      <c r="H28" s="61">
        <v>1885</v>
      </c>
      <c r="I28" s="61" t="s">
        <v>160</v>
      </c>
      <c r="J28" s="61" t="str">
        <f>J16</f>
        <v>Ebbinghaus</v>
      </c>
      <c r="K28" s="61" t="str">
        <f>K16</f>
        <v>Mack</v>
      </c>
      <c r="L28" s="61" t="str">
        <f>L16</f>
        <v>Seitz</v>
      </c>
      <c r="M28" s="61" t="str">
        <f>M16</f>
        <v>Dros</v>
      </c>
      <c r="O28" t="s">
        <v>148</v>
      </c>
      <c r="P28">
        <f t="shared" ref="P28:S28" si="45">SUMXMY2(J17:J23,P17:P23)</f>
        <v>2.4683380047850552E-3</v>
      </c>
      <c r="Q28">
        <f>SUMXMY2(K17:K23,Q17:Q23)</f>
        <v>1.292358967747397E-2</v>
      </c>
      <c r="R28">
        <f t="shared" si="45"/>
        <v>5.2327957781045965E-3</v>
      </c>
      <c r="S28">
        <f t="shared" si="45"/>
        <v>1.6266824032753285E-2</v>
      </c>
      <c r="T28" s="299">
        <f>SUMXMY2(N17:N23,T17:T23)</f>
        <v>3.5971663526465554E-3</v>
      </c>
      <c r="U28" s="28">
        <f>SUMXMY2(J17:J23,U17:U23)</f>
        <v>2.8442214481561793E-3</v>
      </c>
      <c r="V28" t="s">
        <v>148</v>
      </c>
      <c r="W28">
        <f>SUMXMY2(J17:J23,W17:W23)</f>
        <v>1.8941003452575332E-3</v>
      </c>
      <c r="X28">
        <f>SUMXMY2(K17:K23,X17:X23)</f>
        <v>3.5489108239625412E-3</v>
      </c>
      <c r="Y28">
        <f>SUMXMY2(L17:L23,Y17:Y23)</f>
        <v>3.098912123443607E-3</v>
      </c>
      <c r="Z28">
        <f>SUMXMY2(M17:M23,Z17:Z23)</f>
        <v>1.6157786123657727E-2</v>
      </c>
      <c r="AA28" s="61">
        <f>SUM(W28:Z28)</f>
        <v>2.4699709416321408E-2</v>
      </c>
      <c r="AC28" t="s">
        <v>148</v>
      </c>
      <c r="AD28">
        <f>SUMXMY2(J17:J23,AD17:AD23)</f>
        <v>4.6819911156390998E-3</v>
      </c>
      <c r="AE28">
        <f>SUMXMY2(K17:K23,AE17:AE23)</f>
        <v>3.566850313999718E-3</v>
      </c>
      <c r="AF28">
        <f>SUMXMY2(L17:L23,AF17:AF23)</f>
        <v>3.4363347166990153E-3</v>
      </c>
      <c r="AG28">
        <f>SUMXMY2(M17:M23,AG17:AG23)</f>
        <v>3.2265747079403442E-3</v>
      </c>
      <c r="AH28" s="61">
        <f>SUM(AD28:AG28)</f>
        <v>1.4911750854278177E-2</v>
      </c>
      <c r="AJ28" t="s">
        <v>148</v>
      </c>
      <c r="AK28">
        <f>SUMXMY2(J17:J23,AK17:AK23)</f>
        <v>4.6819911156390998E-3</v>
      </c>
      <c r="AL28">
        <f>SUMXMY2(K17:K23,AL17:AL23)</f>
        <v>3.566850313999718E-3</v>
      </c>
      <c r="AM28">
        <f>SUMXMY2(L17:L23,AM17:AM23)</f>
        <v>3.4363347166990153E-3</v>
      </c>
      <c r="AN28">
        <f>SUMXMY2(M17:M23,AN17:AN23)</f>
        <v>3.2265747079403442E-3</v>
      </c>
      <c r="AO28" s="61">
        <f>SUM(AK28:AN28)</f>
        <v>1.4911750854278177E-2</v>
      </c>
      <c r="AQ28" t="s">
        <v>148</v>
      </c>
      <c r="AR28">
        <f>SUMXMY2(J17:J23,AR17:AR23)</f>
        <v>4.7592982781841653E-3</v>
      </c>
      <c r="AS28">
        <f>SUMXMY2(K17:K23,AS17:AS23)</f>
        <v>3.5622372190123384E-3</v>
      </c>
      <c r="AT28">
        <f>SUMXMY2(L17:L23,AT17:AT23)</f>
        <v>2.7661109489369828E-3</v>
      </c>
      <c r="AU28">
        <f>SUMXMY2(M17:M23,AU17:AU23)</f>
        <v>2.9527035622106327E-3</v>
      </c>
      <c r="AV28" s="299">
        <f>SUMXMY2(N17:N23,AV17:AV23)</f>
        <v>1.8074137974784688E-3</v>
      </c>
      <c r="AX28" t="s">
        <v>148</v>
      </c>
      <c r="AY28">
        <f>SUMXMY2(J17:J23,AY17:AY23)</f>
        <v>4.9123988141963259E-3</v>
      </c>
      <c r="AZ28">
        <f>SUMXMY2(K17:K23,AZ17:AZ23)</f>
        <v>1.735566216489099E-3</v>
      </c>
      <c r="BA28">
        <f>SUMXMY2(L17:L23,BA17:BA23)</f>
        <v>3.1956831020287491E-3</v>
      </c>
      <c r="BB28">
        <f>SUMXMY2(M17:M23,BB17:BB23)</f>
        <v>2.550532168339969E-3</v>
      </c>
      <c r="BC28">
        <f>SUM(AY28:BB28)</f>
        <v>1.2394180301054145E-2</v>
      </c>
      <c r="BE28" t="s">
        <v>148</v>
      </c>
      <c r="BF28">
        <f>SUMXMY2(J17:J23,BF17:BF23)</f>
        <v>2.9185691467958699E-2</v>
      </c>
      <c r="BG28">
        <f>SUMXMY2(K17:K23,BG17:BG23)</f>
        <v>0.14011182580640097</v>
      </c>
      <c r="BH28">
        <f>SUMXMY2(L17:L23,BH17:BH23)</f>
        <v>0.17443196297015837</v>
      </c>
      <c r="BI28">
        <f>SUMXMY2(M17:M23,BI17:BI23)</f>
        <v>0.13541534638314989</v>
      </c>
      <c r="BJ28">
        <f>SUM(BF28:BI28)</f>
        <v>0.47914482662766789</v>
      </c>
      <c r="BL28" t="s">
        <v>148</v>
      </c>
      <c r="BM28">
        <f>SUMXMY2(J17:J23,BM17:BM23)</f>
        <v>1.8488205355112774E-3</v>
      </c>
      <c r="BN28">
        <f t="shared" ref="BN28:BQ28" si="46">SUMXMY2(K17:K23,BN17:BN23)</f>
        <v>1.0655259030861402E-2</v>
      </c>
      <c r="BO28">
        <f t="shared" si="46"/>
        <v>4.2656556828649462E-3</v>
      </c>
      <c r="BP28">
        <f t="shared" si="46"/>
        <v>1.7692225274434599E-2</v>
      </c>
      <c r="BQ28">
        <f t="shared" si="46"/>
        <v>3.2256061221564922E-3</v>
      </c>
      <c r="BT28" t="s">
        <v>148</v>
      </c>
      <c r="BU28">
        <f>SUMXMY2(J17:J23,BU17:BU23)</f>
        <v>1.827143815814031E-3</v>
      </c>
      <c r="BV28">
        <f t="shared" ref="BV28:BY28" si="47">SUMXMY2(K17:K23,BV17:BV23)</f>
        <v>9.7670868331091697E-3</v>
      </c>
      <c r="BW28">
        <f t="shared" si="47"/>
        <v>4.029775272758958E-3</v>
      </c>
      <c r="BX28">
        <f t="shared" si="47"/>
        <v>2.1159724971839877E-2</v>
      </c>
      <c r="BY28">
        <f t="shared" si="47"/>
        <v>3.5393564570598245E-3</v>
      </c>
    </row>
    <row r="29" spans="1:77" ht="15" thickBot="1" x14ac:dyDescent="0.4">
      <c r="H29">
        <f>H17/(24*3600)</f>
        <v>1.3194444444444444E-2</v>
      </c>
      <c r="I29" s="61">
        <f>I17/(24*3600)</f>
        <v>1.3888888888888888E-2</v>
      </c>
      <c r="J29" s="271">
        <f>J7</f>
        <v>1.0916286602324857E-2</v>
      </c>
      <c r="K29" s="271">
        <f>L7</f>
        <v>2.134870994206501E-2</v>
      </c>
      <c r="L29" s="271">
        <f>N7</f>
        <v>2.3072412112816496E-2</v>
      </c>
      <c r="M29" s="271">
        <v>1.4857651330389085E-2</v>
      </c>
      <c r="O29" t="s">
        <v>149</v>
      </c>
      <c r="P29">
        <f>RSQ(J17:J23,P17:P23)</f>
        <v>0.97470514793733865</v>
      </c>
      <c r="Q29">
        <f>RSQ(K17:K23,Q17:Q23)</f>
        <v>0.7839566382003873</v>
      </c>
      <c r="R29">
        <f>RSQ(L17:L23,R17:R23)</f>
        <v>0.86993025781261735</v>
      </c>
      <c r="S29">
        <f>RSQ(M17:M23,S17:S23)</f>
        <v>0.8642787351827752</v>
      </c>
      <c r="T29" s="301">
        <f>RSQ(N17:N23,T17:T23)</f>
        <v>0.9489445825190026</v>
      </c>
      <c r="U29" s="28">
        <f>RSQ(J17:J23,U17:U23)</f>
        <v>0.97052715846514437</v>
      </c>
      <c r="V29" t="s">
        <v>149</v>
      </c>
      <c r="W29">
        <f>RSQ(J17:J23,W17:W23)</f>
        <v>0.98045354167349141</v>
      </c>
      <c r="X29">
        <f>RSQ(K17:K23,X17:X23)</f>
        <v>0.9412922543046216</v>
      </c>
      <c r="Y29">
        <f>RSQ(L17:L23,Y17:Y23)</f>
        <v>0.92305129322748247</v>
      </c>
      <c r="Z29">
        <f>RSQ(M17:M23,Z17:Z23)</f>
        <v>0.86618377954610981</v>
      </c>
      <c r="AA29" s="61">
        <f>AVERAGE(W29:Z29)</f>
        <v>0.92774521718792635</v>
      </c>
      <c r="AC29" t="s">
        <v>149</v>
      </c>
      <c r="AD29">
        <f>RSQ(J17:J23,AD17:AD23)</f>
        <v>0.95134418200359983</v>
      </c>
      <c r="AE29">
        <f>RSQ(K17:K23,AE17:AE23)</f>
        <v>0.94017676995710453</v>
      </c>
      <c r="AF29">
        <f>RSQ(L17:L23,AF17:AF23)</f>
        <v>0.9157220777115368</v>
      </c>
      <c r="AG29">
        <f>RSQ(M17:M23,AG17:AG23)</f>
        <v>0.97279105247693354</v>
      </c>
      <c r="AH29" s="61">
        <f>AVERAGE(AD29:AG29)</f>
        <v>0.94500852053729367</v>
      </c>
      <c r="AJ29" t="s">
        <v>149</v>
      </c>
      <c r="AK29">
        <f>RSQ(J17:J23,AK17:AK23)</f>
        <v>0.95134418200359983</v>
      </c>
      <c r="AL29">
        <f>RSQ(K17:K23,AL17:AL23)</f>
        <v>0.94017676995710453</v>
      </c>
      <c r="AM29">
        <f>RSQ(L17:L23,AM17:AM23)</f>
        <v>0.9157220777115368</v>
      </c>
      <c r="AN29">
        <f>RSQ(M17:M23,AN17:AN23)</f>
        <v>0.97279105247693354</v>
      </c>
      <c r="AO29" s="61">
        <f>AVERAGE(AK29:AN29)</f>
        <v>0.94500852053729367</v>
      </c>
      <c r="AQ29" t="s">
        <v>149</v>
      </c>
      <c r="AR29">
        <f>RSQ(J17:J23,AR17:AR23)</f>
        <v>0.95070993765737777</v>
      </c>
      <c r="AS29">
        <f>RSQ(K17:K23,AS17:AS23)</f>
        <v>0.94028449477310816</v>
      </c>
      <c r="AT29">
        <f>RSQ(L17:L23,AT17:AT23)</f>
        <v>0.93118270330805164</v>
      </c>
      <c r="AU29">
        <f>RSQ(M17:M23,AU17:AU23)</f>
        <v>0.97614400178854444</v>
      </c>
      <c r="AV29" s="301">
        <f>RSQ(N17:N23,AV17:AV23)</f>
        <v>0.97471289964545516</v>
      </c>
      <c r="AX29" t="s">
        <v>149</v>
      </c>
      <c r="AY29">
        <f>RSQ(J17:J23,AY17:AY23)</f>
        <v>0.94915662329559014</v>
      </c>
      <c r="AZ29">
        <f>RSQ(K17:K23,AZ17:AZ23)</f>
        <v>0.97305008660450709</v>
      </c>
      <c r="BA29">
        <f>RSQ(L17:L23,BA17:BA23)</f>
        <v>0.92177579358313511</v>
      </c>
      <c r="BB29">
        <f>RSQ(M17:M23,BB17:BB23)</f>
        <v>0.98110779454071428</v>
      </c>
      <c r="BC29">
        <f>AVERAGE(AY29:BB29)</f>
        <v>0.95627257450598668</v>
      </c>
      <c r="BE29" t="s">
        <v>149</v>
      </c>
      <c r="BF29">
        <f>RSQ(J17:J23,BF17:BF23)</f>
        <v>0.83231764374867379</v>
      </c>
      <c r="BG29">
        <f>RSQ(K17:K23,BG17:BG23)</f>
        <v>0.30618175343926962</v>
      </c>
      <c r="BH29">
        <f>RSQ(L17:L23,BH17:BH23)</f>
        <v>1.4461232571969034E-2</v>
      </c>
      <c r="BI29">
        <f>RSQ(M17:M23,BI17:BI23)</f>
        <v>0.37171942834456495</v>
      </c>
      <c r="BJ29">
        <f>AVERAGE(BF29:BI29)</f>
        <v>0.38117001452611932</v>
      </c>
      <c r="BL29" t="s">
        <v>149</v>
      </c>
      <c r="BM29">
        <f>RSQ(J17:J23,BM17:BM23)</f>
        <v>0.98079688178550128</v>
      </c>
      <c r="BN29">
        <f t="shared" ref="BN29:BQ29" si="48">RSQ(K17:K23,BN17:BN23)</f>
        <v>0.82131741130317448</v>
      </c>
      <c r="BO29">
        <f t="shared" si="48"/>
        <v>0.89383632150513836</v>
      </c>
      <c r="BP29">
        <f t="shared" si="48"/>
        <v>0.85105938181684682</v>
      </c>
      <c r="BQ29">
        <f t="shared" si="48"/>
        <v>0.95483695084101727</v>
      </c>
      <c r="BT29" t="s">
        <v>149</v>
      </c>
      <c r="BU29">
        <f>RSQ(J17:J23,BU17:BU23)</f>
        <v>0.98104315568545741</v>
      </c>
      <c r="BV29">
        <f t="shared" ref="BV29:BY29" si="49">RSQ(K17:K23,BV17:BV23)</f>
        <v>0.83619719610394561</v>
      </c>
      <c r="BW29">
        <f t="shared" si="49"/>
        <v>0.89967260531728654</v>
      </c>
      <c r="BX29">
        <f t="shared" si="49"/>
        <v>0.82158942184901118</v>
      </c>
      <c r="BY29">
        <f t="shared" si="49"/>
        <v>0.95206023003687379</v>
      </c>
    </row>
    <row r="30" spans="1:77" x14ac:dyDescent="0.35">
      <c r="A30" s="1"/>
      <c r="B30" s="124" t="s">
        <v>165</v>
      </c>
      <c r="H30">
        <f t="shared" ref="H30:I35" si="50">H18/(24*3600)</f>
        <v>4.3749999999999997E-2</v>
      </c>
      <c r="I30" s="61">
        <f t="shared" si="50"/>
        <v>4.1666666666666664E-2</v>
      </c>
      <c r="J30" s="271">
        <v>1.2999999999999999E-2</v>
      </c>
      <c r="K30" s="271">
        <f t="shared" ref="K30:K35" si="51">L8</f>
        <v>1.9687331736456839E-2</v>
      </c>
      <c r="L30" s="271">
        <f t="shared" ref="L30:L35" si="52">N8</f>
        <v>3.7360242398613762E-2</v>
      </c>
      <c r="M30" s="271">
        <v>1.4966561096825315E-2</v>
      </c>
      <c r="P30" s="61">
        <f>SUM(P28:S28)</f>
        <v>3.6891547493116905E-2</v>
      </c>
      <c r="U30" s="28">
        <f>U28/U29</f>
        <v>2.9305943922828689E-3</v>
      </c>
      <c r="AU30" s="61">
        <f>SUM(AR28:AU28)</f>
        <v>1.4040350008344121E-2</v>
      </c>
      <c r="BM30">
        <f>SUM(BM28:BP28)</f>
        <v>3.4461960523672223E-2</v>
      </c>
      <c r="BU30">
        <f>SUM(BU28:BX28)</f>
        <v>3.6783730893522035E-2</v>
      </c>
    </row>
    <row r="31" spans="1:77" x14ac:dyDescent="0.35">
      <c r="A31" s="26" t="s">
        <v>163</v>
      </c>
      <c r="C31" s="26" t="s">
        <v>161</v>
      </c>
      <c r="D31" s="26" t="s">
        <v>162</v>
      </c>
      <c r="E31" s="26" t="s">
        <v>123</v>
      </c>
      <c r="F31" s="26" t="s">
        <v>116</v>
      </c>
      <c r="G31" s="26" t="s">
        <v>160</v>
      </c>
      <c r="H31">
        <f t="shared" si="50"/>
        <v>0.36458333333333331</v>
      </c>
      <c r="I31" s="61">
        <f t="shared" si="50"/>
        <v>0.375</v>
      </c>
      <c r="J31" s="271">
        <v>1.0999999999999999E-2</v>
      </c>
      <c r="K31" s="271">
        <f t="shared" si="51"/>
        <v>2.352107350538464E-2</v>
      </c>
      <c r="L31" s="271">
        <f t="shared" si="52"/>
        <v>2.941653637365934E-2</v>
      </c>
      <c r="M31" s="271">
        <v>1.8164261923614457E-2</v>
      </c>
      <c r="P31" s="61">
        <f>AVERAGE(P29:S29)</f>
        <v>0.8732176947832796</v>
      </c>
      <c r="V31" s="385" t="s">
        <v>154</v>
      </c>
      <c r="W31" s="385"/>
      <c r="X31" s="385"/>
      <c r="Y31" s="385"/>
      <c r="Z31" s="385"/>
      <c r="AC31" s="385" t="s">
        <v>158</v>
      </c>
      <c r="AD31" s="385"/>
      <c r="AE31" s="385"/>
      <c r="AF31" s="385"/>
      <c r="AG31" s="385"/>
      <c r="AU31" s="61">
        <f>AVERAGE(AR29:AU29)</f>
        <v>0.94958028438177056</v>
      </c>
      <c r="BM31">
        <f>AVERAGE(BM29:BP29)</f>
        <v>0.88675249910266518</v>
      </c>
      <c r="BU31">
        <f>AVERAGE(BU29:BX29)</f>
        <v>0.88462559473892521</v>
      </c>
    </row>
    <row r="32" spans="1:77" x14ac:dyDescent="0.35">
      <c r="A32" s="14">
        <v>0.25</v>
      </c>
      <c r="B32">
        <f>A32*3600</f>
        <v>900</v>
      </c>
      <c r="C32" s="14">
        <v>0.41699999999999998</v>
      </c>
      <c r="D32">
        <f>1-C32</f>
        <v>0.58299999999999996</v>
      </c>
      <c r="E32" s="14">
        <v>3.7999999999999999E-2</v>
      </c>
      <c r="F32" s="14">
        <v>12</v>
      </c>
      <c r="G32" s="270">
        <f>E32/SQRT(F32)</f>
        <v>1.096965511460289E-2</v>
      </c>
      <c r="H32">
        <f t="shared" si="50"/>
        <v>1</v>
      </c>
      <c r="I32" s="61">
        <f t="shared" si="50"/>
        <v>1</v>
      </c>
      <c r="J32" s="271">
        <v>1.2E-2</v>
      </c>
      <c r="K32" s="271">
        <f t="shared" si="51"/>
        <v>3.0564765488616304E-2</v>
      </c>
      <c r="L32" s="271">
        <f t="shared" si="52"/>
        <v>2.9354476170339386E-2</v>
      </c>
      <c r="M32" s="271">
        <v>1.8940863010474297E-2</v>
      </c>
      <c r="V32" t="s">
        <v>146</v>
      </c>
      <c r="W32">
        <v>1.6532957439504687</v>
      </c>
      <c r="X32">
        <v>2.1697524836582258</v>
      </c>
      <c r="Y32">
        <v>1.2729927474428457</v>
      </c>
      <c r="Z32">
        <v>2.3513527183798875</v>
      </c>
      <c r="AC32" t="s">
        <v>146</v>
      </c>
      <c r="AD32">
        <v>0.51463208120539461</v>
      </c>
      <c r="AE32">
        <v>0.51539034108630866</v>
      </c>
      <c r="AF32">
        <v>0.50910626130740833</v>
      </c>
      <c r="AG32">
        <v>0.51143827896854244</v>
      </c>
    </row>
    <row r="33" spans="1:48" x14ac:dyDescent="0.35">
      <c r="A33" s="14">
        <v>1.05</v>
      </c>
      <c r="B33">
        <f t="shared" ref="B33:B38" si="53">A33*3600</f>
        <v>3780</v>
      </c>
      <c r="C33" s="14">
        <v>0.55600000000000005</v>
      </c>
      <c r="D33">
        <f t="shared" ref="D33:D38" si="54">1-C33</f>
        <v>0.44399999999999995</v>
      </c>
      <c r="E33" s="14">
        <v>0.04</v>
      </c>
      <c r="F33" s="14">
        <v>12</v>
      </c>
      <c r="G33" s="270">
        <f t="shared" ref="G33:G38" si="55">E33/SQRT(F33)</f>
        <v>1.1547005383792516E-2</v>
      </c>
      <c r="H33">
        <f t="shared" si="50"/>
        <v>2</v>
      </c>
      <c r="I33" s="61">
        <f t="shared" si="50"/>
        <v>2</v>
      </c>
      <c r="J33" s="271">
        <v>1.2E-2</v>
      </c>
      <c r="K33" s="271">
        <f t="shared" si="51"/>
        <v>2.2845351917566235E-2</v>
      </c>
      <c r="L33" s="271">
        <f t="shared" si="52"/>
        <v>2.9231138035169892E-2</v>
      </c>
      <c r="M33" s="271">
        <v>1.5583721649750108E-2</v>
      </c>
      <c r="V33" t="s">
        <v>147</v>
      </c>
      <c r="W33">
        <v>0.15190773101599145</v>
      </c>
      <c r="X33">
        <v>0.19584701506821603</v>
      </c>
      <c r="Y33">
        <v>0.15508024184644462</v>
      </c>
      <c r="Z33">
        <v>0.22122617432574829</v>
      </c>
      <c r="AC33" t="s">
        <v>147</v>
      </c>
      <c r="AD33">
        <v>2.3256659178743181E-5</v>
      </c>
      <c r="AE33">
        <v>2.3238363297911658E-5</v>
      </c>
      <c r="AF33">
        <v>2.3261158758970942E-5</v>
      </c>
      <c r="AG33">
        <v>2.32516463320437E-5</v>
      </c>
    </row>
    <row r="34" spans="1:48" ht="15" thickBot="1" x14ac:dyDescent="0.4">
      <c r="A34" s="14">
        <v>6.75</v>
      </c>
      <c r="B34">
        <f t="shared" si="53"/>
        <v>24300</v>
      </c>
      <c r="C34" s="14">
        <v>0.64400000000000002</v>
      </c>
      <c r="D34">
        <f t="shared" si="54"/>
        <v>0.35599999999999998</v>
      </c>
      <c r="E34" s="14">
        <v>3.7999999999999999E-2</v>
      </c>
      <c r="F34" s="14">
        <v>12</v>
      </c>
      <c r="G34" s="270">
        <f t="shared" si="55"/>
        <v>1.096965511460289E-2</v>
      </c>
      <c r="H34">
        <f t="shared" si="50"/>
        <v>6</v>
      </c>
      <c r="I34" s="61">
        <f t="shared" si="50"/>
        <v>6</v>
      </c>
      <c r="J34" s="271">
        <v>1.4E-2</v>
      </c>
      <c r="K34" s="271">
        <f t="shared" si="51"/>
        <v>1.7996702131039554E-2</v>
      </c>
      <c r="L34" s="271">
        <f t="shared" si="52"/>
        <v>4.1427218255480951E-2</v>
      </c>
      <c r="M34" s="271">
        <v>2.8937431318601426E-2</v>
      </c>
      <c r="V34" t="s">
        <v>153</v>
      </c>
      <c r="W34">
        <v>4.3780675251226066E-2</v>
      </c>
      <c r="X34">
        <v>0.21475740384155698</v>
      </c>
      <c r="Y34">
        <v>7.6602492678646814E-2</v>
      </c>
      <c r="Z34">
        <v>0</v>
      </c>
      <c r="AC34" t="s">
        <v>150</v>
      </c>
      <c r="AD34">
        <v>0.29839126208390498</v>
      </c>
      <c r="AE34">
        <v>0.29895587974784943</v>
      </c>
      <c r="AF34">
        <v>0.2973776484848708</v>
      </c>
      <c r="AG34">
        <v>0.29850866532126202</v>
      </c>
      <c r="AQ34" s="385" t="s">
        <v>157</v>
      </c>
      <c r="AR34" s="385"/>
      <c r="AS34" s="385"/>
      <c r="AT34" s="385"/>
      <c r="AU34" s="385"/>
    </row>
    <row r="35" spans="1:48" x14ac:dyDescent="0.35">
      <c r="A35" s="14">
        <v>24</v>
      </c>
      <c r="B35">
        <f t="shared" si="53"/>
        <v>86400</v>
      </c>
      <c r="C35" s="14">
        <v>0.67200000000000004</v>
      </c>
      <c r="D35">
        <f t="shared" si="54"/>
        <v>0.32799999999999996</v>
      </c>
      <c r="E35" s="14">
        <v>5.8000000000000003E-2</v>
      </c>
      <c r="F35" s="14">
        <v>25</v>
      </c>
      <c r="G35" s="270">
        <f t="shared" si="55"/>
        <v>1.1600000000000001E-2</v>
      </c>
      <c r="H35">
        <f t="shared" si="50"/>
        <v>31</v>
      </c>
      <c r="I35" s="61">
        <f t="shared" si="50"/>
        <v>31</v>
      </c>
      <c r="J35" s="271">
        <v>0.01</v>
      </c>
      <c r="K35" s="271">
        <f t="shared" si="51"/>
        <v>2.7240594076356824E-2</v>
      </c>
      <c r="L35" s="271">
        <f t="shared" si="52"/>
        <v>4.5719677014482596E-2</v>
      </c>
      <c r="M35" s="271">
        <v>4.1037183868082971E-2</v>
      </c>
      <c r="V35" t="s">
        <v>151</v>
      </c>
      <c r="W35">
        <v>0.15637734327371647</v>
      </c>
      <c r="X35">
        <v>0.24536190196343249</v>
      </c>
      <c r="Y35">
        <v>0.16123455343725537</v>
      </c>
      <c r="Z35">
        <v>0.19546806555668086</v>
      </c>
      <c r="AC35" t="s">
        <v>151</v>
      </c>
      <c r="AD35">
        <v>1.5137681050328211E-7</v>
      </c>
      <c r="AE35">
        <v>0</v>
      </c>
      <c r="AF35">
        <v>1.9354728309319604E-7</v>
      </c>
      <c r="AG35">
        <v>9.8412680046916736E-7</v>
      </c>
      <c r="AQ35" t="s">
        <v>146</v>
      </c>
      <c r="AR35">
        <v>1</v>
      </c>
      <c r="AS35">
        <v>1</v>
      </c>
      <c r="AT35">
        <v>1</v>
      </c>
      <c r="AU35">
        <v>1</v>
      </c>
      <c r="AV35" s="298">
        <v>1</v>
      </c>
    </row>
    <row r="36" spans="1:48" x14ac:dyDescent="0.35">
      <c r="A36" s="14">
        <f>2*24</f>
        <v>48</v>
      </c>
      <c r="B36">
        <f t="shared" si="53"/>
        <v>172800</v>
      </c>
      <c r="C36" s="14">
        <v>0.71799999999999997</v>
      </c>
      <c r="D36">
        <f t="shared" si="54"/>
        <v>0.28200000000000003</v>
      </c>
      <c r="E36" s="14">
        <v>6.0999999999999999E-2</v>
      </c>
      <c r="F36" s="14">
        <v>25</v>
      </c>
      <c r="G36" s="270">
        <f t="shared" si="55"/>
        <v>1.2199999999999999E-2</v>
      </c>
      <c r="H36" s="270"/>
      <c r="AQ36" t="s">
        <v>147</v>
      </c>
      <c r="AR36">
        <v>3.0599898055375064E-4</v>
      </c>
      <c r="AS36">
        <v>6.9733265608601792E-4</v>
      </c>
      <c r="AT36">
        <v>4.6043602021561363E-4</v>
      </c>
      <c r="AU36">
        <v>3.8144263205525401E-4</v>
      </c>
      <c r="AV36" s="299">
        <v>9.6637514111032167E-4</v>
      </c>
    </row>
    <row r="37" spans="1:48" x14ac:dyDescent="0.35">
      <c r="A37" s="14">
        <f>6*24</f>
        <v>144</v>
      </c>
      <c r="B37">
        <f t="shared" si="53"/>
        <v>518400</v>
      </c>
      <c r="C37" s="14">
        <v>0.749</v>
      </c>
      <c r="D37">
        <f t="shared" si="54"/>
        <v>0.251</v>
      </c>
      <c r="E37" s="14">
        <v>6.8000000000000005E-2</v>
      </c>
      <c r="F37" s="14">
        <v>25</v>
      </c>
      <c r="G37" s="270">
        <f t="shared" si="55"/>
        <v>1.3600000000000001E-2</v>
      </c>
      <c r="H37" s="270"/>
      <c r="AQ37" t="s">
        <v>150</v>
      </c>
      <c r="AR37">
        <v>1.4096672127612462E-4</v>
      </c>
      <c r="AS37">
        <v>3.9209908585471068E-4</v>
      </c>
      <c r="AT37">
        <v>1.4360847695587539E-4</v>
      </c>
      <c r="AU37">
        <v>1.7998855361296055E-4</v>
      </c>
      <c r="AV37" s="299">
        <v>3.0147625312764375E-4</v>
      </c>
    </row>
    <row r="38" spans="1:48" x14ac:dyDescent="0.35">
      <c r="A38" s="14">
        <f>31*24</f>
        <v>744</v>
      </c>
      <c r="B38">
        <f t="shared" si="53"/>
        <v>2678400</v>
      </c>
      <c r="C38" s="14">
        <v>0.78700000000000003</v>
      </c>
      <c r="D38">
        <f t="shared" si="54"/>
        <v>0.21299999999999997</v>
      </c>
      <c r="E38" s="14">
        <v>6.5000000000000002E-2</v>
      </c>
      <c r="F38" s="14">
        <v>46</v>
      </c>
      <c r="G38" s="270">
        <f t="shared" si="55"/>
        <v>9.5837271500683139E-3</v>
      </c>
      <c r="H38" s="270"/>
      <c r="V38" s="61" t="str">
        <f>I16</f>
        <v>Interval s</v>
      </c>
      <c r="W38" s="61" t="str">
        <f>J16</f>
        <v>Ebbinghaus</v>
      </c>
      <c r="X38" s="61" t="str">
        <f>K16</f>
        <v>Mack</v>
      </c>
      <c r="Y38" s="61" t="str">
        <f>L16</f>
        <v>Seitz</v>
      </c>
      <c r="Z38" s="61" t="str">
        <f>M16</f>
        <v>Dros</v>
      </c>
      <c r="AC38" s="61" t="str">
        <f>I16</f>
        <v>Interval s</v>
      </c>
      <c r="AD38" s="61" t="str">
        <f>J16</f>
        <v>Ebbinghaus</v>
      </c>
      <c r="AE38" s="61" t="str">
        <f>K16</f>
        <v>Mack</v>
      </c>
      <c r="AF38" s="61" t="str">
        <f>L16</f>
        <v>Seitz</v>
      </c>
      <c r="AG38" s="61" t="str">
        <f>M16</f>
        <v>Dros</v>
      </c>
      <c r="AQ38" t="s">
        <v>151</v>
      </c>
      <c r="AR38" s="265">
        <v>1.6468671598552619E-6</v>
      </c>
      <c r="AS38">
        <v>0</v>
      </c>
      <c r="AT38">
        <v>38701.60008382619</v>
      </c>
      <c r="AU38" s="265">
        <v>3.3985688417895769E-6</v>
      </c>
      <c r="AV38" s="299">
        <v>2.4166793605691828E-7</v>
      </c>
    </row>
    <row r="39" spans="1:48" ht="21" x14ac:dyDescent="0.5">
      <c r="A39" s="260"/>
      <c r="B39" s="260"/>
      <c r="C39" s="260"/>
      <c r="D39" s="260"/>
      <c r="E39" s="260"/>
      <c r="I39" s="262" t="s">
        <v>166</v>
      </c>
      <c r="V39" s="61">
        <f t="shared" ref="V39:V45" si="56">I17</f>
        <v>1200</v>
      </c>
      <c r="W39">
        <f>W$32*(1+$V39)^-W$33</f>
        <v>0.56304636227203053</v>
      </c>
      <c r="X39">
        <f t="shared" ref="W39:Z41" si="57">X$32*(1+$V39)^-X$33</f>
        <v>0.54111663896047268</v>
      </c>
      <c r="Y39">
        <f t="shared" si="57"/>
        <v>0.42388656802829916</v>
      </c>
      <c r="Z39">
        <f t="shared" si="57"/>
        <v>0.48982648392112005</v>
      </c>
      <c r="AC39" s="61">
        <f t="shared" ref="AC39:AC45" si="58">I17</f>
        <v>1200</v>
      </c>
      <c r="AD39">
        <f>AD$32*EXP(-$AC39*AD$33)</f>
        <v>0.50046829440855733</v>
      </c>
      <c r="AE39">
        <f>AE$32*EXP(-$AC39*AE$33)</f>
        <v>0.50121668945942743</v>
      </c>
      <c r="AF39">
        <f>AF$32*EXP(-$AC39*AF$33)</f>
        <v>0.49509188375933744</v>
      </c>
      <c r="AG39">
        <f>AG$32*EXP(-$AC39*AG$33)</f>
        <v>0.49736538436055389</v>
      </c>
      <c r="AV39" s="299"/>
    </row>
    <row r="40" spans="1:48" ht="15.5" x14ac:dyDescent="0.35">
      <c r="A40" s="303"/>
      <c r="B40" s="303" t="s">
        <v>62</v>
      </c>
      <c r="C40" s="303" t="s">
        <v>24</v>
      </c>
      <c r="D40" s="303" t="s">
        <v>25</v>
      </c>
      <c r="E40" s="303" t="s">
        <v>254</v>
      </c>
      <c r="I40" s="61" t="str">
        <f>I16</f>
        <v>Interval s</v>
      </c>
      <c r="J40" s="61" t="str">
        <f>J16</f>
        <v>Ebbinghaus</v>
      </c>
      <c r="K40" s="61" t="str">
        <f>K16</f>
        <v>Mack</v>
      </c>
      <c r="L40" s="61" t="str">
        <f>L16</f>
        <v>Seitz</v>
      </c>
      <c r="M40" s="61" t="str">
        <f>M16</f>
        <v>Dros</v>
      </c>
      <c r="V40" s="61">
        <f t="shared" si="56"/>
        <v>3600</v>
      </c>
      <c r="W40">
        <f>W$32*(1+$V40)^-W$33</f>
        <v>0.47654331418045209</v>
      </c>
      <c r="X40">
        <f t="shared" si="57"/>
        <v>0.43641065112721339</v>
      </c>
      <c r="Y40">
        <f t="shared" si="57"/>
        <v>0.35751557929677141</v>
      </c>
      <c r="Z40">
        <f>Z$32*(1+$V40)^-Z$33</f>
        <v>0.38418809194875281</v>
      </c>
      <c r="AC40" s="61">
        <f t="shared" si="58"/>
        <v>3600</v>
      </c>
      <c r="AD40">
        <f t="shared" ref="AD40:AG41" si="59">AD$32*EXP(-$AC40*AD$33)</f>
        <v>0.47329944622629883</v>
      </c>
      <c r="AE40">
        <f t="shared" si="59"/>
        <v>0.47402802743361722</v>
      </c>
      <c r="AF40">
        <f t="shared" si="59"/>
        <v>0.4682098477638223</v>
      </c>
      <c r="AG40">
        <f t="shared" si="59"/>
        <v>0.47037064231272097</v>
      </c>
      <c r="AR40" s="26" t="s">
        <v>62</v>
      </c>
      <c r="AS40" s="26" t="s">
        <v>24</v>
      </c>
      <c r="AT40" s="26" t="s">
        <v>25</v>
      </c>
      <c r="AU40" s="26" t="s">
        <v>254</v>
      </c>
      <c r="AV40" s="300" t="s">
        <v>167</v>
      </c>
    </row>
    <row r="41" spans="1:48" ht="15.5" x14ac:dyDescent="0.35">
      <c r="A41" s="303" t="s">
        <v>133</v>
      </c>
      <c r="B41" s="303">
        <v>0.58200000000000007</v>
      </c>
      <c r="C41" s="303">
        <v>0.54430379746835433</v>
      </c>
      <c r="D41" s="303">
        <v>0.44206008583690987</v>
      </c>
      <c r="E41" s="303">
        <v>0.47167729999999997</v>
      </c>
      <c r="I41" s="61">
        <f>I29</f>
        <v>1.3888888888888888E-2</v>
      </c>
      <c r="J41">
        <f>J17/J$17</f>
        <v>1</v>
      </c>
      <c r="K41">
        <f>K17/K$17</f>
        <v>1</v>
      </c>
      <c r="L41">
        <f>L17/L$17</f>
        <v>1</v>
      </c>
      <c r="M41">
        <f>M17/M$17</f>
        <v>1</v>
      </c>
      <c r="V41" s="61">
        <f t="shared" si="56"/>
        <v>32400</v>
      </c>
      <c r="W41">
        <f t="shared" si="57"/>
        <v>0.34132009154441517</v>
      </c>
      <c r="X41">
        <f t="shared" si="57"/>
        <v>0.28381202504667941</v>
      </c>
      <c r="Y41">
        <f t="shared" si="57"/>
        <v>0.25428892137558973</v>
      </c>
      <c r="Z41">
        <f t="shared" si="57"/>
        <v>0.23630025973972946</v>
      </c>
      <c r="AC41" s="61">
        <f t="shared" si="58"/>
        <v>32400</v>
      </c>
      <c r="AD41">
        <f t="shared" si="59"/>
        <v>0.24224181978343079</v>
      </c>
      <c r="AE41">
        <f t="shared" si="59"/>
        <v>0.24274259123801434</v>
      </c>
      <c r="AF41">
        <f t="shared" si="59"/>
        <v>0.23960583422986681</v>
      </c>
      <c r="AG41">
        <f t="shared" si="59"/>
        <v>0.24077757215950463</v>
      </c>
      <c r="AQ41" s="26" t="s">
        <v>142</v>
      </c>
      <c r="AR41" s="26" t="s">
        <v>213</v>
      </c>
      <c r="AS41" s="26" t="s">
        <v>213</v>
      </c>
      <c r="AT41" s="26" t="s">
        <v>213</v>
      </c>
      <c r="AU41" s="26" t="s">
        <v>213</v>
      </c>
      <c r="AV41" s="300" t="s">
        <v>213</v>
      </c>
    </row>
    <row r="42" spans="1:48" ht="15.5" x14ac:dyDescent="0.35">
      <c r="A42" s="303" t="s">
        <v>43</v>
      </c>
      <c r="B42" s="303">
        <v>0.442</v>
      </c>
      <c r="C42" s="303">
        <v>0.43190661478599224</v>
      </c>
      <c r="D42" s="303">
        <v>0.32489451476793252</v>
      </c>
      <c r="E42" s="303">
        <v>0.37290899999999999</v>
      </c>
      <c r="I42" s="61">
        <f t="shared" ref="I42:I47" si="60">I30</f>
        <v>4.1666666666666664E-2</v>
      </c>
      <c r="J42">
        <f t="shared" ref="J42:M43" si="61">J18/J$17</f>
        <v>0.75945017182130581</v>
      </c>
      <c r="K42">
        <f t="shared" si="61"/>
        <v>0.79350285042077662</v>
      </c>
      <c r="L42">
        <f t="shared" si="61"/>
        <v>0.73495555282454639</v>
      </c>
      <c r="M42">
        <f t="shared" si="61"/>
        <v>0.79060196452108256</v>
      </c>
      <c r="V42" s="61">
        <f t="shared" si="56"/>
        <v>86400</v>
      </c>
      <c r="W42">
        <f>(W$32)*(1+$V42)^-W$35+W$34</f>
        <v>0.32328649668902509</v>
      </c>
      <c r="X42">
        <f t="shared" ref="W42:Z45" si="62">(X$32)*(1+$V42)^-X$35+X$34</f>
        <v>0.34816377162634166</v>
      </c>
      <c r="Y42">
        <f t="shared" si="62"/>
        <v>0.28025442262751726</v>
      </c>
      <c r="Z42">
        <f t="shared" si="62"/>
        <v>0.2549094915281373</v>
      </c>
      <c r="AC42" s="61">
        <f t="shared" si="58"/>
        <v>86400</v>
      </c>
      <c r="AD42">
        <f>AD$34*EXP(-$AC42*AD$35)</f>
        <v>0.2945140261383139</v>
      </c>
      <c r="AE42">
        <f>AE$34*EXP(-$AC42*AE$35)</f>
        <v>0.29895587974784943</v>
      </c>
      <c r="AF42">
        <f>AF$34*EXP(-$AC42*AF$35)</f>
        <v>0.29244610390394493</v>
      </c>
      <c r="AG42">
        <f>AG$34*EXP(-$AC42*AG$35)</f>
        <v>0.27417604673537699</v>
      </c>
      <c r="AQ42" s="91">
        <f>20*60</f>
        <v>1200</v>
      </c>
      <c r="AR42">
        <f t="shared" ref="AR42:AR48" si="63">AR$35*EXP(-$AQ42*AR$36) + (AR$35* AR$37/(AR$36-AR$38))*(EXP(-$I17*AR$38)-EXP(-$I17*AR$36) )</f>
        <v>0.83410260115173285</v>
      </c>
      <c r="AS42">
        <f t="shared" ref="AS42:AV42" si="64">AS$35*EXP(-$AQ42*AS$36) + (AS$35* AS$37/(AS$36-AS$38))*(EXP(-$I17*AS$38)-EXP(-$I17*AS$36) )</f>
        <v>0.7518564929143059</v>
      </c>
      <c r="AT42">
        <f t="shared" si="64"/>
        <v>0.57549587383639866</v>
      </c>
      <c r="AU42">
        <f t="shared" si="64"/>
        <v>0.80564471568143448</v>
      </c>
      <c r="AV42">
        <f t="shared" si="64"/>
        <v>0.52769374901394062</v>
      </c>
    </row>
    <row r="43" spans="1:48" ht="15.5" x14ac:dyDescent="0.35">
      <c r="A43" s="303" t="s">
        <v>44</v>
      </c>
      <c r="B43" s="303">
        <v>0.35799999999999998</v>
      </c>
      <c r="C43" s="303">
        <v>0.2851239669421487</v>
      </c>
      <c r="D43" s="303">
        <v>0.26976744186046514</v>
      </c>
      <c r="E43" s="303">
        <v>0.27644489999999999</v>
      </c>
      <c r="I43" s="61">
        <f t="shared" si="60"/>
        <v>0.375</v>
      </c>
      <c r="J43">
        <f t="shared" si="61"/>
        <v>0.61512027491408927</v>
      </c>
      <c r="K43">
        <f t="shared" si="61"/>
        <v>0.52383240438208722</v>
      </c>
      <c r="L43">
        <f t="shared" si="61"/>
        <v>0.61025062090765414</v>
      </c>
      <c r="M43">
        <f t="shared" si="61"/>
        <v>0.58608904859318012</v>
      </c>
      <c r="V43" s="61">
        <f t="shared" si="56"/>
        <v>172800</v>
      </c>
      <c r="W43">
        <f t="shared" si="62"/>
        <v>0.29457458139230119</v>
      </c>
      <c r="X43">
        <f t="shared" si="62"/>
        <v>0.32729972918946371</v>
      </c>
      <c r="Y43">
        <f t="shared" si="62"/>
        <v>0.25872033590147558</v>
      </c>
      <c r="Z43">
        <f>(Z$32)*(1+$V43)^-Z$35+Z$34</f>
        <v>0.22261003965775431</v>
      </c>
      <c r="AC43" s="61">
        <f t="shared" si="58"/>
        <v>172800</v>
      </c>
      <c r="AD43">
        <f t="shared" ref="AD43:AG45" si="65">AD$34*EXP(-$AC43*AD$35)</f>
        <v>0.29068717021549162</v>
      </c>
      <c r="AE43">
        <f t="shared" si="65"/>
        <v>0.29895587974784943</v>
      </c>
      <c r="AF43">
        <f t="shared" si="65"/>
        <v>0.28759634129983391</v>
      </c>
      <c r="AG43">
        <f t="shared" si="65"/>
        <v>0.25182687585480046</v>
      </c>
      <c r="AQ43" s="61">
        <f>3600</f>
        <v>3600</v>
      </c>
      <c r="AR43">
        <f t="shared" si="63"/>
        <v>0.63884217059047699</v>
      </c>
      <c r="AS43">
        <f t="shared" ref="AS43:AV48" si="66">AS$35*EXP(-$AQ43*AS$36) + (AS$35* AS$37/(AS$36-AS$38))*(EXP(-$I18*AS$38)-EXP(-$I18*AS$36) )</f>
        <v>0.59784238863198391</v>
      </c>
      <c r="AT43">
        <f t="shared" si="66"/>
        <v>0.19060164273062938</v>
      </c>
      <c r="AU43">
        <f t="shared" si="66"/>
        <v>0.60301610477743739</v>
      </c>
      <c r="AV43">
        <f t="shared" si="66"/>
        <v>0.33298913622532678</v>
      </c>
    </row>
    <row r="44" spans="1:48" ht="15.5" x14ac:dyDescent="0.35">
      <c r="A44" s="303" t="s">
        <v>45</v>
      </c>
      <c r="B44" s="303">
        <v>0.33700000000000002</v>
      </c>
      <c r="C44" s="303">
        <v>0.31598513011152418</v>
      </c>
      <c r="D44" s="303">
        <v>0.27004219409282693</v>
      </c>
      <c r="E44" s="303">
        <v>0.31678010000000001</v>
      </c>
      <c r="I44" s="61">
        <f t="shared" si="60"/>
        <v>1</v>
      </c>
      <c r="J44">
        <f t="shared" ref="J44:M47" si="67">J20/J$17</f>
        <v>0.57903780068728516</v>
      </c>
      <c r="K44">
        <f t="shared" si="67"/>
        <v>0.58053082043745152</v>
      </c>
      <c r="L44">
        <f t="shared" si="67"/>
        <v>0.6108721478022201</v>
      </c>
      <c r="M44">
        <f t="shared" si="67"/>
        <v>0.67160344583044385</v>
      </c>
      <c r="V44" s="61">
        <f t="shared" si="56"/>
        <v>518400</v>
      </c>
      <c r="W44">
        <f t="shared" si="62"/>
        <v>0.25498669269188351</v>
      </c>
      <c r="X44">
        <f t="shared" si="62"/>
        <v>0.30070800466131381</v>
      </c>
      <c r="Y44">
        <f t="shared" si="62"/>
        <v>0.2291567514609561</v>
      </c>
      <c r="Z44">
        <f>(Z$32)*(1+$V44)^-Z$35+Z$34</f>
        <v>0.17959039506890304</v>
      </c>
      <c r="AC44" s="61">
        <f t="shared" si="58"/>
        <v>518400</v>
      </c>
      <c r="AD44">
        <f t="shared" si="65"/>
        <v>0.2758705811243799</v>
      </c>
      <c r="AE44">
        <f t="shared" si="65"/>
        <v>0.29895587974784943</v>
      </c>
      <c r="AF44">
        <f t="shared" si="65"/>
        <v>0.26898832125224764</v>
      </c>
      <c r="AG44">
        <f t="shared" si="65"/>
        <v>0.17922242435114211</v>
      </c>
      <c r="AQ44" s="61">
        <f>9*3600</f>
        <v>32400</v>
      </c>
      <c r="AR44">
        <f t="shared" si="63"/>
        <v>0.43913012964620862</v>
      </c>
      <c r="AS44">
        <f t="shared" si="66"/>
        <v>0.56228413007718536</v>
      </c>
      <c r="AT44">
        <f t="shared" si="66"/>
        <v>3.320012671649792E-7</v>
      </c>
      <c r="AU44">
        <f t="shared" si="66"/>
        <v>0.42646462495060139</v>
      </c>
      <c r="AV44">
        <f t="shared" si="66"/>
        <v>0.30961032567863217</v>
      </c>
    </row>
    <row r="45" spans="1:48" ht="15.5" x14ac:dyDescent="0.35">
      <c r="A45" s="303" t="s">
        <v>46</v>
      </c>
      <c r="B45" s="303">
        <v>0.27800000000000002</v>
      </c>
      <c r="C45" s="303">
        <v>0.36501901140684417</v>
      </c>
      <c r="D45" s="303">
        <v>0.28571428571428575</v>
      </c>
      <c r="E45" s="303">
        <v>0.23000399999999999</v>
      </c>
      <c r="I45" s="61">
        <f t="shared" si="60"/>
        <v>2</v>
      </c>
      <c r="J45">
        <f t="shared" si="67"/>
        <v>0.4776632302405498</v>
      </c>
      <c r="K45">
        <f t="shared" si="67"/>
        <v>0.67061632328234178</v>
      </c>
      <c r="L45">
        <f t="shared" si="67"/>
        <v>0.64632454923717064</v>
      </c>
      <c r="M45">
        <f t="shared" si="67"/>
        <v>0.48762999618595171</v>
      </c>
      <c r="V45" s="61">
        <f t="shared" si="56"/>
        <v>2678400</v>
      </c>
      <c r="W45">
        <f t="shared" si="62"/>
        <v>0.2071522287499227</v>
      </c>
      <c r="X45">
        <f t="shared" si="62"/>
        <v>0.27220269192652846</v>
      </c>
      <c r="Y45">
        <f t="shared" si="62"/>
        <v>0.19366835747147071</v>
      </c>
      <c r="Z45">
        <f t="shared" si="62"/>
        <v>0.13027868677438098</v>
      </c>
      <c r="AC45" s="61">
        <f t="shared" si="58"/>
        <v>2678400</v>
      </c>
      <c r="AD45">
        <f t="shared" si="65"/>
        <v>0.19893098113300667</v>
      </c>
      <c r="AE45">
        <f t="shared" si="65"/>
        <v>0.29895587974784943</v>
      </c>
      <c r="AF45">
        <f t="shared" si="65"/>
        <v>0.17708074796890005</v>
      </c>
      <c r="AG45">
        <f t="shared" si="65"/>
        <v>2.138979073179488E-2</v>
      </c>
      <c r="AQ45" s="61">
        <f>24*3600</f>
        <v>86400</v>
      </c>
      <c r="AR45">
        <f t="shared" si="63"/>
        <v>0.40173975393306677</v>
      </c>
      <c r="AS45">
        <f t="shared" si="66"/>
        <v>0.56228413000974409</v>
      </c>
      <c r="AT45">
        <f t="shared" si="66"/>
        <v>5.2849308285348705E-18</v>
      </c>
      <c r="AU45">
        <f t="shared" si="66"/>
        <v>0.35495869504033223</v>
      </c>
      <c r="AV45">
        <f t="shared" si="66"/>
        <v>0.30559613937808539</v>
      </c>
    </row>
    <row r="46" spans="1:48" ht="15.5" x14ac:dyDescent="0.35">
      <c r="A46" s="303" t="s">
        <v>48</v>
      </c>
      <c r="B46" s="303">
        <v>0.254</v>
      </c>
      <c r="C46" s="303">
        <v>0.30894308943089432</v>
      </c>
      <c r="D46" s="303">
        <v>0.20524017467248906</v>
      </c>
      <c r="E46" s="303">
        <v>0.16820180000000001</v>
      </c>
      <c r="I46" s="61">
        <f t="shared" si="60"/>
        <v>6</v>
      </c>
      <c r="J46">
        <f t="shared" si="67"/>
        <v>0.43642611683848792</v>
      </c>
      <c r="K46">
        <f t="shared" si="67"/>
        <v>0.56759311779164312</v>
      </c>
      <c r="L46">
        <f t="shared" si="67"/>
        <v>0.46428117183194129</v>
      </c>
      <c r="M46">
        <f t="shared" si="67"/>
        <v>0.35660355077507444</v>
      </c>
      <c r="AQ46" s="61">
        <f>48*3600</f>
        <v>172800</v>
      </c>
      <c r="AR46">
        <f t="shared" si="63"/>
        <v>0.34845711897690129</v>
      </c>
      <c r="AS46">
        <f t="shared" si="66"/>
        <v>0.56228413000974409</v>
      </c>
      <c r="AT46">
        <f t="shared" si="66"/>
        <v>2.7930493758757707E-35</v>
      </c>
      <c r="AU46">
        <f t="shared" si="66"/>
        <v>0.26463858972157855</v>
      </c>
      <c r="AV46">
        <f t="shared" si="66"/>
        <v>0.29928141397332253</v>
      </c>
    </row>
    <row r="47" spans="1:48" ht="15.5" x14ac:dyDescent="0.35">
      <c r="A47" s="303" t="s">
        <v>49</v>
      </c>
      <c r="B47" s="303">
        <v>0.21100000000000002</v>
      </c>
      <c r="C47" s="303">
        <v>0.2584269662921348</v>
      </c>
      <c r="D47" s="303">
        <v>0.20080321285140562</v>
      </c>
      <c r="E47" s="303">
        <v>4.0969850000000002E-2</v>
      </c>
      <c r="I47" s="61">
        <f t="shared" si="60"/>
        <v>31</v>
      </c>
      <c r="J47">
        <f t="shared" si="67"/>
        <v>0.36254295532646047</v>
      </c>
      <c r="K47">
        <f t="shared" si="67"/>
        <v>0.47478442644368962</v>
      </c>
      <c r="L47">
        <f t="shared" si="67"/>
        <v>0.45424416111046129</v>
      </c>
      <c r="M47">
        <f t="shared" si="67"/>
        <v>8.6859914606872118E-2</v>
      </c>
      <c r="V47" t="s">
        <v>148</v>
      </c>
      <c r="W47">
        <f>SUMXMY2(J17:J23,W39:W45)</f>
        <v>2.309256111230497E-3</v>
      </c>
      <c r="X47">
        <f>SUMXMY2(K17:K23,X39:X45)</f>
        <v>2.7479619729042877E-3</v>
      </c>
      <c r="Y47">
        <f>SUMXMY2(L17:L23,Y39:Y45)</f>
        <v>3.0898669416477538E-3</v>
      </c>
      <c r="Z47">
        <f>SUMXMY2(M17:M23,Z39:Z45)</f>
        <v>1.4056614199675296E-2</v>
      </c>
      <c r="AA47">
        <f>SUM(W47:Z47)</f>
        <v>2.2203699225457833E-2</v>
      </c>
      <c r="AC47" t="s">
        <v>148</v>
      </c>
      <c r="AD47">
        <f>SUMXMY2(J17:J23,AD39:AD45)</f>
        <v>2.3617036435957035E-2</v>
      </c>
      <c r="AE47">
        <f>SUMXMY2(K17:K23,AE39:AE45)</f>
        <v>1.1823563202275728E-2</v>
      </c>
      <c r="AF47">
        <f>SUMXMY2(L17:L23,AF39:AF45)</f>
        <v>2.9393437677978026E-2</v>
      </c>
      <c r="AG47">
        <f>SUMXMY2(M17:M23,AG39:AG45)</f>
        <v>1.4226983822873357E-2</v>
      </c>
      <c r="AH47">
        <f>SUM(AD47:AG47)</f>
        <v>7.9061021139084142E-2</v>
      </c>
      <c r="AQ47" s="61">
        <f>6*24*3600</f>
        <v>518400</v>
      </c>
      <c r="AR47">
        <f t="shared" si="63"/>
        <v>0.19722750056461744</v>
      </c>
      <c r="AS47">
        <f t="shared" si="66"/>
        <v>0.56228413000974409</v>
      </c>
      <c r="AT47">
        <f t="shared" si="66"/>
        <v>2.1788926636979334E-104</v>
      </c>
      <c r="AU47">
        <f t="shared" si="66"/>
        <v>8.1762580762298101E-2</v>
      </c>
      <c r="AV47">
        <f t="shared" si="66"/>
        <v>0.27530067827459836</v>
      </c>
    </row>
    <row r="48" spans="1:48" ht="21" x14ac:dyDescent="0.5">
      <c r="A48" s="260"/>
      <c r="B48" s="260"/>
      <c r="C48" s="260"/>
      <c r="D48" s="260"/>
      <c r="E48" s="260"/>
      <c r="V48" t="s">
        <v>149</v>
      </c>
      <c r="W48">
        <f>RSQ(J17:J23,W39:W45)</f>
        <v>0.97601849459046031</v>
      </c>
      <c r="X48">
        <f>RSQ(K17:K23,X39:X45)</f>
        <v>0.95390573084238039</v>
      </c>
      <c r="Y48">
        <f>RSQ(L17:L23,Y39:Y45)</f>
        <v>0.92313103554772924</v>
      </c>
      <c r="Z48">
        <f>RSQ(M17:M23,Z39:Z45)</f>
        <v>0.88416973404834365</v>
      </c>
      <c r="AC48" t="s">
        <v>149</v>
      </c>
      <c r="AD48">
        <f>RSQ(J17:J23,AD39:AD45)</f>
        <v>0.8061148193712121</v>
      </c>
      <c r="AE48">
        <f>RSQ(K17:K23,AE39:AE45)</f>
        <v>0.83198713339650343</v>
      </c>
      <c r="AF48">
        <f>RSQ(L17:L23,AF39:AF45)</f>
        <v>0.77584796496400488</v>
      </c>
      <c r="AG48">
        <f>RSQ(M17:M23,AG39:AG45)</f>
        <v>0.92823416104296885</v>
      </c>
      <c r="AQ48" s="61">
        <f>31*24*3600</f>
        <v>2678400</v>
      </c>
      <c r="AR48">
        <f t="shared" si="63"/>
        <v>5.6244593187195361E-3</v>
      </c>
      <c r="AS48">
        <f t="shared" si="66"/>
        <v>0.56228413000974409</v>
      </c>
      <c r="AT48">
        <f t="shared" si="66"/>
        <v>0</v>
      </c>
      <c r="AU48">
        <f t="shared" si="66"/>
        <v>5.3019844699854397E-5</v>
      </c>
      <c r="AV48">
        <f t="shared" si="66"/>
        <v>0.16334444553790856</v>
      </c>
    </row>
    <row r="49" spans="1:48" ht="21" x14ac:dyDescent="0.5">
      <c r="A49" s="260"/>
      <c r="B49" s="260"/>
      <c r="C49" s="260"/>
      <c r="D49" s="260"/>
      <c r="E49" s="260"/>
      <c r="AV49" s="299"/>
    </row>
    <row r="50" spans="1:48" ht="21" x14ac:dyDescent="0.5">
      <c r="A50" s="260"/>
      <c r="B50" s="260"/>
      <c r="C50" s="260"/>
      <c r="D50" s="260"/>
      <c r="E50" s="260"/>
      <c r="AQ50" t="s">
        <v>148</v>
      </c>
      <c r="AR50">
        <f>SUMXMY2(J17:J23,AR42:AR48)</f>
        <v>0.16344233032275876</v>
      </c>
      <c r="AS50">
        <f t="shared" ref="AS50:AV50" si="68">SUMXMY2(K17:K23,AS42:AS48)</f>
        <v>0.40351814161015204</v>
      </c>
      <c r="AT50">
        <f t="shared" si="68"/>
        <v>0.3456148778035899</v>
      </c>
      <c r="AU50">
        <f t="shared" si="68"/>
        <v>0.1987925178170617</v>
      </c>
      <c r="AV50">
        <f t="shared" si="68"/>
        <v>6.073865380469657E-3</v>
      </c>
    </row>
    <row r="51" spans="1:48" ht="21" x14ac:dyDescent="0.5">
      <c r="A51" s="260"/>
      <c r="B51" s="260"/>
      <c r="C51" s="260"/>
      <c r="D51" s="260"/>
      <c r="E51" s="260"/>
      <c r="V51" s="385" t="s">
        <v>154</v>
      </c>
      <c r="W51" s="385"/>
      <c r="X51" s="385"/>
      <c r="Y51" s="385"/>
      <c r="Z51" s="385"/>
      <c r="AQ51" t="s">
        <v>149</v>
      </c>
      <c r="AR51">
        <f>RSQ(J17:J23,AR42:AR48)</f>
        <v>0.94069018194873355</v>
      </c>
      <c r="AS51">
        <f t="shared" ref="AS51:AV51" si="69">RSQ(K17:K23,AS42:AS48)</f>
        <v>0.80107050187963769</v>
      </c>
      <c r="AT51">
        <f t="shared" si="69"/>
        <v>0.83613864862067433</v>
      </c>
      <c r="AU51">
        <f t="shared" si="69"/>
        <v>0.93594846112887953</v>
      </c>
      <c r="AV51">
        <f t="shared" si="69"/>
        <v>0.91567082900089314</v>
      </c>
    </row>
    <row r="52" spans="1:48" ht="21" x14ac:dyDescent="0.5">
      <c r="A52" s="260"/>
      <c r="B52" s="260"/>
      <c r="C52" s="260"/>
      <c r="D52" s="260"/>
      <c r="E52" s="260"/>
      <c r="V52" s="61" t="s">
        <v>146</v>
      </c>
      <c r="W52">
        <v>1.5719300807451635</v>
      </c>
      <c r="X52">
        <v>1.4399510021263551</v>
      </c>
      <c r="Y52">
        <v>1.1023103781480006</v>
      </c>
      <c r="Z52">
        <v>2.6669065681171058</v>
      </c>
      <c r="AU52">
        <f>SUM(AR50:AU50)</f>
        <v>1.1113678675535623</v>
      </c>
    </row>
    <row r="53" spans="1:48" ht="21" x14ac:dyDescent="0.5">
      <c r="A53" s="260"/>
      <c r="B53" s="260"/>
      <c r="C53" s="260"/>
      <c r="D53" s="260"/>
      <c r="E53" s="260"/>
      <c r="J53">
        <f>1156/(0.41*13*8)</f>
        <v>27.110694183864915</v>
      </c>
      <c r="V53" s="61" t="s">
        <v>147</v>
      </c>
      <c r="W53">
        <v>0.14566555703687614</v>
      </c>
      <c r="X53">
        <v>0.14479417566015829</v>
      </c>
      <c r="Y53">
        <v>0.13726508832311801</v>
      </c>
      <c r="Z53">
        <v>0.23850881597666851</v>
      </c>
      <c r="AU53">
        <f>AVERAGE(AR51:AU51)</f>
        <v>0.87846194839448133</v>
      </c>
    </row>
    <row r="54" spans="1:48" ht="21" x14ac:dyDescent="0.5">
      <c r="A54" s="260"/>
      <c r="B54" s="260"/>
      <c r="C54" s="260"/>
      <c r="D54" s="260"/>
      <c r="E54" s="260"/>
      <c r="V54" s="61" t="s">
        <v>153</v>
      </c>
      <c r="W54">
        <v>1.0935330798515768</v>
      </c>
      <c r="X54">
        <v>1.3477504887897862</v>
      </c>
      <c r="Y54">
        <v>1.2455718081857177</v>
      </c>
      <c r="Z54">
        <v>1.5429523340857181</v>
      </c>
    </row>
    <row r="55" spans="1:48" ht="21" x14ac:dyDescent="0.5">
      <c r="A55" s="260"/>
      <c r="B55" s="260"/>
      <c r="C55" s="260"/>
      <c r="D55" s="260"/>
      <c r="E55" s="260"/>
    </row>
    <row r="56" spans="1:48" ht="21" x14ac:dyDescent="0.5">
      <c r="A56" s="260"/>
      <c r="B56" s="260"/>
      <c r="C56" s="260"/>
      <c r="D56" s="260"/>
      <c r="E56" s="260"/>
    </row>
    <row r="57" spans="1:48" ht="21" x14ac:dyDescent="0.5">
      <c r="A57" s="260"/>
      <c r="B57" s="260"/>
      <c r="C57" s="260"/>
      <c r="D57" s="260"/>
      <c r="E57" s="260"/>
      <c r="W57" s="61" t="s">
        <v>62</v>
      </c>
      <c r="X57" s="61" t="s">
        <v>24</v>
      </c>
      <c r="Y57" s="61" t="s">
        <v>25</v>
      </c>
      <c r="Z57" s="61" t="s">
        <v>254</v>
      </c>
    </row>
    <row r="58" spans="1:48" ht="21" x14ac:dyDescent="0.5">
      <c r="A58" s="260"/>
      <c r="B58" s="260"/>
      <c r="C58" s="260"/>
      <c r="D58" s="260"/>
      <c r="E58" s="260"/>
      <c r="V58" s="61" t="str">
        <f>V38</f>
        <v>Interval s</v>
      </c>
      <c r="W58" s="61" t="s">
        <v>212</v>
      </c>
      <c r="X58" s="61" t="s">
        <v>212</v>
      </c>
      <c r="Y58" s="61" t="s">
        <v>212</v>
      </c>
      <c r="Z58" s="61" t="s">
        <v>212</v>
      </c>
    </row>
    <row r="59" spans="1:48" ht="21" x14ac:dyDescent="0.5">
      <c r="A59" s="260"/>
      <c r="B59" s="260"/>
      <c r="C59" s="260"/>
      <c r="D59" s="260"/>
      <c r="E59" s="260"/>
      <c r="V59" s="61">
        <f t="shared" ref="V59:V65" si="70">V39</f>
        <v>1200</v>
      </c>
      <c r="W59">
        <f>W$52*(1+$V59)^-W$53</f>
        <v>0.55956414320055092</v>
      </c>
      <c r="X59">
        <f t="shared" ref="X59:Z59" si="71">X$52*(1+$V59)^-X$53</f>
        <v>0.51576019718490618</v>
      </c>
      <c r="Y59">
        <f t="shared" si="71"/>
        <v>0.41647616659150483</v>
      </c>
      <c r="Z59">
        <f t="shared" si="71"/>
        <v>0.4914842946350676</v>
      </c>
    </row>
    <row r="60" spans="1:48" ht="21" x14ac:dyDescent="0.5">
      <c r="A60" s="260"/>
      <c r="B60" s="260"/>
      <c r="C60" s="260"/>
      <c r="D60" s="260"/>
      <c r="E60" s="260"/>
      <c r="V60" s="61">
        <f t="shared" si="70"/>
        <v>3600</v>
      </c>
      <c r="W60">
        <f t="shared" ref="W60:Z61" si="72">W$52*(1+$V60)^-W$53</f>
        <v>0.47685338484955159</v>
      </c>
      <c r="X60">
        <f t="shared" si="72"/>
        <v>0.43994497362989538</v>
      </c>
      <c r="Y60">
        <f t="shared" si="72"/>
        <v>0.35820460307100727</v>
      </c>
      <c r="Z60">
        <f t="shared" si="72"/>
        <v>0.37824181006905255</v>
      </c>
    </row>
    <row r="61" spans="1:48" ht="21" x14ac:dyDescent="0.5">
      <c r="A61" s="260"/>
      <c r="B61" s="260"/>
      <c r="C61" s="260"/>
      <c r="D61" s="260"/>
      <c r="E61" s="260"/>
      <c r="V61" s="61">
        <f t="shared" si="70"/>
        <v>32400</v>
      </c>
      <c r="W61">
        <f t="shared" si="72"/>
        <v>0.34625832260416045</v>
      </c>
      <c r="X61">
        <f t="shared" si="72"/>
        <v>0.32007011586683409</v>
      </c>
      <c r="Y61">
        <f t="shared" si="72"/>
        <v>0.26494864157242598</v>
      </c>
      <c r="Z61">
        <f t="shared" si="72"/>
        <v>0.22397515933376361</v>
      </c>
    </row>
    <row r="62" spans="1:48" ht="21" x14ac:dyDescent="0.5">
      <c r="A62" s="260"/>
      <c r="B62" s="260"/>
      <c r="C62" s="260"/>
      <c r="D62" s="260"/>
      <c r="E62" s="260"/>
      <c r="V62" s="61">
        <f t="shared" si="70"/>
        <v>86400</v>
      </c>
      <c r="W62">
        <f>(W$52*(1+$V62)^-W$53)*W$54</f>
        <v>0.32823462605178627</v>
      </c>
      <c r="X62">
        <f t="shared" ref="X62:Z62" si="73">(X$52*(1+$V62)^-X$53)*X$54</f>
        <v>0.37426399290094969</v>
      </c>
      <c r="Y62">
        <f t="shared" si="73"/>
        <v>0.28844364927631017</v>
      </c>
      <c r="Z62">
        <f t="shared" si="73"/>
        <v>0.27349983211429341</v>
      </c>
    </row>
    <row r="63" spans="1:48" ht="21" x14ac:dyDescent="0.5">
      <c r="A63" s="260"/>
      <c r="B63" s="260"/>
      <c r="C63" s="260"/>
      <c r="D63" s="260"/>
      <c r="E63" s="260"/>
      <c r="V63" s="61">
        <f t="shared" si="70"/>
        <v>172800</v>
      </c>
      <c r="W63">
        <f t="shared" ref="W63:Z65" si="74">(W$52*(1+$V63)^-W$53)*W$54</f>
        <v>0.29671196362847746</v>
      </c>
      <c r="X63">
        <f t="shared" si="74"/>
        <v>0.33852521334340718</v>
      </c>
      <c r="Y63">
        <f t="shared" si="74"/>
        <v>0.26226504882247392</v>
      </c>
      <c r="Z63">
        <f t="shared" si="74"/>
        <v>0.23182451276192503</v>
      </c>
    </row>
    <row r="64" spans="1:48" ht="21" x14ac:dyDescent="0.5">
      <c r="A64" s="260"/>
      <c r="B64" s="260"/>
      <c r="C64" s="260"/>
      <c r="D64" s="260"/>
      <c r="E64" s="260"/>
      <c r="V64" s="61">
        <f t="shared" si="70"/>
        <v>518400</v>
      </c>
      <c r="W64">
        <f t="shared" si="74"/>
        <v>0.2528338212144281</v>
      </c>
      <c r="X64">
        <f t="shared" si="74"/>
        <v>0.28873995489626891</v>
      </c>
      <c r="Y64">
        <f t="shared" si="74"/>
        <v>0.22555297322133575</v>
      </c>
      <c r="Z64">
        <f t="shared" si="74"/>
        <v>0.17838655963095021</v>
      </c>
    </row>
    <row r="65" spans="1:27" ht="21" x14ac:dyDescent="0.5">
      <c r="A65" s="260"/>
      <c r="B65" s="260"/>
      <c r="C65" s="260"/>
      <c r="D65" s="260"/>
      <c r="E65" s="260"/>
      <c r="V65" s="61">
        <f t="shared" si="70"/>
        <v>2678400</v>
      </c>
      <c r="W65">
        <f t="shared" si="74"/>
        <v>0.19904215740430822</v>
      </c>
      <c r="X65">
        <f t="shared" si="74"/>
        <v>0.22763459437328676</v>
      </c>
      <c r="Y65">
        <f t="shared" si="74"/>
        <v>0.18003202005636418</v>
      </c>
      <c r="Z65">
        <f t="shared" si="74"/>
        <v>0.12057445636449131</v>
      </c>
    </row>
    <row r="66" spans="1:27" ht="21" x14ac:dyDescent="0.5">
      <c r="A66" s="260"/>
      <c r="B66" s="260"/>
      <c r="C66" s="260"/>
      <c r="D66" s="260"/>
      <c r="E66" s="260"/>
      <c r="W66" t="b">
        <f>OR($J19&gt;W62,$J20&gt;W63)</f>
        <v>1</v>
      </c>
      <c r="X66" t="b">
        <f t="shared" ref="X66:Z66" si="75">OR($J19&gt;X62,$J20&gt;X63)</f>
        <v>0</v>
      </c>
      <c r="Y66" t="b">
        <f t="shared" si="75"/>
        <v>1</v>
      </c>
      <c r="Z66" t="b">
        <f t="shared" si="75"/>
        <v>1</v>
      </c>
    </row>
    <row r="67" spans="1:27" ht="21" x14ac:dyDescent="0.5">
      <c r="A67" s="260"/>
      <c r="B67" s="260"/>
      <c r="C67" s="260"/>
      <c r="D67" s="260"/>
      <c r="E67" s="260"/>
      <c r="W67" t="b">
        <f>OR($J19-W62&gt;$J74,$J20-W63&gt;$J75)</f>
        <v>1</v>
      </c>
      <c r="X67" t="b">
        <f t="shared" ref="X67:Z67" si="76">OR($J19-X62&gt;$J74,$J20-X63&gt;$J75)</f>
        <v>0</v>
      </c>
      <c r="Y67" t="b">
        <f t="shared" si="76"/>
        <v>1</v>
      </c>
      <c r="Z67" t="b">
        <f t="shared" si="76"/>
        <v>1</v>
      </c>
    </row>
    <row r="68" spans="1:27" ht="21" x14ac:dyDescent="0.5">
      <c r="A68" s="260"/>
      <c r="B68" s="260"/>
      <c r="C68" s="260"/>
      <c r="D68" s="260"/>
      <c r="E68" s="260"/>
    </row>
    <row r="69" spans="1:27" ht="21" x14ac:dyDescent="0.5">
      <c r="A69" s="260"/>
      <c r="B69" s="260"/>
      <c r="C69" s="260"/>
      <c r="D69" s="260"/>
      <c r="E69" s="260"/>
      <c r="V69" t="s">
        <v>148</v>
      </c>
      <c r="W69">
        <f>SUMXMY2(J17:J23,W59:W65)</f>
        <v>2.4273124296530545E-3</v>
      </c>
      <c r="X69">
        <f t="shared" ref="X69:Z69" si="77">SUMXMY2(K17:K23,X59:X65)</f>
        <v>7.5552696519786064E-3</v>
      </c>
      <c r="Y69">
        <f t="shared" si="77"/>
        <v>3.5198522416229109E-3</v>
      </c>
      <c r="Z69">
        <f t="shared" si="77"/>
        <v>1.1490948123448988E-2</v>
      </c>
      <c r="AA69">
        <f>SUM(W69:Z69)</f>
        <v>2.4993382446703558E-2</v>
      </c>
    </row>
    <row r="70" spans="1:27" ht="21" x14ac:dyDescent="0.5">
      <c r="A70" s="260"/>
      <c r="B70" s="260"/>
      <c r="C70" s="260"/>
      <c r="D70" s="260"/>
      <c r="E70" s="260"/>
      <c r="V70" t="s">
        <v>149</v>
      </c>
      <c r="W70">
        <f>RSQ(J17:J23,W59:W65)</f>
        <v>0.9748669975471741</v>
      </c>
      <c r="X70">
        <f t="shared" ref="X70:Z70" si="78">RSQ(K17:K23,X59:X65)</f>
        <v>0.87420332200075856</v>
      </c>
      <c r="Y70">
        <f t="shared" si="78"/>
        <v>0.91274705669563816</v>
      </c>
      <c r="Z70">
        <f t="shared" si="78"/>
        <v>0.90595287349777764</v>
      </c>
      <c r="AA70">
        <f>AVERAGE(W70:Z70)</f>
        <v>0.91694256243533723</v>
      </c>
    </row>
    <row r="71" spans="1:27" ht="21" x14ac:dyDescent="0.5">
      <c r="A71" s="260"/>
      <c r="B71" s="260"/>
      <c r="C71" s="260"/>
      <c r="D71" s="260"/>
      <c r="E71" s="260"/>
    </row>
    <row r="72" spans="1:27" ht="21" x14ac:dyDescent="0.5">
      <c r="A72" s="260"/>
      <c r="B72" s="260"/>
      <c r="C72" s="260"/>
      <c r="D72" s="260"/>
      <c r="E72" s="260"/>
    </row>
    <row r="73" spans="1:27" ht="21" x14ac:dyDescent="0.5">
      <c r="A73" s="260"/>
      <c r="B73" s="260"/>
      <c r="C73" s="260"/>
      <c r="D73" s="260"/>
      <c r="E73" s="260"/>
    </row>
  </sheetData>
  <mergeCells count="24">
    <mergeCell ref="AX3:BB3"/>
    <mergeCell ref="AJ9:AN9"/>
    <mergeCell ref="AQ9:AU9"/>
    <mergeCell ref="BT8:BY8"/>
    <mergeCell ref="BT9:BX9"/>
    <mergeCell ref="AX9:BB9"/>
    <mergeCell ref="BL9:BP9"/>
    <mergeCell ref="BL8:BQ8"/>
    <mergeCell ref="AQ34:AU34"/>
    <mergeCell ref="V51:Z51"/>
    <mergeCell ref="A4:G4"/>
    <mergeCell ref="B5:C5"/>
    <mergeCell ref="D5:E5"/>
    <mergeCell ref="F5:G5"/>
    <mergeCell ref="I5:J5"/>
    <mergeCell ref="K5:L5"/>
    <mergeCell ref="M5:N5"/>
    <mergeCell ref="V31:Z31"/>
    <mergeCell ref="AC31:AG31"/>
    <mergeCell ref="A15:F15"/>
    <mergeCell ref="G15:H15"/>
    <mergeCell ref="O9:S9"/>
    <mergeCell ref="V9:Z9"/>
    <mergeCell ref="AC9:AG9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BY73"/>
  <sheetViews>
    <sheetView topLeftCell="Z42" zoomScale="90" zoomScaleNormal="90" workbookViewId="0">
      <selection activeCell="AR17" sqref="AR17"/>
    </sheetView>
  </sheetViews>
  <sheetFormatPr defaultColWidth="8.90625" defaultRowHeight="14.5" x14ac:dyDescent="0.35"/>
  <cols>
    <col min="2" max="2" width="11" customWidth="1"/>
    <col min="3" max="3" width="10.81640625" customWidth="1"/>
    <col min="9" max="9" width="12.81640625" customWidth="1"/>
    <col min="10" max="10" width="12.1796875" customWidth="1"/>
    <col min="12" max="12" width="11.36328125" customWidth="1"/>
    <col min="14" max="14" width="9.54296875" bestFit="1" customWidth="1"/>
    <col min="15" max="15" width="15.1796875" customWidth="1"/>
    <col min="16" max="16" width="11.08984375" customWidth="1"/>
    <col min="17" max="17" width="10.1796875" customWidth="1"/>
    <col min="18" max="18" width="10.08984375" customWidth="1"/>
    <col min="21" max="21" width="13.08984375" bestFit="1" customWidth="1"/>
    <col min="23" max="23" width="12" bestFit="1" customWidth="1"/>
    <col min="24" max="24" width="11.1796875" customWidth="1"/>
    <col min="30" max="30" width="13.36328125" bestFit="1" customWidth="1"/>
    <col min="31" max="34" width="12" bestFit="1" customWidth="1"/>
    <col min="44" max="44" width="10" bestFit="1" customWidth="1"/>
    <col min="48" max="48" width="11.08984375" bestFit="1" customWidth="1"/>
    <col min="51" max="51" width="12" bestFit="1" customWidth="1"/>
    <col min="58" max="58" width="13.08984375" bestFit="1" customWidth="1"/>
    <col min="65" max="65" width="9.08984375" bestFit="1" customWidth="1"/>
  </cols>
  <sheetData>
    <row r="1" spans="1:77" x14ac:dyDescent="0.35">
      <c r="AC1" s="6"/>
      <c r="AD1" s="273" t="s">
        <v>243</v>
      </c>
      <c r="AE1" s="323">
        <v>1880</v>
      </c>
      <c r="AF1" s="273">
        <v>1885</v>
      </c>
      <c r="AQ1" s="6"/>
      <c r="AR1" s="273" t="s">
        <v>243</v>
      </c>
      <c r="AS1" s="273">
        <v>1880</v>
      </c>
      <c r="AT1" s="323">
        <v>1885</v>
      </c>
    </row>
    <row r="2" spans="1:77" x14ac:dyDescent="0.35">
      <c r="V2" s="6"/>
      <c r="W2" s="273" t="s">
        <v>243</v>
      </c>
      <c r="X2" s="323">
        <v>1880</v>
      </c>
      <c r="Y2" s="273">
        <v>1885</v>
      </c>
      <c r="AC2" s="61" t="s">
        <v>146</v>
      </c>
      <c r="AD2">
        <v>0.26801771966995774</v>
      </c>
      <c r="AE2" s="324">
        <v>0.2645946537198946</v>
      </c>
      <c r="AF2">
        <v>0.26513893729577415</v>
      </c>
      <c r="AQ2" s="61" t="s">
        <v>146</v>
      </c>
      <c r="AR2">
        <v>0.6905332009851014</v>
      </c>
      <c r="AS2">
        <v>0.66010903783407249</v>
      </c>
      <c r="AT2" s="324">
        <v>0.68208119357687236</v>
      </c>
    </row>
    <row r="3" spans="1:77" x14ac:dyDescent="0.35">
      <c r="O3" s="6"/>
      <c r="P3" s="273" t="s">
        <v>243</v>
      </c>
      <c r="Q3" s="323">
        <v>1880</v>
      </c>
      <c r="R3" s="273">
        <v>1885</v>
      </c>
      <c r="V3" s="61" t="s">
        <v>146</v>
      </c>
      <c r="W3">
        <v>1.647685362762807</v>
      </c>
      <c r="X3" s="324">
        <v>1.3345980352436908</v>
      </c>
      <c r="Y3">
        <v>1.3946853188689459</v>
      </c>
      <c r="AC3" s="61" t="s">
        <v>147</v>
      </c>
      <c r="AD3">
        <v>2.0886196800826134E-5</v>
      </c>
      <c r="AE3" s="324">
        <v>2.58068621151679E-5</v>
      </c>
      <c r="AF3">
        <v>2.5118786022413443E-5</v>
      </c>
      <c r="AG3" s="28"/>
      <c r="AK3" s="61" t="s">
        <v>255</v>
      </c>
      <c r="AQ3" s="61" t="s">
        <v>147</v>
      </c>
      <c r="AR3">
        <v>3.0330621131612713E-4</v>
      </c>
      <c r="AS3">
        <v>2.8321874388412358E-4</v>
      </c>
      <c r="AT3" s="324">
        <v>2.8532033961060753E-4</v>
      </c>
      <c r="AX3" s="385" t="s">
        <v>159</v>
      </c>
      <c r="AY3" s="385"/>
      <c r="AZ3" s="385"/>
      <c r="BA3" s="385"/>
      <c r="BB3" s="385"/>
      <c r="BL3" s="6"/>
      <c r="BM3" s="273" t="s">
        <v>243</v>
      </c>
      <c r="BN3" s="273">
        <v>1880</v>
      </c>
      <c r="BO3" s="323">
        <v>1885</v>
      </c>
      <c r="BT3" s="6"/>
      <c r="BU3" s="273" t="s">
        <v>243</v>
      </c>
      <c r="BV3" s="273">
        <v>1880</v>
      </c>
      <c r="BW3" s="323">
        <v>1885</v>
      </c>
    </row>
    <row r="4" spans="1:77" x14ac:dyDescent="0.35">
      <c r="A4" s="372" t="s">
        <v>128</v>
      </c>
      <c r="B4" s="373"/>
      <c r="C4" s="373"/>
      <c r="D4" s="373"/>
      <c r="E4" s="373"/>
      <c r="F4" s="373"/>
      <c r="G4" s="374"/>
      <c r="H4" s="319"/>
      <c r="O4" s="61" t="s">
        <v>146</v>
      </c>
      <c r="P4">
        <v>1.3983105974858652</v>
      </c>
      <c r="Q4" s="324">
        <v>1.3345980353417477</v>
      </c>
      <c r="R4">
        <v>1.3946853231644849</v>
      </c>
      <c r="V4" s="61" t="s">
        <v>147</v>
      </c>
      <c r="W4">
        <v>0.1515288799767403</v>
      </c>
      <c r="X4" s="324">
        <v>0.1264953420256516</v>
      </c>
      <c r="Y4">
        <v>0.13017465418643709</v>
      </c>
      <c r="AC4" s="61" t="s">
        <v>150</v>
      </c>
      <c r="AD4">
        <v>0.25379487846554649</v>
      </c>
      <c r="AE4" s="324">
        <v>0.26261594244639319</v>
      </c>
      <c r="AF4">
        <v>0.26179733974425945</v>
      </c>
      <c r="AK4">
        <v>0.36147898090643815</v>
      </c>
      <c r="AL4">
        <v>0.3233561928592173</v>
      </c>
      <c r="AM4">
        <v>0.45649934305680157</v>
      </c>
      <c r="AN4">
        <v>0.2910941547287621</v>
      </c>
      <c r="AQ4" s="61" t="s">
        <v>150</v>
      </c>
      <c r="AR4">
        <v>1.4186306182731396E-4</v>
      </c>
      <c r="AS4">
        <v>1.3800971622995349E-4</v>
      </c>
      <c r="AT4" s="324">
        <v>1.340265995586398E-4</v>
      </c>
      <c r="AX4" t="s">
        <v>146</v>
      </c>
      <c r="AY4">
        <v>0.72637334612074744</v>
      </c>
      <c r="AZ4">
        <v>0.64584072618013721</v>
      </c>
      <c r="BA4">
        <v>0.72644323812108302</v>
      </c>
      <c r="BB4">
        <v>0.58705349857396305</v>
      </c>
      <c r="BL4" s="61" t="s">
        <v>146</v>
      </c>
      <c r="BM4">
        <v>0.52276568160708592</v>
      </c>
      <c r="BN4">
        <v>0.48111692105367321</v>
      </c>
      <c r="BO4" s="324">
        <v>0.51936929228948192</v>
      </c>
      <c r="BT4" s="61" t="s">
        <v>146</v>
      </c>
      <c r="BU4">
        <v>1.7972732548619561</v>
      </c>
      <c r="BV4">
        <v>1.6529270645897436</v>
      </c>
      <c r="BW4" s="324">
        <v>1.7836571218637218</v>
      </c>
    </row>
    <row r="5" spans="1:77" ht="18.5" x14ac:dyDescent="0.45">
      <c r="A5" s="52"/>
      <c r="B5" s="382" t="s">
        <v>62</v>
      </c>
      <c r="C5" s="384"/>
      <c r="D5" s="383" t="s">
        <v>24</v>
      </c>
      <c r="E5" s="383"/>
      <c r="F5" s="383" t="s">
        <v>25</v>
      </c>
      <c r="G5" s="384"/>
      <c r="H5" s="26"/>
      <c r="I5" s="386" t="s">
        <v>164</v>
      </c>
      <c r="J5" s="358"/>
      <c r="K5" s="358" t="s">
        <v>24</v>
      </c>
      <c r="L5" s="358"/>
      <c r="M5" s="358" t="s">
        <v>25</v>
      </c>
      <c r="N5" s="358"/>
      <c r="O5" s="61" t="s">
        <v>147</v>
      </c>
      <c r="P5">
        <v>0.13035244926811415</v>
      </c>
      <c r="Q5" s="324">
        <v>0.12649534202329626</v>
      </c>
      <c r="R5">
        <v>0.13017465450212615</v>
      </c>
      <c r="S5" s="322"/>
      <c r="T5" s="322"/>
      <c r="U5" s="322"/>
      <c r="V5" s="61" t="s">
        <v>153</v>
      </c>
      <c r="W5">
        <v>3.0352252456056317E-2</v>
      </c>
      <c r="X5" s="324">
        <v>3.0352252456056317E-2</v>
      </c>
      <c r="Y5">
        <v>3.0352252456056317E-2</v>
      </c>
      <c r="AC5" s="61" t="s">
        <v>151</v>
      </c>
      <c r="AD5">
        <v>2.3841857910156251E-8</v>
      </c>
      <c r="AE5" s="324">
        <v>2.3841857910156251E-8</v>
      </c>
      <c r="AF5">
        <v>2.3841857910156251E-8</v>
      </c>
      <c r="AK5">
        <v>2.8532033961060753E-4</v>
      </c>
      <c r="AL5">
        <v>3.0635091006165922E-4</v>
      </c>
      <c r="AM5">
        <v>7.5545329583531567E-4</v>
      </c>
      <c r="AN5">
        <v>3.6741339836329393E-4</v>
      </c>
      <c r="AQ5" s="61" t="s">
        <v>151</v>
      </c>
      <c r="AR5" s="265">
        <v>1.8354564624833082E-7</v>
      </c>
      <c r="AS5" s="265">
        <v>1.8112346880354853E-7</v>
      </c>
      <c r="AT5" s="325">
        <v>1.7875485186644554E-7</v>
      </c>
      <c r="AX5" t="s">
        <v>147</v>
      </c>
      <c r="AY5">
        <v>3.3594589594210055E-4</v>
      </c>
      <c r="AZ5">
        <v>2.4426152584575367E-4</v>
      </c>
      <c r="BA5">
        <v>7.5545329583531567E-4</v>
      </c>
      <c r="BB5">
        <v>3.6741339836582056E-4</v>
      </c>
      <c r="BL5" s="61" t="s">
        <v>147</v>
      </c>
      <c r="BM5">
        <v>0.1009528628283736</v>
      </c>
      <c r="BN5">
        <v>9.3004476277052647E-2</v>
      </c>
      <c r="BO5" s="324">
        <v>0.10035970904346408</v>
      </c>
      <c r="BT5" s="61" t="s">
        <v>147</v>
      </c>
      <c r="BU5">
        <v>1.20522030089337</v>
      </c>
      <c r="BV5">
        <v>1.135839812988078</v>
      </c>
      <c r="BW5" s="324">
        <v>1.1991252450620715</v>
      </c>
    </row>
    <row r="6" spans="1:77" x14ac:dyDescent="0.35">
      <c r="A6" s="54"/>
      <c r="B6" s="148" t="s">
        <v>26</v>
      </c>
      <c r="C6" s="149" t="s">
        <v>27</v>
      </c>
      <c r="D6" s="148" t="s">
        <v>26</v>
      </c>
      <c r="E6" s="150" t="s">
        <v>27</v>
      </c>
      <c r="F6" s="149" t="s">
        <v>26</v>
      </c>
      <c r="G6" s="150" t="s">
        <v>27</v>
      </c>
      <c r="H6" s="26"/>
      <c r="I6" s="26" t="s">
        <v>123</v>
      </c>
      <c r="J6" s="26" t="s">
        <v>160</v>
      </c>
      <c r="K6" s="26" t="s">
        <v>123</v>
      </c>
      <c r="L6" s="26" t="s">
        <v>160</v>
      </c>
      <c r="M6" s="26" t="s">
        <v>123</v>
      </c>
      <c r="N6" s="26" t="s">
        <v>160</v>
      </c>
      <c r="O6" s="61" t="s">
        <v>148</v>
      </c>
      <c r="P6">
        <v>2.8461488816745053E-3</v>
      </c>
      <c r="Q6" s="324">
        <v>1.7314141703034572E-3</v>
      </c>
      <c r="R6">
        <v>2.4395501054934932E-3</v>
      </c>
      <c r="V6" s="61" t="s">
        <v>148</v>
      </c>
      <c r="W6">
        <v>2.3157909255997946E-3</v>
      </c>
      <c r="X6" s="324">
        <v>1.7314141703034516E-3</v>
      </c>
      <c r="Y6">
        <v>2.4395501054934954E-3</v>
      </c>
      <c r="AC6" s="61" t="s">
        <v>148</v>
      </c>
      <c r="AD6">
        <v>1.176361993999136E-2</v>
      </c>
      <c r="AE6" s="324">
        <v>1.1470060889735158E-2</v>
      </c>
      <c r="AF6">
        <v>1.1664710004768554E-2</v>
      </c>
      <c r="AK6">
        <v>0.32060221267043421</v>
      </c>
      <c r="AL6">
        <v>0.32290969850348522</v>
      </c>
      <c r="AM6">
        <v>0.26994389506428146</v>
      </c>
      <c r="AN6">
        <v>0.2959593438516378</v>
      </c>
      <c r="AQ6" s="61" t="s">
        <v>148</v>
      </c>
      <c r="AR6">
        <v>4.7332271660175179E-3</v>
      </c>
      <c r="AS6">
        <v>4.7065949332214113E-3</v>
      </c>
      <c r="AT6" s="324">
        <v>4.6826521782107298E-3</v>
      </c>
      <c r="AX6" t="s">
        <v>150</v>
      </c>
      <c r="AY6">
        <v>1.1834294185556831E-4</v>
      </c>
      <c r="AZ6">
        <v>1.0613020945938726E-4</v>
      </c>
      <c r="BA6">
        <v>2.8067858517873557E-4</v>
      </c>
      <c r="BB6">
        <v>1.8483502709188652E-4</v>
      </c>
      <c r="BL6" s="61" t="s">
        <v>148</v>
      </c>
      <c r="BM6">
        <v>2.2398578307408351E-3</v>
      </c>
      <c r="BN6">
        <v>1.2595333550698665E-3</v>
      </c>
      <c r="BO6" s="324">
        <v>1.8462472008736607E-3</v>
      </c>
      <c r="BT6" s="61" t="s">
        <v>148</v>
      </c>
      <c r="BU6">
        <v>2.1822949780120897E-3</v>
      </c>
      <c r="BV6">
        <v>1.4761786472177944E-3</v>
      </c>
      <c r="BW6" s="324">
        <v>1.8197318225136837E-3</v>
      </c>
    </row>
    <row r="7" spans="1:77" x14ac:dyDescent="0.35">
      <c r="A7" s="10" t="s">
        <v>1</v>
      </c>
      <c r="B7" s="14">
        <v>23.8</v>
      </c>
      <c r="C7" s="14">
        <v>10.4</v>
      </c>
      <c r="D7" s="217">
        <v>23.7</v>
      </c>
      <c r="E7" s="218">
        <v>10.8</v>
      </c>
      <c r="F7" s="14">
        <v>23.3</v>
      </c>
      <c r="G7" s="218">
        <v>13</v>
      </c>
      <c r="H7" s="14"/>
      <c r="I7" s="270">
        <f>(0.9/23.8)</f>
        <v>3.7815126050420166E-2</v>
      </c>
      <c r="J7" s="271">
        <f t="shared" ref="J7:J13" si="0">I7/SQRT(F32)</f>
        <v>1.0916286602324857E-2</v>
      </c>
      <c r="K7" s="270">
        <f>1.6/D7</f>
        <v>6.7510548523206759E-2</v>
      </c>
      <c r="L7" s="271">
        <f>K7/SQRT(10)</f>
        <v>2.134870994206501E-2</v>
      </c>
      <c r="M7" s="270">
        <f>1.7/F7</f>
        <v>7.2961373390557929E-2</v>
      </c>
      <c r="N7" s="271">
        <f>M7/SQRT(10)</f>
        <v>2.3072412112816496E-2</v>
      </c>
      <c r="O7" s="273" t="s">
        <v>149</v>
      </c>
      <c r="P7" s="6">
        <v>0.97050720484382291</v>
      </c>
      <c r="Q7" s="326">
        <v>0.98205298777550254</v>
      </c>
      <c r="R7" s="6">
        <v>0.97472801931457986</v>
      </c>
      <c r="V7" s="273" t="s">
        <v>149</v>
      </c>
      <c r="W7" s="6">
        <v>0.97596289980272555</v>
      </c>
      <c r="X7" s="326">
        <v>0.98205298777574657</v>
      </c>
      <c r="Y7" s="6">
        <v>0.97472801927329777</v>
      </c>
      <c r="AC7" s="273" t="s">
        <v>149</v>
      </c>
      <c r="AD7" s="6">
        <v>0.87787376895188163</v>
      </c>
      <c r="AE7" s="326">
        <v>0.88087825890030413</v>
      </c>
      <c r="AF7" s="6">
        <v>0.87884347850239442</v>
      </c>
      <c r="AK7">
        <v>1.7875485186644554E-7</v>
      </c>
      <c r="AL7">
        <v>7.7305242914998719E-8</v>
      </c>
      <c r="AM7">
        <v>1.2204361369712591E-7</v>
      </c>
      <c r="AN7">
        <v>7.8179314689776015E-7</v>
      </c>
      <c r="AQ7" s="273" t="s">
        <v>149</v>
      </c>
      <c r="AR7" s="6">
        <v>0.95088214637758861</v>
      </c>
      <c r="AS7" s="6">
        <v>0.95109675232053004</v>
      </c>
      <c r="AT7" s="326">
        <v>0.95135116083364091</v>
      </c>
      <c r="AX7" t="s">
        <v>151</v>
      </c>
      <c r="AY7" s="265">
        <v>1.6602370229545047E-7</v>
      </c>
      <c r="AZ7">
        <v>7.7305242914998719E-8</v>
      </c>
      <c r="BA7">
        <v>1.2204361369712591E-7</v>
      </c>
      <c r="BB7" s="265">
        <v>1.2250587734298997E-6</v>
      </c>
      <c r="BL7" s="273" t="s">
        <v>149</v>
      </c>
      <c r="BM7" s="6">
        <v>0.97672569452851588</v>
      </c>
      <c r="BN7" s="6">
        <v>0.98691287856714904</v>
      </c>
      <c r="BO7" s="326">
        <v>0.98081588514510876</v>
      </c>
      <c r="BT7" s="273" t="s">
        <v>149</v>
      </c>
      <c r="BU7" s="6">
        <v>0.97733051062131759</v>
      </c>
      <c r="BV7" s="6">
        <v>0.98467456335992398</v>
      </c>
      <c r="BW7" s="326">
        <v>0.98109807959316542</v>
      </c>
    </row>
    <row r="8" spans="1:77" x14ac:dyDescent="0.35">
      <c r="A8" s="97" t="s">
        <v>109</v>
      </c>
      <c r="B8" s="14">
        <v>24.4</v>
      </c>
      <c r="C8" s="14">
        <v>14.6</v>
      </c>
      <c r="D8" s="217">
        <v>25.7</v>
      </c>
      <c r="E8" s="218">
        <v>14.6</v>
      </c>
      <c r="F8" s="14">
        <v>23.7</v>
      </c>
      <c r="G8" s="218">
        <v>16</v>
      </c>
      <c r="H8" s="14"/>
      <c r="I8" s="270">
        <f>1.7/B8</f>
        <v>6.9672131147540992E-2</v>
      </c>
      <c r="J8" s="271">
        <f t="shared" si="0"/>
        <v>2.0112611836523853E-2</v>
      </c>
      <c r="K8" s="270">
        <f>1.6/D8</f>
        <v>6.2256809338521409E-2</v>
      </c>
      <c r="L8" s="271">
        <f t="shared" ref="L8:L13" si="1">K8/SQRT(10)</f>
        <v>1.9687331736456839E-2</v>
      </c>
      <c r="M8" s="270">
        <f>2.8/F8</f>
        <v>0.11814345991561181</v>
      </c>
      <c r="N8" s="271">
        <f t="shared" ref="N8:N13" si="2">M8/SQRT(10)</f>
        <v>3.7360242398613762E-2</v>
      </c>
      <c r="AX8" t="s">
        <v>153</v>
      </c>
      <c r="AY8">
        <v>0.1423793773207277</v>
      </c>
      <c r="AZ8">
        <v>0.12079019128135639</v>
      </c>
      <c r="BA8">
        <v>0</v>
      </c>
      <c r="BB8">
        <v>0.05</v>
      </c>
      <c r="BL8" s="389" t="s">
        <v>234</v>
      </c>
      <c r="BM8" s="389"/>
      <c r="BN8" s="389"/>
      <c r="BO8" s="389"/>
      <c r="BP8" s="389"/>
      <c r="BQ8" s="389"/>
      <c r="BT8" s="389" t="s">
        <v>234</v>
      </c>
      <c r="BU8" s="389"/>
      <c r="BV8" s="389"/>
      <c r="BW8" s="389"/>
      <c r="BX8" s="389"/>
      <c r="BY8" s="389"/>
    </row>
    <row r="9" spans="1:77" ht="15" thickBot="1" x14ac:dyDescent="0.4">
      <c r="A9" s="97" t="s">
        <v>110</v>
      </c>
      <c r="B9" s="14">
        <v>24.9</v>
      </c>
      <c r="C9" s="14">
        <v>18.600000000000001</v>
      </c>
      <c r="D9" s="217">
        <v>24.2</v>
      </c>
      <c r="E9" s="218">
        <v>17.3</v>
      </c>
      <c r="F9" s="14">
        <v>21.5</v>
      </c>
      <c r="G9" s="218">
        <v>15.7</v>
      </c>
      <c r="H9" s="14"/>
      <c r="I9" s="270">
        <f>1.6/B9</f>
        <v>6.4257028112449807E-2</v>
      </c>
      <c r="J9" s="271">
        <f t="shared" si="0"/>
        <v>1.8549406239024124E-2</v>
      </c>
      <c r="K9" s="270">
        <f>1.8/D9</f>
        <v>7.43801652892562E-2</v>
      </c>
      <c r="L9" s="271">
        <f t="shared" si="1"/>
        <v>2.352107350538464E-2</v>
      </c>
      <c r="M9" s="270">
        <f>2/F9</f>
        <v>9.3023255813953487E-2</v>
      </c>
      <c r="N9" s="271">
        <f t="shared" si="2"/>
        <v>2.941653637365934E-2</v>
      </c>
      <c r="O9" s="385" t="s">
        <v>145</v>
      </c>
      <c r="P9" s="385"/>
      <c r="Q9" s="385"/>
      <c r="R9" s="385"/>
      <c r="S9" s="385"/>
      <c r="U9" s="262" t="s">
        <v>209</v>
      </c>
      <c r="V9" s="385" t="s">
        <v>154</v>
      </c>
      <c r="W9" s="385"/>
      <c r="X9" s="385"/>
      <c r="Y9" s="385"/>
      <c r="Z9" s="385"/>
      <c r="AC9" s="385" t="s">
        <v>152</v>
      </c>
      <c r="AD9" s="385"/>
      <c r="AE9" s="385"/>
      <c r="AF9" s="385"/>
      <c r="AG9" s="385"/>
      <c r="AJ9" s="385" t="s">
        <v>152</v>
      </c>
      <c r="AK9" s="385"/>
      <c r="AL9" s="385"/>
      <c r="AM9" s="385"/>
      <c r="AN9" s="385"/>
      <c r="AQ9" s="385" t="s">
        <v>157</v>
      </c>
      <c r="AR9" s="385"/>
      <c r="AS9" s="385"/>
      <c r="AT9" s="385"/>
      <c r="AU9" s="385"/>
      <c r="AX9" s="385" t="s">
        <v>159</v>
      </c>
      <c r="AY9" s="385"/>
      <c r="AZ9" s="385"/>
      <c r="BA9" s="385"/>
      <c r="BB9" s="385"/>
      <c r="BE9" s="28" t="s">
        <v>204</v>
      </c>
      <c r="BF9" s="28"/>
      <c r="BG9" s="28"/>
      <c r="BH9" s="28"/>
      <c r="BI9" s="28"/>
      <c r="BL9" s="385" t="s">
        <v>233</v>
      </c>
      <c r="BM9" s="385"/>
      <c r="BN9" s="385"/>
      <c r="BO9" s="385"/>
      <c r="BP9" s="385"/>
      <c r="BT9" s="385" t="s">
        <v>235</v>
      </c>
      <c r="BU9" s="385"/>
      <c r="BV9" s="385"/>
      <c r="BW9" s="385"/>
      <c r="BX9" s="385"/>
    </row>
    <row r="10" spans="1:77" x14ac:dyDescent="0.35">
      <c r="A10" s="97" t="s">
        <v>111</v>
      </c>
      <c r="B10" s="14">
        <v>25.2</v>
      </c>
      <c r="C10" s="14">
        <v>16.8</v>
      </c>
      <c r="D10" s="217">
        <v>26.9</v>
      </c>
      <c r="E10" s="218">
        <v>18.399999999999999</v>
      </c>
      <c r="F10" s="14">
        <v>23.7</v>
      </c>
      <c r="G10" s="218">
        <v>17.3</v>
      </c>
      <c r="H10" s="14"/>
      <c r="I10" s="270">
        <f>2.2/B10</f>
        <v>8.7301587301587311E-2</v>
      </c>
      <c r="J10" s="271">
        <f t="shared" si="0"/>
        <v>1.7460317460317461E-2</v>
      </c>
      <c r="K10" s="270">
        <f>2.6/D10</f>
        <v>9.6654275092936809E-2</v>
      </c>
      <c r="L10" s="271">
        <f t="shared" si="1"/>
        <v>3.0564765488616304E-2</v>
      </c>
      <c r="M10" s="270">
        <f>2.2/F10</f>
        <v>9.2827004219409287E-2</v>
      </c>
      <c r="N10" s="271">
        <f t="shared" si="2"/>
        <v>2.9354476170339386E-2</v>
      </c>
      <c r="O10" s="61" t="s">
        <v>146</v>
      </c>
      <c r="P10">
        <v>1.3946853231644849</v>
      </c>
      <c r="Q10">
        <v>0.9651441259204292</v>
      </c>
      <c r="R10">
        <v>0.82200785301843549</v>
      </c>
      <c r="S10">
        <v>1.5557888278516183</v>
      </c>
      <c r="T10" s="298">
        <v>1.1542980197202242</v>
      </c>
      <c r="U10" s="28">
        <v>48.084364294819942</v>
      </c>
      <c r="V10" s="61" t="s">
        <v>146</v>
      </c>
      <c r="W10">
        <v>1.3946853188689459</v>
      </c>
      <c r="X10">
        <v>2.1348045732571617</v>
      </c>
      <c r="Y10">
        <v>1.266414346169435</v>
      </c>
      <c r="Z10">
        <v>1.6689094117071439</v>
      </c>
      <c r="AC10" t="s">
        <v>146</v>
      </c>
      <c r="AD10">
        <v>0.36109082851396784</v>
      </c>
      <c r="AE10">
        <v>0.32115222064657856</v>
      </c>
      <c r="AF10">
        <v>0.43350606323091806</v>
      </c>
      <c r="AG10">
        <v>0.28499216569706531</v>
      </c>
      <c r="AJ10" t="s">
        <v>146</v>
      </c>
      <c r="AK10">
        <v>0.36109082851396784</v>
      </c>
      <c r="AL10">
        <v>0.32115222064657856</v>
      </c>
      <c r="AM10">
        <v>0.43350606323091806</v>
      </c>
      <c r="AN10">
        <v>0.28499216569706531</v>
      </c>
      <c r="AQ10" t="s">
        <v>146</v>
      </c>
      <c r="AR10">
        <v>0.68208119357687236</v>
      </c>
      <c r="AS10">
        <v>0.64626589136270252</v>
      </c>
      <c r="AT10">
        <v>0.72644323812108302</v>
      </c>
      <c r="AU10">
        <v>0.5870534985803999</v>
      </c>
      <c r="AV10" s="298">
        <v>0.65050498715186245</v>
      </c>
      <c r="AX10" t="s">
        <v>146</v>
      </c>
      <c r="AY10">
        <v>0.71699468917482412</v>
      </c>
      <c r="AZ10">
        <v>0.64584072618013721</v>
      </c>
      <c r="BA10">
        <v>0.63569971997280905</v>
      </c>
      <c r="BB10">
        <v>0.56785356894680394</v>
      </c>
      <c r="BE10" t="s">
        <v>146</v>
      </c>
      <c r="BF10">
        <v>0.6277788513838809</v>
      </c>
      <c r="BG10">
        <v>0.64626589136270252</v>
      </c>
      <c r="BH10">
        <v>0.72644323812108302</v>
      </c>
      <c r="BI10">
        <v>0.5870534985803999</v>
      </c>
      <c r="BL10" s="61" t="s">
        <v>146</v>
      </c>
      <c r="BM10">
        <v>0.51936929228948192</v>
      </c>
      <c r="BN10">
        <v>0.32537535884929381</v>
      </c>
      <c r="BO10">
        <v>0.24753352550980523</v>
      </c>
      <c r="BP10">
        <v>0.5161003692912608</v>
      </c>
      <c r="BQ10" s="298">
        <v>0.39241603565011174</v>
      </c>
      <c r="BT10" s="61" t="s">
        <v>146</v>
      </c>
      <c r="BU10">
        <v>1.7836571218637218</v>
      </c>
      <c r="BV10">
        <v>1.3356324380474531</v>
      </c>
      <c r="BW10">
        <v>0.90005438444181074</v>
      </c>
      <c r="BX10">
        <v>1.3592465592691156</v>
      </c>
      <c r="BY10" s="298">
        <v>1.3140545336886085</v>
      </c>
    </row>
    <row r="11" spans="1:77" x14ac:dyDescent="0.35">
      <c r="A11" s="97" t="s">
        <v>112</v>
      </c>
      <c r="B11" s="14">
        <v>26.4</v>
      </c>
      <c r="C11" s="14">
        <v>19.2</v>
      </c>
      <c r="D11" s="217">
        <v>26.3</v>
      </c>
      <c r="E11" s="218">
        <v>16.7</v>
      </c>
      <c r="F11" s="14">
        <v>23.8</v>
      </c>
      <c r="G11" s="218">
        <v>17</v>
      </c>
      <c r="H11" s="14"/>
      <c r="I11" s="270">
        <f>1.7/B11</f>
        <v>6.4393939393939392E-2</v>
      </c>
      <c r="J11" s="271">
        <f t="shared" si="0"/>
        <v>1.2878787878787878E-2</v>
      </c>
      <c r="K11" s="270">
        <f>1.9/D11</f>
        <v>7.2243346007604556E-2</v>
      </c>
      <c r="L11" s="271">
        <f t="shared" si="1"/>
        <v>2.2845351917566235E-2</v>
      </c>
      <c r="M11" s="270">
        <f>2.2/F11</f>
        <v>9.2436974789915971E-2</v>
      </c>
      <c r="N11" s="271">
        <f t="shared" si="2"/>
        <v>2.9231138035169892E-2</v>
      </c>
      <c r="O11" s="61" t="s">
        <v>147</v>
      </c>
      <c r="P11">
        <v>0.13017465450212615</v>
      </c>
      <c r="Q11">
        <v>9.2565903632240321E-2</v>
      </c>
      <c r="R11">
        <v>9.8966415387985396E-2</v>
      </c>
      <c r="S11">
        <v>0.16688561097233134</v>
      </c>
      <c r="T11" s="299">
        <v>0.12200005618575915</v>
      </c>
      <c r="U11" s="28">
        <v>0.1303376303240901</v>
      </c>
      <c r="V11" s="61" t="s">
        <v>147</v>
      </c>
      <c r="W11">
        <v>0.13017465418643709</v>
      </c>
      <c r="X11">
        <v>0.19435300864038782</v>
      </c>
      <c r="Y11">
        <v>0.15448743830392209</v>
      </c>
      <c r="Z11">
        <v>0.17616248130814283</v>
      </c>
      <c r="AC11" t="s">
        <v>147</v>
      </c>
      <c r="AD11">
        <v>2.8701129647902969E-4</v>
      </c>
      <c r="AE11">
        <v>3.0261807010704381E-4</v>
      </c>
      <c r="AF11">
        <v>7.0580668797487055E-4</v>
      </c>
      <c r="AG11">
        <v>3.5136270369438897E-4</v>
      </c>
      <c r="AJ11" t="s">
        <v>147</v>
      </c>
      <c r="AK11">
        <v>2.8701129647902969E-4</v>
      </c>
      <c r="AL11">
        <v>3.0261807010704381E-4</v>
      </c>
      <c r="AM11">
        <v>7.0580668797487055E-4</v>
      </c>
      <c r="AN11">
        <v>3.5136270369438897E-4</v>
      </c>
      <c r="AQ11" t="s">
        <v>147</v>
      </c>
      <c r="AR11">
        <v>2.8532033961060753E-4</v>
      </c>
      <c r="AS11">
        <v>3.0635091006165922E-4</v>
      </c>
      <c r="AT11">
        <v>7.5545329583531567E-4</v>
      </c>
      <c r="AU11">
        <v>3.6741339836329393E-4</v>
      </c>
      <c r="AV11" s="299">
        <v>3.999999999999579E-4</v>
      </c>
      <c r="AX11" t="s">
        <v>147</v>
      </c>
      <c r="AY11">
        <v>3.3594589594208564E-4</v>
      </c>
      <c r="AZ11">
        <v>2.4426152584575367E-4</v>
      </c>
      <c r="BA11">
        <v>5.6884647041492232E-4</v>
      </c>
      <c r="BB11">
        <v>3.4819507903887401E-4</v>
      </c>
      <c r="BE11" t="s">
        <v>147</v>
      </c>
      <c r="BF11" s="265">
        <v>2.6565507889104759E-5</v>
      </c>
      <c r="BG11">
        <v>3.0635091006165922E-4</v>
      </c>
      <c r="BH11">
        <v>7.5545329583531567E-4</v>
      </c>
      <c r="BI11">
        <v>3.6741339836329393E-4</v>
      </c>
      <c r="BL11" s="61" t="s">
        <v>147</v>
      </c>
      <c r="BM11">
        <v>0.10035970904346408</v>
      </c>
      <c r="BN11">
        <v>5.1817435264343042E-2</v>
      </c>
      <c r="BO11">
        <v>5.2548829615122354E-2</v>
      </c>
      <c r="BP11">
        <v>0.14037753298620143</v>
      </c>
      <c r="BQ11" s="299">
        <v>8.4379998172147294E-2</v>
      </c>
      <c r="BT11" s="61" t="s">
        <v>147</v>
      </c>
      <c r="BU11">
        <v>1.1991252450620715</v>
      </c>
      <c r="BV11">
        <v>0.8725680843459942</v>
      </c>
      <c r="BW11">
        <v>0.82013650516777803</v>
      </c>
      <c r="BX11">
        <v>1.3362729606134216</v>
      </c>
      <c r="BY11" s="299">
        <v>1.055885013423191</v>
      </c>
    </row>
    <row r="12" spans="1:77" x14ac:dyDescent="0.35">
      <c r="A12" s="97" t="s">
        <v>113</v>
      </c>
      <c r="B12" s="14">
        <v>26.2</v>
      </c>
      <c r="C12" s="14">
        <v>19.7</v>
      </c>
      <c r="D12" s="217">
        <v>24.6</v>
      </c>
      <c r="E12" s="218">
        <v>17</v>
      </c>
      <c r="F12" s="14">
        <v>22.9</v>
      </c>
      <c r="G12" s="218">
        <v>18.2</v>
      </c>
      <c r="H12" s="14"/>
      <c r="I12" s="270">
        <f>2.5/B12</f>
        <v>9.5419847328244281E-2</v>
      </c>
      <c r="J12" s="271">
        <f t="shared" si="0"/>
        <v>1.9083969465648856E-2</v>
      </c>
      <c r="K12" s="270">
        <f>1.4/D12</f>
        <v>5.6910569105691047E-2</v>
      </c>
      <c r="L12" s="271">
        <f t="shared" si="1"/>
        <v>1.7996702131039554E-2</v>
      </c>
      <c r="M12" s="270">
        <f>3/F12</f>
        <v>0.13100436681222707</v>
      </c>
      <c r="N12" s="271">
        <f t="shared" si="2"/>
        <v>4.1427218255480951E-2</v>
      </c>
      <c r="T12" s="299"/>
      <c r="U12" s="28"/>
      <c r="V12" s="61" t="s">
        <v>153</v>
      </c>
      <c r="W12">
        <v>3.0352252456056317E-2</v>
      </c>
      <c r="X12">
        <v>0.13083372024566073</v>
      </c>
      <c r="Y12">
        <v>6.2994431812119084E-2</v>
      </c>
      <c r="Z12">
        <v>1.0967745394771364E-2</v>
      </c>
      <c r="AC12" t="s">
        <v>150</v>
      </c>
      <c r="AD12">
        <v>0.32086642037840468</v>
      </c>
      <c r="AE12">
        <v>0.32270909344756088</v>
      </c>
      <c r="AF12">
        <v>0.26854877615386774</v>
      </c>
      <c r="AG12">
        <v>0.28970519754868113</v>
      </c>
      <c r="AJ12" t="s">
        <v>150</v>
      </c>
      <c r="AK12">
        <v>0.32086642037840468</v>
      </c>
      <c r="AL12">
        <v>0.32270909344756088</v>
      </c>
      <c r="AM12">
        <v>0.26854877615386774</v>
      </c>
      <c r="AN12">
        <v>0.28970519754868113</v>
      </c>
      <c r="AQ12" t="s">
        <v>150</v>
      </c>
      <c r="AR12">
        <v>1.340265995586398E-4</v>
      </c>
      <c r="AS12">
        <v>1.5303100273953888E-4</v>
      </c>
      <c r="AT12">
        <v>2.8067858517873557E-4</v>
      </c>
      <c r="AU12">
        <v>1.8483502709294662E-4</v>
      </c>
      <c r="AV12" s="299">
        <v>1.8169227984149027E-4</v>
      </c>
      <c r="AX12" t="s">
        <v>150</v>
      </c>
      <c r="AY12">
        <v>1.4873441164132704E-4</v>
      </c>
      <c r="AZ12">
        <v>1.0928389537351997E-4</v>
      </c>
      <c r="BA12">
        <v>2.3641249033088261E-4</v>
      </c>
      <c r="BB12">
        <v>1.7913450639418565E-4</v>
      </c>
      <c r="BE12" t="s">
        <v>150</v>
      </c>
      <c r="BF12">
        <v>1.0681525205506278E-5</v>
      </c>
      <c r="BG12">
        <v>1.5303100273953888E-4</v>
      </c>
      <c r="BH12">
        <v>2.8067858517873557E-4</v>
      </c>
      <c r="BI12">
        <v>1.8483502709294662E-4</v>
      </c>
      <c r="BQ12" s="299"/>
      <c r="BY12" s="299"/>
    </row>
    <row r="13" spans="1:77" x14ac:dyDescent="0.35">
      <c r="A13" s="11" t="s">
        <v>114</v>
      </c>
      <c r="B13" s="63">
        <v>25.7</v>
      </c>
      <c r="C13" s="63">
        <v>20.399999999999999</v>
      </c>
      <c r="D13" s="219">
        <v>26.7</v>
      </c>
      <c r="E13" s="220">
        <v>19.8</v>
      </c>
      <c r="F13" s="63">
        <v>24.9</v>
      </c>
      <c r="G13" s="220">
        <v>19.899999999999999</v>
      </c>
      <c r="H13" s="14"/>
      <c r="I13" s="270">
        <f>2.4/B13</f>
        <v>9.3385214007782102E-2</v>
      </c>
      <c r="J13" s="271">
        <f t="shared" si="0"/>
        <v>1.3768898629251094E-2</v>
      </c>
      <c r="K13" s="270">
        <f>2.3/D13</f>
        <v>8.6142322097378279E-2</v>
      </c>
      <c r="L13" s="271">
        <f t="shared" si="1"/>
        <v>2.7240594076356824E-2</v>
      </c>
      <c r="M13" s="270">
        <f>3.6/F13</f>
        <v>0.14457831325301207</v>
      </c>
      <c r="N13" s="271">
        <f t="shared" si="2"/>
        <v>4.5719677014482596E-2</v>
      </c>
      <c r="T13" s="299"/>
      <c r="U13" s="28"/>
      <c r="AC13" t="s">
        <v>151</v>
      </c>
      <c r="AD13">
        <v>1.7875485186644554E-7</v>
      </c>
      <c r="AE13" s="265">
        <v>7.7305242914998719E-8</v>
      </c>
      <c r="AF13">
        <v>1.2204361369712591E-7</v>
      </c>
      <c r="AG13">
        <v>8.3060021775104969E-7</v>
      </c>
      <c r="AJ13" t="s">
        <v>151</v>
      </c>
      <c r="AK13">
        <v>1.7875485186644554E-7</v>
      </c>
      <c r="AL13">
        <v>7.7305242914998719E-8</v>
      </c>
      <c r="AM13">
        <v>1.2204361369712591E-7</v>
      </c>
      <c r="AN13">
        <v>8.3060021775104969E-7</v>
      </c>
      <c r="AQ13" t="s">
        <v>151</v>
      </c>
      <c r="AR13" s="265">
        <v>1.7875485186644554E-7</v>
      </c>
      <c r="AS13">
        <v>7.7305242914998719E-8</v>
      </c>
      <c r="AT13">
        <v>1.2204361369712591E-7</v>
      </c>
      <c r="AU13" s="265">
        <v>7.8179314689776015E-7</v>
      </c>
      <c r="AV13" s="299">
        <v>1.8310254938985541E-7</v>
      </c>
      <c r="AX13" t="s">
        <v>151</v>
      </c>
      <c r="AY13" s="265">
        <v>1.508664045982121E-7</v>
      </c>
      <c r="AZ13" s="265">
        <v>1.023666267072768E-7</v>
      </c>
      <c r="BA13" s="265">
        <v>1.3464470713732127E-7</v>
      </c>
      <c r="BB13" s="265">
        <v>1.1880546357584864E-6</v>
      </c>
      <c r="BE13" t="s">
        <v>151</v>
      </c>
      <c r="BF13">
        <v>2.3841857910156251E-8</v>
      </c>
      <c r="BG13">
        <v>7.7305242914998719E-8</v>
      </c>
      <c r="BH13">
        <v>1.2204361369712591E-7</v>
      </c>
      <c r="BI13" s="265">
        <v>7.8179314689776015E-7</v>
      </c>
      <c r="BQ13" s="299"/>
      <c r="BY13" s="299"/>
    </row>
    <row r="14" spans="1:77" x14ac:dyDescent="0.35">
      <c r="T14" s="299"/>
      <c r="U14" s="28"/>
      <c r="AV14" s="299"/>
      <c r="AX14" t="s">
        <v>153</v>
      </c>
      <c r="AY14">
        <v>0</v>
      </c>
      <c r="AZ14">
        <v>0.11048451461640767</v>
      </c>
      <c r="BA14">
        <v>1.9999999999999993E-2</v>
      </c>
      <c r="BB14">
        <v>5.0910831791016853E-2</v>
      </c>
      <c r="BQ14" s="299"/>
      <c r="BY14" s="299"/>
    </row>
    <row r="15" spans="1:77" x14ac:dyDescent="0.35">
      <c r="A15" s="387" t="s">
        <v>132</v>
      </c>
      <c r="B15" s="388"/>
      <c r="C15" s="388"/>
      <c r="D15" s="388"/>
      <c r="E15" s="388"/>
      <c r="F15" s="388"/>
      <c r="G15" s="370" t="s">
        <v>62</v>
      </c>
      <c r="H15" s="370"/>
      <c r="I15" s="262" t="s">
        <v>144</v>
      </c>
      <c r="P15" s="61" t="s">
        <v>62</v>
      </c>
      <c r="Q15" s="61" t="s">
        <v>24</v>
      </c>
      <c r="R15" s="61" t="s">
        <v>25</v>
      </c>
      <c r="S15" s="61" t="s">
        <v>254</v>
      </c>
      <c r="T15" s="302" t="s">
        <v>167</v>
      </c>
      <c r="U15" s="28"/>
      <c r="W15" s="61" t="s">
        <v>62</v>
      </c>
      <c r="X15" s="61" t="s">
        <v>24</v>
      </c>
      <c r="Y15" s="61" t="s">
        <v>25</v>
      </c>
      <c r="Z15" s="61" t="s">
        <v>254</v>
      </c>
      <c r="AR15" s="26" t="s">
        <v>62</v>
      </c>
      <c r="AS15" s="26" t="s">
        <v>24</v>
      </c>
      <c r="AT15" s="26" t="s">
        <v>25</v>
      </c>
      <c r="AU15" s="26" t="s">
        <v>254</v>
      </c>
      <c r="AV15" s="300" t="s">
        <v>167</v>
      </c>
      <c r="BM15" s="61" t="s">
        <v>62</v>
      </c>
      <c r="BN15" s="61" t="s">
        <v>24</v>
      </c>
      <c r="BO15" s="61" t="s">
        <v>25</v>
      </c>
      <c r="BP15" s="61" t="s">
        <v>254</v>
      </c>
      <c r="BQ15" s="302" t="s">
        <v>167</v>
      </c>
      <c r="BU15" s="61" t="s">
        <v>62</v>
      </c>
      <c r="BV15" s="61" t="s">
        <v>24</v>
      </c>
      <c r="BW15" s="61" t="s">
        <v>25</v>
      </c>
      <c r="BX15" s="61" t="s">
        <v>254</v>
      </c>
      <c r="BY15" s="302" t="s">
        <v>167</v>
      </c>
    </row>
    <row r="16" spans="1:77" x14ac:dyDescent="0.35">
      <c r="A16" s="186" t="s">
        <v>23</v>
      </c>
      <c r="B16" s="61" t="s">
        <v>142</v>
      </c>
      <c r="C16" s="41" t="s">
        <v>62</v>
      </c>
      <c r="D16" s="149" t="s">
        <v>24</v>
      </c>
      <c r="E16" s="41" t="s">
        <v>25</v>
      </c>
      <c r="F16" s="150" t="s">
        <v>254</v>
      </c>
      <c r="G16" s="320">
        <v>1880</v>
      </c>
      <c r="H16" s="321">
        <v>1885</v>
      </c>
      <c r="I16" s="61" t="str">
        <f>B16</f>
        <v>Interval s</v>
      </c>
      <c r="J16" s="61" t="str">
        <f>C16</f>
        <v>Ebbinghaus</v>
      </c>
      <c r="K16" s="61" t="str">
        <f>D16</f>
        <v>Mack</v>
      </c>
      <c r="L16" s="61" t="str">
        <f>E16</f>
        <v>Seitz</v>
      </c>
      <c r="M16" s="61" t="s">
        <v>254</v>
      </c>
      <c r="N16" s="61" t="s">
        <v>167</v>
      </c>
      <c r="O16" s="61" t="str">
        <f>I16</f>
        <v>Interval s</v>
      </c>
      <c r="P16" s="61" t="s">
        <v>211</v>
      </c>
      <c r="Q16" s="61" t="s">
        <v>211</v>
      </c>
      <c r="R16" s="61" t="s">
        <v>211</v>
      </c>
      <c r="S16" s="61" t="s">
        <v>211</v>
      </c>
      <c r="T16" s="299"/>
      <c r="U16" s="262" t="s">
        <v>210</v>
      </c>
      <c r="V16" s="61" t="str">
        <f>O16</f>
        <v>Interval s</v>
      </c>
      <c r="W16" s="61" t="s">
        <v>212</v>
      </c>
      <c r="X16" s="61" t="s">
        <v>212</v>
      </c>
      <c r="Y16" s="61" t="s">
        <v>212</v>
      </c>
      <c r="Z16" s="61" t="s">
        <v>212</v>
      </c>
      <c r="AC16" s="61" t="str">
        <f>V16</f>
        <v>Interval s</v>
      </c>
      <c r="AD16" s="61" t="str">
        <f>P15</f>
        <v>Ebbinghaus</v>
      </c>
      <c r="AE16" s="61" t="str">
        <f>Q15</f>
        <v>Mack</v>
      </c>
      <c r="AF16" s="61" t="str">
        <f>R15</f>
        <v>Seitz</v>
      </c>
      <c r="AG16" s="61" t="str">
        <f>S15</f>
        <v>Dros</v>
      </c>
      <c r="AJ16" s="61" t="str">
        <f>AC16</f>
        <v>Interval s</v>
      </c>
      <c r="AK16" s="61" t="str">
        <f>AD16</f>
        <v>Ebbinghaus</v>
      </c>
      <c r="AL16" s="61" t="str">
        <f>AE16</f>
        <v>Mack</v>
      </c>
      <c r="AM16" s="61" t="str">
        <f>AF16</f>
        <v>Seitz</v>
      </c>
      <c r="AN16" s="61" t="str">
        <f>AG16</f>
        <v>Dros</v>
      </c>
      <c r="AQ16" s="26" t="s">
        <v>142</v>
      </c>
      <c r="AR16" s="26" t="s">
        <v>213</v>
      </c>
      <c r="AS16" s="26" t="s">
        <v>213</v>
      </c>
      <c r="AT16" s="26" t="s">
        <v>213</v>
      </c>
      <c r="AU16" s="26" t="s">
        <v>213</v>
      </c>
      <c r="AV16" s="300" t="s">
        <v>213</v>
      </c>
      <c r="AX16" s="26" t="s">
        <v>142</v>
      </c>
      <c r="AY16" s="26" t="s">
        <v>62</v>
      </c>
      <c r="AZ16" s="26" t="s">
        <v>24</v>
      </c>
      <c r="BA16" s="26" t="s">
        <v>25</v>
      </c>
      <c r="BB16" s="26" t="s">
        <v>254</v>
      </c>
      <c r="BE16" s="26" t="s">
        <v>142</v>
      </c>
      <c r="BF16" s="26" t="s">
        <v>62</v>
      </c>
      <c r="BG16" s="26" t="s">
        <v>24</v>
      </c>
      <c r="BH16" s="26" t="s">
        <v>25</v>
      </c>
      <c r="BI16" s="26" t="s">
        <v>254</v>
      </c>
      <c r="BL16" s="61" t="str">
        <f>BE16</f>
        <v>Interval s</v>
      </c>
      <c r="BM16" s="61"/>
      <c r="BN16" s="61"/>
      <c r="BO16" s="61"/>
      <c r="BP16" s="61"/>
      <c r="BQ16" s="299"/>
      <c r="BT16" s="61" t="str">
        <f>BL16</f>
        <v>Interval s</v>
      </c>
      <c r="BU16" s="61"/>
      <c r="BV16" s="61"/>
      <c r="BW16" s="61"/>
      <c r="BX16" s="61"/>
      <c r="BY16" s="299"/>
    </row>
    <row r="17" spans="1:77" x14ac:dyDescent="0.35">
      <c r="A17" s="10" t="s">
        <v>1</v>
      </c>
      <c r="B17" s="91">
        <f>20*60</f>
        <v>1200</v>
      </c>
      <c r="C17" s="208">
        <v>58.2</v>
      </c>
      <c r="D17" s="88">
        <f>(('Data fits from V1.4'!D7-'Data fits from V1.4'!E7)/'Data fits from V1.4'!D7)*100</f>
        <v>54.430379746835435</v>
      </c>
      <c r="E17" s="209">
        <f>(('Data fits from V1.4'!F7-'Data fits from V1.4'!G7)/'Data fits from V1.4'!F7)*100</f>
        <v>44.206008583690988</v>
      </c>
      <c r="F17" s="210">
        <v>47.167729999999999</v>
      </c>
      <c r="G17">
        <f>15*60</f>
        <v>900</v>
      </c>
      <c r="H17">
        <f>19*60</f>
        <v>1140</v>
      </c>
      <c r="I17" s="61">
        <f t="shared" ref="I17:I23" si="3">B17</f>
        <v>1200</v>
      </c>
      <c r="J17">
        <f>C17/100</f>
        <v>0.58200000000000007</v>
      </c>
      <c r="K17">
        <f t="shared" ref="K17:M23" si="4">D17/100</f>
        <v>0.54430379746835433</v>
      </c>
      <c r="L17">
        <f t="shared" si="4"/>
        <v>0.44206008583690987</v>
      </c>
      <c r="M17">
        <f t="shared" si="4"/>
        <v>0.47167729999999997</v>
      </c>
      <c r="N17">
        <f>AVERAGE(J17:M17)</f>
        <v>0.51001029582631607</v>
      </c>
      <c r="O17" s="61">
        <f>I17</f>
        <v>1200</v>
      </c>
      <c r="P17">
        <f>P$10*(1+$H17)^-P$11</f>
        <v>0.55782134460761312</v>
      </c>
      <c r="Q17">
        <f>Q$10*(1+$I17)^-Q$11</f>
        <v>0.50064685295550171</v>
      </c>
      <c r="R17">
        <f>R$10*(1+$I17)^-R$11</f>
        <v>0.40747843931725314</v>
      </c>
      <c r="S17">
        <f>S$10*(1+$I17)^-S$11</f>
        <v>0.4764520854158365</v>
      </c>
      <c r="T17" s="299">
        <f>T$10*(1+$I17)^-T$11</f>
        <v>0.48597455489649177</v>
      </c>
      <c r="U17" s="28">
        <f>(U$10*($I17/3600)^-U$11)/100</f>
        <v>0.55486934575274649</v>
      </c>
      <c r="V17" s="61">
        <f t="shared" ref="V17:V23" si="5">O17</f>
        <v>1200</v>
      </c>
      <c r="W17">
        <f>W$10*(1+$H17)^-W$11</f>
        <v>0.55782134412923079</v>
      </c>
      <c r="X17">
        <f>X$10*(1+$I17)^-X$11</f>
        <v>0.53807111141588648</v>
      </c>
      <c r="Y17">
        <f>Y$10*(1+$I17)^-Y$11</f>
        <v>0.42347240100684602</v>
      </c>
      <c r="Z17">
        <f>Z$10*(1+$I17)^-Z$11</f>
        <v>0.47855606688912483</v>
      </c>
      <c r="AC17" s="61">
        <f>V17</f>
        <v>1200</v>
      </c>
      <c r="AD17">
        <f>AD$10*EXP(-$H17*AD$11)+AD$12*EXP(-$H17*AD$13)</f>
        <v>0.58112755081241818</v>
      </c>
      <c r="AE17">
        <f>AE$10*EXP(-$I17*AE$11)+AE$12*EXP(-$I17*AE$13)</f>
        <v>0.54603663762832511</v>
      </c>
      <c r="AF17">
        <f>AF$10*EXP(-$I17*AF$11)+AF$12*EXP(-$I17*AF$13)</f>
        <v>0.45435905181260261</v>
      </c>
      <c r="AG17">
        <f>AG$10*EXP(-$I17*AG$11)+AG$12*EXP(-$I17*AG$13)</f>
        <v>0.47636382798493127</v>
      </c>
      <c r="AJ17" s="61">
        <f t="shared" ref="AJ17:AJ22" si="6">AC17</f>
        <v>1200</v>
      </c>
      <c r="AK17" s="265">
        <f>AK$10*EXP(-$H17*AK$11)+AK$12*EXP(-$H17*AK$13)</f>
        <v>0.58112755081241818</v>
      </c>
      <c r="AL17" s="265">
        <f>AL$10*EXP(-$I17*AL$11)+AL$12*EXP(-$I17*AL$13)</f>
        <v>0.54603663762832511</v>
      </c>
      <c r="AM17">
        <f>AM$10*EXP(-$I17*AM$11)+AM$12*EXP(-$I17*AM$13)</f>
        <v>0.45435905181260261</v>
      </c>
      <c r="AN17">
        <f>AN$10*EXP(-$I17*AN$11)+AN$12*EXP(-$I17*AN$13)</f>
        <v>0.47636382798493127</v>
      </c>
      <c r="AQ17" s="91">
        <f>20*60</f>
        <v>1200</v>
      </c>
      <c r="AR17" s="265">
        <f>AR$10*EXP(-$H17*AR$11) + (AR$10* AR$12/(AR$11-AR$13))*(EXP(-$H17*AR$13)-EXP(-$H17*AR$11) )</f>
        <v>0.58164608632110626</v>
      </c>
      <c r="AS17">
        <f>AS$10*EXP(-$I17*AS$11) + (AS$10* AS$12/(AS$11-AS$13))*(EXP(-$I17*AS$13)-EXP(-$I17*AS$11) )</f>
        <v>0.54676493744527621</v>
      </c>
      <c r="AT17">
        <f>AT$10*EXP(-$I17*AT$11) + (AT$10* AT$12/(AT$11-AT$13))*(EXP(-$I17*AT$13)-EXP(-$I17*AT$11) )</f>
        <v>0.4542925618678274</v>
      </c>
      <c r="AU17">
        <f>AU$10*EXP(-$I17*AU$11) + (AU$10* AU$12/(AU$11-AU$13))*(EXP(-$I17*AU$13)-EXP(-$I17*AU$11) )</f>
        <v>0.48298913967966228</v>
      </c>
      <c r="AV17" s="299">
        <f>AV$10*EXP(-$I17*AV$11) + (AV$10* AV$12/(AV$11-AV$13))*(EXP(-$I17*AV$13)-EXP(-$I17*AV$11) )</f>
        <v>0.51514995218984339</v>
      </c>
      <c r="AX17" s="91">
        <f>20*60</f>
        <v>1200</v>
      </c>
      <c r="AY17">
        <f t="shared" ref="AY17:BB19" si="7">AY$10*EXP(-$AQ17*AY$11) + (AY$10* AY$12/(AY$11-AY$13))*(EXP(-$I17*AY$13)-EXP(-$I17*AY$11) )</f>
        <v>0.58442012417046563</v>
      </c>
      <c r="AZ17">
        <f t="shared" si="7"/>
        <v>0.55516399664336014</v>
      </c>
      <c r="BA17">
        <f t="shared" si="7"/>
        <v>0.451903017841355</v>
      </c>
      <c r="BB17">
        <f t="shared" si="7"/>
        <v>0.47361394296739301</v>
      </c>
      <c r="BE17" s="91">
        <f>20*60</f>
        <v>1200</v>
      </c>
      <c r="BF17">
        <f>BF$10*EXP(-$AQ17*BF$11)</f>
        <v>0.60808176054440999</v>
      </c>
      <c r="BG17">
        <f t="shared" ref="BG17:BI19" si="8">BG$10*EXP(-$AQ17*BG$11)</f>
        <v>0.44746124184540514</v>
      </c>
      <c r="BH17">
        <f t="shared" si="8"/>
        <v>0.29342333463362308</v>
      </c>
      <c r="BI17">
        <f t="shared" si="8"/>
        <v>0.37774519333745682</v>
      </c>
      <c r="BL17" s="61">
        <f t="shared" ref="BL17:BL23" si="9">BE17</f>
        <v>1200</v>
      </c>
      <c r="BM17">
        <f>1 - (1-(2/($H17/60))^BM$11)^BM$10</f>
        <v>0.56400539892202062</v>
      </c>
      <c r="BN17">
        <f t="shared" ref="BN17:BQ23" si="10">1 - (1-(2/($BL17/60))^BN$11)^BN$10</f>
        <v>0.50882986837658484</v>
      </c>
      <c r="BO17">
        <f t="shared" si="10"/>
        <v>0.41585756136118068</v>
      </c>
      <c r="BP17">
        <f t="shared" si="10"/>
        <v>0.48523374063981883</v>
      </c>
      <c r="BQ17">
        <f t="shared" si="10"/>
        <v>0.49360389924450987</v>
      </c>
      <c r="BT17" s="61">
        <f t="shared" ref="BT17:BT23" si="11">BL17</f>
        <v>1200</v>
      </c>
      <c r="BU17">
        <f>BU$10/(LOG($H17/60)^BU$11+BU$10)</f>
        <v>0.57048197950711199</v>
      </c>
      <c r="BV17">
        <f t="shared" ref="BV17:BY23" si="12">BV$10/(LOG($BT17/60)^BV$11+BV$10)</f>
        <v>0.51494134185892171</v>
      </c>
      <c r="BW17">
        <f t="shared" si="12"/>
        <v>0.42040181035837643</v>
      </c>
      <c r="BX17">
        <f t="shared" si="12"/>
        <v>0.48882235199451346</v>
      </c>
      <c r="BY17">
        <f t="shared" si="12"/>
        <v>0.49881367104634483</v>
      </c>
    </row>
    <row r="18" spans="1:77" x14ac:dyDescent="0.35">
      <c r="A18" s="97" t="s">
        <v>109</v>
      </c>
      <c r="B18" s="61">
        <f>3600</f>
        <v>3600</v>
      </c>
      <c r="C18" s="211">
        <v>44.2</v>
      </c>
      <c r="D18" s="89">
        <f>(('Data fits from V1.4'!D8-'Data fits from V1.4'!E8)/'Data fits from V1.4'!D8)*100</f>
        <v>43.190661478599225</v>
      </c>
      <c r="E18" s="87">
        <f>(('Data fits from V1.4'!F8-'Data fits from V1.4'!G8)/'Data fits from V1.4'!F8)*100</f>
        <v>32.489451476793249</v>
      </c>
      <c r="F18" s="212">
        <v>37.290900000000001</v>
      </c>
      <c r="G18">
        <f>63*60</f>
        <v>3780</v>
      </c>
      <c r="H18">
        <f>G18</f>
        <v>3780</v>
      </c>
      <c r="I18" s="61">
        <f t="shared" si="3"/>
        <v>3600</v>
      </c>
      <c r="J18">
        <f t="shared" ref="J18:J23" si="13">C18/100</f>
        <v>0.442</v>
      </c>
      <c r="K18">
        <f t="shared" si="4"/>
        <v>0.43190661478599224</v>
      </c>
      <c r="L18">
        <f t="shared" si="4"/>
        <v>0.32489451476793252</v>
      </c>
      <c r="M18">
        <f t="shared" si="4"/>
        <v>0.37290899999999999</v>
      </c>
      <c r="N18">
        <f t="shared" ref="N18:N23" si="14">AVERAGE(J18:M18)</f>
        <v>0.39292753238848116</v>
      </c>
      <c r="O18" s="61">
        <f t="shared" ref="O18:O23" si="15">I18</f>
        <v>3600</v>
      </c>
      <c r="P18">
        <f t="shared" ref="P18:P23" si="16">P$10*(1+$H18)^-P$11</f>
        <v>0.47726822073282016</v>
      </c>
      <c r="Q18">
        <f t="shared" ref="Q18:T23" si="17">Q$10*(1+$I18)^-Q$11</f>
        <v>0.45226049306738741</v>
      </c>
      <c r="R18">
        <f t="shared" si="17"/>
        <v>0.36551863115926381</v>
      </c>
      <c r="S18">
        <f t="shared" si="17"/>
        <v>0.3966749749648768</v>
      </c>
      <c r="T18" s="299">
        <f t="shared" si="17"/>
        <v>0.42504423488186488</v>
      </c>
      <c r="U18" s="28">
        <f t="shared" ref="U18:U23" si="18">(U$10*($I18/3600)^-U$11)/100</f>
        <v>0.48084364294819942</v>
      </c>
      <c r="V18" s="61">
        <f t="shared" si="5"/>
        <v>3600</v>
      </c>
      <c r="W18">
        <f>W$10*(1+$G18)^-W$11</f>
        <v>0.47726822050403273</v>
      </c>
      <c r="X18">
        <f t="shared" ref="X18:Z19" si="19">X$10*(1+$I18)^-X$11</f>
        <v>0.4346669210658009</v>
      </c>
      <c r="Y18">
        <f t="shared" si="19"/>
        <v>0.35739882807468271</v>
      </c>
      <c r="Z18">
        <f t="shared" si="19"/>
        <v>0.39438868104879476</v>
      </c>
      <c r="AC18" s="61">
        <f t="shared" ref="AC18:AC23" si="20">V18</f>
        <v>3600</v>
      </c>
      <c r="AD18">
        <f t="shared" ref="AD18:AD23" si="21">AD$10*EXP(-$H18*AD$11)+AD$12*EXP(-$H18*AD$13)</f>
        <v>0.44267479451245473</v>
      </c>
      <c r="AE18">
        <f t="shared" ref="AE18:AG23" si="22">AE$10*EXP(-$I18*AE$11)+AE$12*EXP(-$I18*AE$13)</f>
        <v>0.43065806871875179</v>
      </c>
      <c r="AF18">
        <f t="shared" si="22"/>
        <v>0.30258898020994263</v>
      </c>
      <c r="AG18">
        <f t="shared" si="22"/>
        <v>0.36928379731863981</v>
      </c>
      <c r="AJ18" s="61">
        <f t="shared" si="6"/>
        <v>3600</v>
      </c>
      <c r="AK18" s="265">
        <f t="shared" ref="AK18:AK23" si="23">AK$10*EXP(-$H18*AK$11)+AK$12*EXP(-$H18*AK$13)</f>
        <v>0.44267479451245473</v>
      </c>
      <c r="AL18">
        <f t="shared" ref="AL18:AN23" si="24">AL$10*EXP(-$I18*AL$11)+AL$12*EXP(-$I18*AL$13)</f>
        <v>0.43065806871875179</v>
      </c>
      <c r="AM18">
        <f t="shared" si="24"/>
        <v>0.30258898020994263</v>
      </c>
      <c r="AN18">
        <f t="shared" si="24"/>
        <v>0.36928379731863981</v>
      </c>
      <c r="AQ18" s="61">
        <f>3600</f>
        <v>3600</v>
      </c>
      <c r="AR18" s="265">
        <f t="shared" ref="AR18:AR23" si="25">AR$10*EXP(-$H18*AR$11) + (AR$10* AR$12/(AR$11-AR$13))*(EXP(-$H18*AR$13)-EXP(-$H18*AR$11) )</f>
        <v>0.44332523668073437</v>
      </c>
      <c r="AS18">
        <f t="shared" ref="AS18:AV23" si="26">AS$10*EXP(-$I18*AS$11) + (AS$10* AS$12/(AS$11-AS$13))*(EXP(-$I18*AS$13)-EXP(-$I18*AS$11) )</f>
        <v>0.43014802134813812</v>
      </c>
      <c r="AT18">
        <f t="shared" si="26"/>
        <v>0.29990817400524461</v>
      </c>
      <c r="AU18">
        <f t="shared" si="26"/>
        <v>0.37268031503539145</v>
      </c>
      <c r="AV18" s="299">
        <f t="shared" si="26"/>
        <v>0.379503230039757</v>
      </c>
      <c r="AX18" s="61">
        <f>3600</f>
        <v>3600</v>
      </c>
      <c r="AY18">
        <f t="shared" si="7"/>
        <v>0.43658279341712725</v>
      </c>
      <c r="AZ18">
        <f t="shared" si="7"/>
        <v>0.43704553179566386</v>
      </c>
      <c r="BA18">
        <f t="shared" si="7"/>
        <v>0.31205157959682445</v>
      </c>
      <c r="BB18">
        <f t="shared" si="7"/>
        <v>0.37032158652959835</v>
      </c>
      <c r="BE18" s="61">
        <f>3600</f>
        <v>3600</v>
      </c>
      <c r="BF18">
        <f>BF$10*EXP(-$AQ18*BF$11)</f>
        <v>0.57052222669587893</v>
      </c>
      <c r="BG18">
        <f t="shared" si="8"/>
        <v>0.21450815137938153</v>
      </c>
      <c r="BH18">
        <f t="shared" si="8"/>
        <v>4.7871889990345307E-2</v>
      </c>
      <c r="BI18">
        <f t="shared" si="8"/>
        <v>0.15640170358605859</v>
      </c>
      <c r="BL18" s="61">
        <f t="shared" si="9"/>
        <v>3600</v>
      </c>
      <c r="BM18">
        <f t="shared" ref="BM18:BM23" si="27">1 - (1-(2/($H18/60))^BM$11)^BM$10</f>
        <v>0.47174538787261422</v>
      </c>
      <c r="BN18">
        <f t="shared" si="10"/>
        <v>0.44737229228214948</v>
      </c>
      <c r="BO18">
        <f t="shared" si="10"/>
        <v>0.36110526092242168</v>
      </c>
      <c r="BP18">
        <f t="shared" si="10"/>
        <v>0.39338605836818952</v>
      </c>
      <c r="BQ18">
        <f t="shared" si="10"/>
        <v>0.42005176671624189</v>
      </c>
      <c r="BT18" s="61">
        <f t="shared" si="11"/>
        <v>3600</v>
      </c>
      <c r="BU18">
        <f t="shared" ref="BU18:BU23" si="28">BU$10/(LOG($H18/60)^BU$11+BU$10)</f>
        <v>0.46861018264354826</v>
      </c>
      <c r="BV18">
        <f t="shared" si="12"/>
        <v>0.44699422681808032</v>
      </c>
      <c r="BW18">
        <f t="shared" si="12"/>
        <v>0.35954270048700393</v>
      </c>
      <c r="BX18">
        <f t="shared" si="12"/>
        <v>0.38646554734830357</v>
      </c>
      <c r="BY18">
        <f t="shared" si="12"/>
        <v>0.41711626337021385</v>
      </c>
    </row>
    <row r="19" spans="1:77" x14ac:dyDescent="0.35">
      <c r="A19" s="97" t="s">
        <v>110</v>
      </c>
      <c r="B19" s="61">
        <f>9*3600</f>
        <v>32400</v>
      </c>
      <c r="C19" s="211">
        <v>35.799999999999997</v>
      </c>
      <c r="D19" s="89">
        <f>(('Data fits from V1.4'!D9-'Data fits from V1.4'!E9)/'Data fits from V1.4'!D9)*100</f>
        <v>28.512396694214871</v>
      </c>
      <c r="E19" s="87">
        <f>(('Data fits from V1.4'!F9-'Data fits from V1.4'!G9)/'Data fits from V1.4'!F9)*100</f>
        <v>26.976744186046513</v>
      </c>
      <c r="F19" s="212">
        <v>27.644490000000001</v>
      </c>
      <c r="G19">
        <f>525*60</f>
        <v>31500</v>
      </c>
      <c r="H19">
        <f t="shared" ref="H19:H23" si="29">G19</f>
        <v>31500</v>
      </c>
      <c r="I19" s="61">
        <f t="shared" si="3"/>
        <v>32400</v>
      </c>
      <c r="J19">
        <f t="shared" si="13"/>
        <v>0.35799999999999998</v>
      </c>
      <c r="K19">
        <f t="shared" si="4"/>
        <v>0.2851239669421487</v>
      </c>
      <c r="L19">
        <f t="shared" si="4"/>
        <v>0.26976744186046514</v>
      </c>
      <c r="M19">
        <f t="shared" si="4"/>
        <v>0.27644489999999999</v>
      </c>
      <c r="N19">
        <f t="shared" si="14"/>
        <v>0.29733407720065347</v>
      </c>
      <c r="O19" s="61">
        <f t="shared" si="15"/>
        <v>32400</v>
      </c>
      <c r="P19">
        <f t="shared" si="16"/>
        <v>0.36216661483470425</v>
      </c>
      <c r="Q19">
        <f t="shared" si="17"/>
        <v>0.36903559385208934</v>
      </c>
      <c r="R19">
        <f t="shared" si="17"/>
        <v>0.29409129445562404</v>
      </c>
      <c r="S19">
        <f t="shared" si="17"/>
        <v>0.27491811135777949</v>
      </c>
      <c r="T19" s="299">
        <f t="shared" si="17"/>
        <v>0.32510943298112294</v>
      </c>
      <c r="U19" s="28">
        <f t="shared" si="18"/>
        <v>0.36110223075310038</v>
      </c>
      <c r="V19" s="61">
        <f t="shared" si="5"/>
        <v>32400</v>
      </c>
      <c r="W19">
        <f t="shared" ref="W19:W23" si="30">W$10*(1+$G19)^-W$11</f>
        <v>0.36216661490348034</v>
      </c>
      <c r="X19">
        <f t="shared" si="19"/>
        <v>0.28360737884715814</v>
      </c>
      <c r="Y19">
        <f t="shared" si="19"/>
        <v>0.25453716748343763</v>
      </c>
      <c r="Z19">
        <f t="shared" si="19"/>
        <v>0.26781913407127106</v>
      </c>
      <c r="AC19" s="61">
        <f t="shared" si="20"/>
        <v>32400</v>
      </c>
      <c r="AD19">
        <f t="shared" si="21"/>
        <v>0.31910754817239634</v>
      </c>
      <c r="AE19">
        <f t="shared" si="22"/>
        <v>0.32191954133598177</v>
      </c>
      <c r="AF19">
        <f t="shared" si="22"/>
        <v>0.26748897384340742</v>
      </c>
      <c r="AG19">
        <f t="shared" si="22"/>
        <v>0.28201602431335443</v>
      </c>
      <c r="AJ19" s="61">
        <f t="shared" si="6"/>
        <v>32400</v>
      </c>
      <c r="AK19" s="265">
        <f t="shared" si="23"/>
        <v>0.31910754817239634</v>
      </c>
      <c r="AL19">
        <f t="shared" si="24"/>
        <v>0.32191954133598177</v>
      </c>
      <c r="AM19">
        <f t="shared" si="24"/>
        <v>0.26748897384340742</v>
      </c>
      <c r="AN19">
        <f t="shared" si="24"/>
        <v>0.28201602431335443</v>
      </c>
      <c r="AQ19" s="61">
        <f>9*3600</f>
        <v>32400</v>
      </c>
      <c r="AR19" s="265">
        <f t="shared" si="25"/>
        <v>0.31884721284294099</v>
      </c>
      <c r="AS19">
        <f t="shared" si="26"/>
        <v>0.3221177334332963</v>
      </c>
      <c r="AT19">
        <f t="shared" si="26"/>
        <v>0.26887858700885409</v>
      </c>
      <c r="AU19">
        <f t="shared" si="26"/>
        <v>0.28855878225170778</v>
      </c>
      <c r="AV19" s="299">
        <f t="shared" si="26"/>
        <v>0.29386694096821131</v>
      </c>
      <c r="AX19" s="61">
        <f>9*3600</f>
        <v>32400</v>
      </c>
      <c r="AY19" s="265">
        <f>AY$10*EXP(-$AQ19*AY$11) + (AY$10* AY$12/(AY$11-AY$13))*(EXP(-$I19*AY$13)-EXP(-$I19*AY$11) )</f>
        <v>0.31603891401013079</v>
      </c>
      <c r="AZ19">
        <f t="shared" si="7"/>
        <v>0.28824693936053614</v>
      </c>
      <c r="BA19">
        <f t="shared" si="7"/>
        <v>0.26310892508158684</v>
      </c>
      <c r="BB19">
        <f t="shared" si="7"/>
        <v>0.28207551589165725</v>
      </c>
      <c r="BE19" s="61">
        <f>9*3600</f>
        <v>32400</v>
      </c>
      <c r="BF19">
        <f>BF$10*EXP(-$AQ19*BF$11)</f>
        <v>0.26546035337176549</v>
      </c>
      <c r="BG19">
        <f t="shared" si="8"/>
        <v>3.1601254166578237E-5</v>
      </c>
      <c r="BH19">
        <f t="shared" si="8"/>
        <v>1.7025962777476525E-11</v>
      </c>
      <c r="BI19">
        <f t="shared" si="8"/>
        <v>3.9696468126166079E-6</v>
      </c>
      <c r="BL19" s="61">
        <f t="shared" si="9"/>
        <v>32400</v>
      </c>
      <c r="BM19">
        <f t="shared" si="27"/>
        <v>0.35626444666993418</v>
      </c>
      <c r="BN19">
        <f t="shared" si="10"/>
        <v>0.36155590743886223</v>
      </c>
      <c r="BO19">
        <f t="shared" si="10"/>
        <v>0.28707790340641615</v>
      </c>
      <c r="BP19">
        <f t="shared" si="10"/>
        <v>0.26943169336730177</v>
      </c>
      <c r="BQ19">
        <f t="shared" si="10"/>
        <v>0.31841491353131479</v>
      </c>
      <c r="BT19" s="61">
        <f t="shared" si="11"/>
        <v>32400</v>
      </c>
      <c r="BU19">
        <f t="shared" si="28"/>
        <v>0.34948871884934152</v>
      </c>
      <c r="BV19">
        <f t="shared" si="12"/>
        <v>0.3571670304531504</v>
      </c>
      <c r="BW19">
        <f t="shared" si="12"/>
        <v>0.28298896813250574</v>
      </c>
      <c r="BX19">
        <f t="shared" si="12"/>
        <v>0.26187194199449787</v>
      </c>
      <c r="BY19">
        <f t="shared" si="12"/>
        <v>0.31254776865940853</v>
      </c>
    </row>
    <row r="20" spans="1:77" x14ac:dyDescent="0.35">
      <c r="A20" s="97" t="s">
        <v>111</v>
      </c>
      <c r="B20" s="61">
        <f>24*3600</f>
        <v>86400</v>
      </c>
      <c r="C20" s="211">
        <v>33.700000000000003</v>
      </c>
      <c r="D20" s="89">
        <f>(('Data fits from V1.4'!D10-'Data fits from V1.4'!E10)/'Data fits from V1.4'!D10)*100</f>
        <v>31.59851301115242</v>
      </c>
      <c r="E20" s="87">
        <f>(('Data fits from V1.4'!F10-'Data fits from V1.4'!G10)/'Data fits from V1.4'!F10)*100</f>
        <v>27.004219409282694</v>
      </c>
      <c r="F20" s="212">
        <v>31.67801</v>
      </c>
      <c r="G20">
        <f>B20</f>
        <v>86400</v>
      </c>
      <c r="H20">
        <f t="shared" si="29"/>
        <v>86400</v>
      </c>
      <c r="I20" s="61">
        <f t="shared" si="3"/>
        <v>86400</v>
      </c>
      <c r="J20">
        <f t="shared" si="13"/>
        <v>0.33700000000000002</v>
      </c>
      <c r="K20">
        <f t="shared" si="4"/>
        <v>0.31598513011152418</v>
      </c>
      <c r="L20">
        <f t="shared" si="4"/>
        <v>0.27004219409282693</v>
      </c>
      <c r="M20">
        <f t="shared" si="4"/>
        <v>0.31678010000000001</v>
      </c>
      <c r="N20">
        <f t="shared" si="14"/>
        <v>0.30995185605108777</v>
      </c>
      <c r="O20" s="61">
        <f t="shared" si="15"/>
        <v>86400</v>
      </c>
      <c r="P20">
        <f t="shared" si="16"/>
        <v>0.3175898436470061</v>
      </c>
      <c r="Q20">
        <f t="shared" si="17"/>
        <v>0.33700694523574726</v>
      </c>
      <c r="R20">
        <f t="shared" si="17"/>
        <v>0.26688637292500295</v>
      </c>
      <c r="S20">
        <f t="shared" si="17"/>
        <v>0.23340851613160782</v>
      </c>
      <c r="T20" s="299">
        <f t="shared" si="17"/>
        <v>0.28844458041739285</v>
      </c>
      <c r="U20" s="28">
        <f t="shared" si="18"/>
        <v>0.31776818702587933</v>
      </c>
      <c r="V20" s="61">
        <f t="shared" si="5"/>
        <v>86400</v>
      </c>
      <c r="W20" s="79">
        <f t="shared" si="30"/>
        <v>0.31758984380847699</v>
      </c>
      <c r="X20">
        <f t="shared" ref="X20:Z23" si="31">X$10*(1+$I20)^-X$11 + X$12</f>
        <v>0.36521927880194599</v>
      </c>
      <c r="Y20">
        <f t="shared" si="31"/>
        <v>0.2817432336318228</v>
      </c>
      <c r="Z20">
        <f t="shared" si="31"/>
        <v>0.2362896265904037</v>
      </c>
      <c r="AC20" s="61">
        <f t="shared" si="20"/>
        <v>86400</v>
      </c>
      <c r="AD20">
        <f t="shared" si="21"/>
        <v>0.31594889677635141</v>
      </c>
      <c r="AE20">
        <f t="shared" si="22"/>
        <v>0.32056084583415478</v>
      </c>
      <c r="AF20">
        <f t="shared" si="22"/>
        <v>0.26573192261451334</v>
      </c>
      <c r="AG20">
        <f t="shared" si="22"/>
        <v>0.2696433033682708</v>
      </c>
      <c r="AJ20" s="61">
        <f t="shared" si="6"/>
        <v>86400</v>
      </c>
      <c r="AK20" s="265">
        <f t="shared" si="23"/>
        <v>0.31594889677635141</v>
      </c>
      <c r="AL20">
        <f t="shared" si="24"/>
        <v>0.32056084583415478</v>
      </c>
      <c r="AM20">
        <f t="shared" si="24"/>
        <v>0.26573192261451334</v>
      </c>
      <c r="AN20">
        <f t="shared" si="24"/>
        <v>0.2696433033682708</v>
      </c>
      <c r="AQ20" s="61">
        <f>24*3600</f>
        <v>86400</v>
      </c>
      <c r="AR20" s="265">
        <f t="shared" si="25"/>
        <v>0.31568873825480614</v>
      </c>
      <c r="AS20">
        <f t="shared" si="26"/>
        <v>0.32076011547851024</v>
      </c>
      <c r="AT20">
        <f t="shared" si="26"/>
        <v>0.26711240788668489</v>
      </c>
      <c r="AU20">
        <f t="shared" si="26"/>
        <v>0.27662842098020263</v>
      </c>
      <c r="AV20" s="299">
        <f t="shared" si="26"/>
        <v>0.29097481131730213</v>
      </c>
      <c r="AX20" s="61">
        <f>24*3600</f>
        <v>86400</v>
      </c>
      <c r="AY20" s="265">
        <f>(AY$10+AY$14)*EXP(-$AQ20*AY$11) + ((AY$10+AY$14)* AY$12/(AY$11-AY$13))*(EXP(-$I20*AY$13)-EXP(-$I20*AY$11) )</f>
        <v>0.31346724619636895</v>
      </c>
      <c r="AZ20">
        <f>(AZ$10+AZ$14)*EXP(-$AQ20*AZ$11) + ((AZ$10+AZ$14)* AZ$12/(AZ$11-AZ$13))*(EXP(-$I20*AZ$13)-EXP(-$I20*AZ$11) )</f>
        <v>0.33554489314383906</v>
      </c>
      <c r="BA20">
        <f>(BA$10+BA$14)*EXP(-$AQ20*BA$11) + ((BA$10+BA$14)* BA$12/(BA$11-BA$13))*(EXP(-$I20*BA$13)-EXP(-$I20*BA$11) )</f>
        <v>0.26942064891871403</v>
      </c>
      <c r="BB20">
        <f>(BB$10+BB$14)*EXP(-$AQ20*BB$11) + ((BB$10+BB$14)* BB$12/(BB$11-BB$13))*(EXP(-$I20*BB$13)-EXP(-$I20*BB$11) )</f>
        <v>0.28826165732545966</v>
      </c>
      <c r="BE20" s="61">
        <f>24*3600</f>
        <v>86400</v>
      </c>
      <c r="BF20">
        <f>BF$10*EXP(-$AQ20*BF$11) + (BF$10* BF$12/(BF$11-BF$13))*(EXP(-$I20*BF$13)-EXP(-$I20*BF$11) )</f>
        <v>0.28991484525641326</v>
      </c>
      <c r="BG20">
        <f t="shared" ref="BG20:BI23" si="32">BG$10*EXP(-$I20*BG$11) + (BG$10* BG$12/(BG$11-BG$13))*(EXP(-$I20*BG$13)-EXP(-$I20*BG$11) )</f>
        <v>0.32076011547851024</v>
      </c>
      <c r="BH20">
        <f t="shared" si="32"/>
        <v>0.26711240788668489</v>
      </c>
      <c r="BI20">
        <f t="shared" si="32"/>
        <v>0.27662842098020263</v>
      </c>
      <c r="BL20" s="61">
        <f t="shared" si="9"/>
        <v>86400</v>
      </c>
      <c r="BM20">
        <f t="shared" si="27"/>
        <v>0.31452497892560771</v>
      </c>
      <c r="BN20">
        <f t="shared" si="10"/>
        <v>0.33237470121922441</v>
      </c>
      <c r="BO20">
        <f t="shared" si="10"/>
        <v>0.2624797845905904</v>
      </c>
      <c r="BP20">
        <f t="shared" si="10"/>
        <v>0.22983058382594845</v>
      </c>
      <c r="BQ20">
        <f t="shared" si="10"/>
        <v>0.28454623006090007</v>
      </c>
      <c r="BT20" s="61">
        <f t="shared" si="11"/>
        <v>86400</v>
      </c>
      <c r="BU20">
        <f t="shared" si="28"/>
        <v>0.30994154441843863</v>
      </c>
      <c r="BV20">
        <f t="shared" si="12"/>
        <v>0.32869457565890037</v>
      </c>
      <c r="BW20">
        <f t="shared" si="12"/>
        <v>0.25951303305274848</v>
      </c>
      <c r="BX20">
        <f t="shared" si="12"/>
        <v>0.22620678594016014</v>
      </c>
      <c r="BY20">
        <f t="shared" si="12"/>
        <v>0.28065659072291649</v>
      </c>
    </row>
    <row r="21" spans="1:77" x14ac:dyDescent="0.35">
      <c r="A21" s="97" t="s">
        <v>112</v>
      </c>
      <c r="B21" s="61">
        <f>48*3600</f>
        <v>172800</v>
      </c>
      <c r="C21" s="211">
        <v>27.8</v>
      </c>
      <c r="D21" s="89">
        <f>(('Data fits from V1.4'!D11-'Data fits from V1.4'!E11)/'Data fits from V1.4'!D11)*100</f>
        <v>36.501901140684417</v>
      </c>
      <c r="E21" s="87">
        <f>(('Data fits from V1.4'!F11-'Data fits from V1.4'!G11)/'Data fits from V1.4'!F11)*100</f>
        <v>28.571428571428577</v>
      </c>
      <c r="F21" s="212">
        <v>23.000399999999999</v>
      </c>
      <c r="G21">
        <f t="shared" ref="G21:G23" si="33">B21</f>
        <v>172800</v>
      </c>
      <c r="H21">
        <f t="shared" si="29"/>
        <v>172800</v>
      </c>
      <c r="I21" s="61">
        <f t="shared" si="3"/>
        <v>172800</v>
      </c>
      <c r="J21">
        <f t="shared" si="13"/>
        <v>0.27800000000000002</v>
      </c>
      <c r="K21">
        <f t="shared" si="4"/>
        <v>0.36501901140684417</v>
      </c>
      <c r="L21">
        <f t="shared" si="4"/>
        <v>0.28571428571428575</v>
      </c>
      <c r="M21">
        <f t="shared" si="4"/>
        <v>0.23000399999999999</v>
      </c>
      <c r="N21">
        <f t="shared" si="14"/>
        <v>0.28968432428028246</v>
      </c>
      <c r="O21" s="61">
        <f t="shared" si="15"/>
        <v>172800</v>
      </c>
      <c r="P21">
        <f t="shared" si="16"/>
        <v>0.29018867329154691</v>
      </c>
      <c r="Q21">
        <f t="shared" si="17"/>
        <v>0.31606322721859426</v>
      </c>
      <c r="R21">
        <f t="shared" si="17"/>
        <v>0.24919239758672984</v>
      </c>
      <c r="S21">
        <f t="shared" si="17"/>
        <v>0.20791199340007238</v>
      </c>
      <c r="T21" s="299">
        <f t="shared" si="17"/>
        <v>0.26505561792523746</v>
      </c>
      <c r="U21" s="28">
        <f t="shared" si="18"/>
        <v>0.29031861269456782</v>
      </c>
      <c r="V21" s="61">
        <f t="shared" si="5"/>
        <v>172800</v>
      </c>
      <c r="W21" s="79">
        <f t="shared" si="30"/>
        <v>0.29018867350258459</v>
      </c>
      <c r="X21">
        <f t="shared" si="31"/>
        <v>0.33567866590120587</v>
      </c>
      <c r="Y21">
        <f t="shared" si="31"/>
        <v>0.25952980071944098</v>
      </c>
      <c r="Z21">
        <f t="shared" si="31"/>
        <v>0.21038999921189225</v>
      </c>
      <c r="AC21" s="61">
        <f t="shared" si="20"/>
        <v>172800</v>
      </c>
      <c r="AD21">
        <f t="shared" si="21"/>
        <v>0.31110673797710037</v>
      </c>
      <c r="AE21">
        <f t="shared" si="22"/>
        <v>0.31842689892374504</v>
      </c>
      <c r="AF21">
        <f t="shared" si="22"/>
        <v>0.26294461552841714</v>
      </c>
      <c r="AG21">
        <f t="shared" si="22"/>
        <v>0.25097068215051865</v>
      </c>
      <c r="AJ21" s="61">
        <f t="shared" si="6"/>
        <v>172800</v>
      </c>
      <c r="AK21" s="265">
        <f t="shared" si="23"/>
        <v>0.31110673797710037</v>
      </c>
      <c r="AL21">
        <f t="shared" si="24"/>
        <v>0.31842689892374504</v>
      </c>
      <c r="AM21">
        <f t="shared" si="24"/>
        <v>0.26294461552841714</v>
      </c>
      <c r="AN21">
        <f t="shared" si="24"/>
        <v>0.25097068215051865</v>
      </c>
      <c r="AQ21" s="61">
        <f>48*3600</f>
        <v>172800</v>
      </c>
      <c r="AR21" s="265">
        <f t="shared" si="25"/>
        <v>0.3108505665831659</v>
      </c>
      <c r="AS21">
        <f t="shared" si="26"/>
        <v>0.31862484204702052</v>
      </c>
      <c r="AT21">
        <f t="shared" si="26"/>
        <v>0.26431062065705335</v>
      </c>
      <c r="AU21">
        <f t="shared" si="26"/>
        <v>0.25856011943437107</v>
      </c>
      <c r="AV21" s="299">
        <f t="shared" si="26"/>
        <v>0.2864077927705459</v>
      </c>
      <c r="AX21" s="61">
        <f>48*3600</f>
        <v>172800</v>
      </c>
      <c r="AY21">
        <f t="shared" ref="AY21:BB23" si="34">(AY$10+AY$14)*EXP(-$AQ21*AY$11) + ((AY$10+AY$14)* AY$12/(AY$11-AY$13))*(EXP(-$I21*AY$13)-EXP(-$I21*AY$11) )</f>
        <v>0.30940776024401806</v>
      </c>
      <c r="AZ21">
        <f t="shared" si="34"/>
        <v>0.33259025927700864</v>
      </c>
      <c r="BA21">
        <f t="shared" si="34"/>
        <v>0.26630455731813368</v>
      </c>
      <c r="BB21">
        <f t="shared" si="34"/>
        <v>0.26014019039264935</v>
      </c>
      <c r="BE21" s="61">
        <f>48*3600</f>
        <v>172800</v>
      </c>
      <c r="BF21">
        <f>BF$10*EXP(-$AQ21*BF$11) + (BF$10* BF$12/(BF$11-BF$13))*(EXP(-$I21*BF$13)-EXP(-$I21*BF$11) )</f>
        <v>0.25541358707589523</v>
      </c>
      <c r="BG21">
        <f t="shared" si="32"/>
        <v>0.31862484204702052</v>
      </c>
      <c r="BH21">
        <f t="shared" si="32"/>
        <v>0.26431062065705335</v>
      </c>
      <c r="BI21">
        <f t="shared" si="32"/>
        <v>0.25856011943437107</v>
      </c>
      <c r="BL21" s="61">
        <f t="shared" si="9"/>
        <v>172800</v>
      </c>
      <c r="BM21">
        <f t="shared" si="27"/>
        <v>0.28937412880671243</v>
      </c>
      <c r="BN21">
        <f t="shared" si="10"/>
        <v>0.3140368859257856</v>
      </c>
      <c r="BO21">
        <f t="shared" si="10"/>
        <v>0.24716016767262006</v>
      </c>
      <c r="BP21">
        <f t="shared" si="10"/>
        <v>0.20590532006484064</v>
      </c>
      <c r="BQ21">
        <f t="shared" si="10"/>
        <v>0.2635369513762712</v>
      </c>
      <c r="BT21" s="61">
        <f t="shared" si="11"/>
        <v>172800</v>
      </c>
      <c r="BU21">
        <f t="shared" si="28"/>
        <v>0.28708985896936073</v>
      </c>
      <c r="BV21">
        <f t="shared" si="12"/>
        <v>0.31141052281179477</v>
      </c>
      <c r="BW21">
        <f t="shared" si="12"/>
        <v>0.24542453995263094</v>
      </c>
      <c r="BX21">
        <f t="shared" si="12"/>
        <v>0.20562386626792817</v>
      </c>
      <c r="BY21">
        <f t="shared" si="12"/>
        <v>0.2616647144793966</v>
      </c>
    </row>
    <row r="22" spans="1:77" x14ac:dyDescent="0.35">
      <c r="A22" s="97" t="s">
        <v>113</v>
      </c>
      <c r="B22" s="61">
        <f>6*24*3600</f>
        <v>518400</v>
      </c>
      <c r="C22" s="211">
        <v>25.4</v>
      </c>
      <c r="D22" s="89">
        <f>(('Data fits from V1.4'!D12-'Data fits from V1.4'!E12)/'Data fits from V1.4'!D12)*100</f>
        <v>30.894308943089431</v>
      </c>
      <c r="E22" s="87">
        <f>(('Data fits from V1.4'!F12-'Data fits from V1.4'!G12)/'Data fits from V1.4'!F12)*100</f>
        <v>20.524017467248907</v>
      </c>
      <c r="F22" s="212">
        <v>16.820180000000001</v>
      </c>
      <c r="G22">
        <f t="shared" si="33"/>
        <v>518400</v>
      </c>
      <c r="H22">
        <f t="shared" si="29"/>
        <v>518400</v>
      </c>
      <c r="I22" s="61">
        <f t="shared" si="3"/>
        <v>518400</v>
      </c>
      <c r="J22">
        <f t="shared" si="13"/>
        <v>0.254</v>
      </c>
      <c r="K22">
        <f t="shared" si="4"/>
        <v>0.30894308943089432</v>
      </c>
      <c r="L22">
        <f t="shared" si="4"/>
        <v>0.20524017467248906</v>
      </c>
      <c r="M22">
        <f t="shared" si="4"/>
        <v>0.16820180000000001</v>
      </c>
      <c r="N22">
        <f t="shared" si="14"/>
        <v>0.23409626602584588</v>
      </c>
      <c r="O22" s="61">
        <f t="shared" si="15"/>
        <v>518400</v>
      </c>
      <c r="P22">
        <f t="shared" si="16"/>
        <v>0.25151945341137166</v>
      </c>
      <c r="Q22">
        <f t="shared" si="17"/>
        <v>0.28550187530982413</v>
      </c>
      <c r="R22">
        <f t="shared" si="17"/>
        <v>0.22351978662023247</v>
      </c>
      <c r="S22">
        <f t="shared" si="17"/>
        <v>0.17308329322200589</v>
      </c>
      <c r="T22" s="299">
        <f t="shared" si="17"/>
        <v>0.23180798837263125</v>
      </c>
      <c r="U22" s="28">
        <f t="shared" si="18"/>
        <v>0.2515869013350201</v>
      </c>
      <c r="V22" s="61">
        <f t="shared" si="5"/>
        <v>518400</v>
      </c>
      <c r="W22" s="79">
        <f t="shared" si="30"/>
        <v>0.25151945368151901</v>
      </c>
      <c r="X22">
        <f t="shared" si="31"/>
        <v>0.29629471345833014</v>
      </c>
      <c r="Y22">
        <f t="shared" si="31"/>
        <v>0.22885064168523481</v>
      </c>
      <c r="Z22">
        <f t="shared" si="31"/>
        <v>0.1753000898868626</v>
      </c>
      <c r="AC22" s="61">
        <f t="shared" si="20"/>
        <v>518400</v>
      </c>
      <c r="AD22">
        <f t="shared" si="21"/>
        <v>0.29246891438606465</v>
      </c>
      <c r="AE22">
        <f t="shared" si="22"/>
        <v>0.31003222385454388</v>
      </c>
      <c r="AF22">
        <f t="shared" si="22"/>
        <v>0.25208470191915594</v>
      </c>
      <c r="AG22">
        <f t="shared" si="22"/>
        <v>0.18834599925034667</v>
      </c>
      <c r="AJ22" s="61">
        <f t="shared" si="6"/>
        <v>518400</v>
      </c>
      <c r="AK22" s="265">
        <f t="shared" si="23"/>
        <v>0.29246891438606465</v>
      </c>
      <c r="AL22">
        <f t="shared" si="24"/>
        <v>0.31003222385454388</v>
      </c>
      <c r="AM22">
        <f t="shared" si="24"/>
        <v>0.25208470191915594</v>
      </c>
      <c r="AN22">
        <f t="shared" si="24"/>
        <v>0.18834599925034667</v>
      </c>
      <c r="AQ22" s="61">
        <f>6*24*3600</f>
        <v>518400</v>
      </c>
      <c r="AR22" s="265">
        <f t="shared" si="25"/>
        <v>0.29222808974186715</v>
      </c>
      <c r="AS22">
        <f t="shared" si="26"/>
        <v>0.31022494861150768</v>
      </c>
      <c r="AT22">
        <f t="shared" si="26"/>
        <v>0.25339428947233816</v>
      </c>
      <c r="AU22">
        <f t="shared" si="26"/>
        <v>0.19734244629252598</v>
      </c>
      <c r="AV22" s="299">
        <f t="shared" si="26"/>
        <v>0.26884537576219875</v>
      </c>
      <c r="AX22" s="61">
        <f>6*24*3600</f>
        <v>518400</v>
      </c>
      <c r="AY22">
        <f t="shared" si="34"/>
        <v>0.29368876671289135</v>
      </c>
      <c r="AZ22">
        <f t="shared" si="34"/>
        <v>0.32102961374766492</v>
      </c>
      <c r="BA22">
        <f t="shared" si="34"/>
        <v>0.25419645052989154</v>
      </c>
      <c r="BB22">
        <f t="shared" si="34"/>
        <v>0.17253998339373147</v>
      </c>
      <c r="BE22" s="61">
        <f>6*24*3600</f>
        <v>518400</v>
      </c>
      <c r="BF22">
        <f>BF$10*EXP(-$AQ22*BF$11) + (BF$10* BF$12/(BF$11-BF$13))*(EXP(-$I22*BF$13)-EXP(-$I22*BF$11) )</f>
        <v>0.24954262448479816</v>
      </c>
      <c r="BG22">
        <f t="shared" si="32"/>
        <v>0.31022494861150768</v>
      </c>
      <c r="BH22">
        <f t="shared" si="32"/>
        <v>0.25339428947233816</v>
      </c>
      <c r="BI22">
        <f t="shared" si="32"/>
        <v>0.19734244629252598</v>
      </c>
      <c r="BL22" s="61">
        <f t="shared" si="9"/>
        <v>518400</v>
      </c>
      <c r="BM22">
        <f t="shared" si="27"/>
        <v>0.25432391118709341</v>
      </c>
      <c r="BN22">
        <f t="shared" si="10"/>
        <v>0.28808184774557466</v>
      </c>
      <c r="BO22">
        <f t="shared" si="10"/>
        <v>0.22565264449690092</v>
      </c>
      <c r="BP22">
        <f t="shared" si="10"/>
        <v>0.17353690050387371</v>
      </c>
      <c r="BQ22">
        <f t="shared" si="10"/>
        <v>0.23424282567315546</v>
      </c>
      <c r="BT22" s="61">
        <f t="shared" si="11"/>
        <v>518400</v>
      </c>
      <c r="BU22">
        <f t="shared" si="28"/>
        <v>0.25645232593616224</v>
      </c>
      <c r="BV22">
        <f t="shared" si="12"/>
        <v>0.28776347094027382</v>
      </c>
      <c r="BW22">
        <f t="shared" si="12"/>
        <v>0.22633382894461024</v>
      </c>
      <c r="BX22">
        <f t="shared" si="12"/>
        <v>0.17885000869247783</v>
      </c>
      <c r="BY22">
        <f t="shared" si="12"/>
        <v>0.23617655035505442</v>
      </c>
    </row>
    <row r="23" spans="1:77" x14ac:dyDescent="0.35">
      <c r="A23" s="11" t="s">
        <v>114</v>
      </c>
      <c r="B23" s="61">
        <f>31*24*3600</f>
        <v>2678400</v>
      </c>
      <c r="C23" s="213">
        <v>21.1</v>
      </c>
      <c r="D23" s="214">
        <f>(('Data fits from V1.4'!D13-'Data fits from V1.4'!E13)/'Data fits from V1.4'!D13)*100</f>
        <v>25.842696629213478</v>
      </c>
      <c r="E23" s="215">
        <f>(('Data fits from V1.4'!F13-'Data fits from V1.4'!G13)/'Data fits from V1.4'!F13)*100</f>
        <v>20.080321285140563</v>
      </c>
      <c r="F23" s="216">
        <v>4.0969850000000001</v>
      </c>
      <c r="G23">
        <f t="shared" si="33"/>
        <v>2678400</v>
      </c>
      <c r="H23">
        <f t="shared" si="29"/>
        <v>2678400</v>
      </c>
      <c r="I23" s="61">
        <f t="shared" si="3"/>
        <v>2678400</v>
      </c>
      <c r="J23">
        <f t="shared" si="13"/>
        <v>0.21100000000000002</v>
      </c>
      <c r="K23">
        <f t="shared" si="4"/>
        <v>0.2584269662921348</v>
      </c>
      <c r="L23">
        <f t="shared" si="4"/>
        <v>0.20080321285140562</v>
      </c>
      <c r="M23">
        <f t="shared" si="4"/>
        <v>4.0969850000000002E-2</v>
      </c>
      <c r="N23">
        <f t="shared" si="14"/>
        <v>0.1778000072858851</v>
      </c>
      <c r="O23" s="61">
        <f t="shared" si="15"/>
        <v>2678400</v>
      </c>
      <c r="P23">
        <f t="shared" si="16"/>
        <v>0.2031092700948586</v>
      </c>
      <c r="Q23">
        <f t="shared" si="17"/>
        <v>0.24523929479064266</v>
      </c>
      <c r="R23">
        <f t="shared" si="17"/>
        <v>0.1899906200193488</v>
      </c>
      <c r="S23">
        <f t="shared" si="17"/>
        <v>0.13159236796261048</v>
      </c>
      <c r="T23" s="299">
        <f t="shared" si="17"/>
        <v>0.18972159469259328</v>
      </c>
      <c r="U23" s="28">
        <f t="shared" si="18"/>
        <v>0.20310932696265874</v>
      </c>
      <c r="V23" s="61">
        <f t="shared" si="5"/>
        <v>2678400</v>
      </c>
      <c r="W23" s="79">
        <f t="shared" si="30"/>
        <v>0.20310927041830895</v>
      </c>
      <c r="X23">
        <f t="shared" si="31"/>
        <v>0.25108263422711657</v>
      </c>
      <c r="Y23">
        <f t="shared" si="31"/>
        <v>0.19168590921936016</v>
      </c>
      <c r="Z23">
        <f t="shared" si="31"/>
        <v>0.13401792413262023</v>
      </c>
      <c r="AC23" s="61">
        <f t="shared" si="20"/>
        <v>2678400</v>
      </c>
      <c r="AD23">
        <f t="shared" si="21"/>
        <v>0.19878978416250481</v>
      </c>
      <c r="AE23">
        <f t="shared" si="22"/>
        <v>0.26235457153206349</v>
      </c>
      <c r="AF23">
        <f t="shared" si="22"/>
        <v>0.19366908286579293</v>
      </c>
      <c r="AG23">
        <f>AG$10*EXP(-$I23*AG$11)+AG$12*EXP(-$I23*AG$13)</f>
        <v>3.1317724728772582E-2</v>
      </c>
      <c r="AJ23" s="61">
        <f>AD23</f>
        <v>0.19878978416250481</v>
      </c>
      <c r="AK23" s="265">
        <f t="shared" si="23"/>
        <v>0.19878978416250481</v>
      </c>
      <c r="AL23">
        <f t="shared" si="24"/>
        <v>0.26235457153206349</v>
      </c>
      <c r="AM23">
        <f t="shared" si="24"/>
        <v>0.19366908286579293</v>
      </c>
      <c r="AN23">
        <f t="shared" si="24"/>
        <v>3.1317724728772582E-2</v>
      </c>
      <c r="AQ23" s="61">
        <f>31*24*3600</f>
        <v>2678400</v>
      </c>
      <c r="AR23" s="265">
        <f t="shared" si="25"/>
        <v>0.19862609675271112</v>
      </c>
      <c r="AS23">
        <f t="shared" si="26"/>
        <v>0.26251765851833941</v>
      </c>
      <c r="AT23">
        <f t="shared" si="26"/>
        <v>0.19467519953382698</v>
      </c>
      <c r="AU23">
        <f t="shared" si="26"/>
        <v>3.6461879894574792E-2</v>
      </c>
      <c r="AV23" s="299">
        <f t="shared" si="26"/>
        <v>0.18102495530214155</v>
      </c>
      <c r="AX23" s="61">
        <f>31*24*3600</f>
        <v>2678400</v>
      </c>
      <c r="AY23">
        <f t="shared" si="34"/>
        <v>0.21201333127199007</v>
      </c>
      <c r="AZ23">
        <f t="shared" si="34"/>
        <v>0.25734599405775976</v>
      </c>
      <c r="BA23">
        <f t="shared" si="34"/>
        <v>0.19004764957286058</v>
      </c>
      <c r="BB23">
        <f t="shared" si="34"/>
        <v>1.3255744215221129E-2</v>
      </c>
      <c r="BE23" s="61">
        <f>31*24*3600</f>
        <v>2678400</v>
      </c>
      <c r="BF23">
        <f>BF$10*EXP(-$AQ23*BF$11) + (BF$10* BF$12/(BF$11-BF$13))*(EXP(-$I23*BF$13)-EXP(-$I23*BF$11) )</f>
        <v>0.23701649936921099</v>
      </c>
      <c r="BG23">
        <f t="shared" si="32"/>
        <v>0.26251765851833941</v>
      </c>
      <c r="BH23">
        <f t="shared" si="32"/>
        <v>0.19467519953382698</v>
      </c>
      <c r="BI23">
        <f t="shared" si="32"/>
        <v>3.6461879894574792E-2</v>
      </c>
      <c r="BL23" s="61">
        <f t="shared" si="9"/>
        <v>2678400</v>
      </c>
      <c r="BM23">
        <f t="shared" si="27"/>
        <v>0.21080253860861786</v>
      </c>
      <c r="BN23">
        <f t="shared" si="10"/>
        <v>0.25491423651953504</v>
      </c>
      <c r="BO23">
        <f t="shared" si="10"/>
        <v>0.19845759838407184</v>
      </c>
      <c r="BP23">
        <f t="shared" si="10"/>
        <v>0.13514053054082165</v>
      </c>
      <c r="BQ23">
        <f t="shared" si="10"/>
        <v>0.19772543224509442</v>
      </c>
      <c r="BT23" s="61">
        <f t="shared" si="11"/>
        <v>2678400</v>
      </c>
      <c r="BU23">
        <f t="shared" si="28"/>
        <v>0.22025871709532002</v>
      </c>
      <c r="BV23">
        <f t="shared" si="12"/>
        <v>0.25892476559549499</v>
      </c>
      <c r="BW23">
        <f t="shared" si="12"/>
        <v>0.20331670321218295</v>
      </c>
      <c r="BX23">
        <f t="shared" si="12"/>
        <v>0.14846842132632837</v>
      </c>
      <c r="BY23">
        <f t="shared" si="12"/>
        <v>0.20593986081878887</v>
      </c>
    </row>
    <row r="24" spans="1:77" x14ac:dyDescent="0.35">
      <c r="J24">
        <f>J19-J20</f>
        <v>2.0999999999999963E-2</v>
      </c>
      <c r="K24">
        <f t="shared" ref="K24:M24" si="35">K19-K20</f>
        <v>-3.0861163169375483E-2</v>
      </c>
      <c r="L24">
        <f t="shared" si="35"/>
        <v>-2.747522323617857E-4</v>
      </c>
      <c r="M24">
        <f t="shared" si="35"/>
        <v>-4.0335200000000015E-2</v>
      </c>
      <c r="O24" s="262" t="s">
        <v>239</v>
      </c>
      <c r="P24" t="b">
        <f>OR($J20&gt;P20,$J21&gt;P21)</f>
        <v>1</v>
      </c>
      <c r="Q24" t="b">
        <f>OR($K20&gt;Q20,$K21&gt;Q21)</f>
        <v>1</v>
      </c>
      <c r="R24" t="b">
        <f>OR($L20&gt;R20,$L21&gt;R21)</f>
        <v>1</v>
      </c>
      <c r="S24" t="b">
        <f>OR($M20&gt;S20,$M21&gt;S21)</f>
        <v>1</v>
      </c>
      <c r="T24" t="b">
        <f>OR($N20&gt;T20,$N21&gt;T21)</f>
        <v>1</v>
      </c>
      <c r="U24" s="28"/>
      <c r="W24" t="b">
        <f>OR($J20&gt;W20,$J21&gt;W21)</f>
        <v>1</v>
      </c>
      <c r="X24" t="b">
        <f>OR($K20&gt;X20,$K21&gt;X21)</f>
        <v>1</v>
      </c>
      <c r="Y24" t="b">
        <f>OR($L20&gt;Y20,$L21&gt;Y21)</f>
        <v>1</v>
      </c>
      <c r="Z24" t="b">
        <f>OR($M20&gt;Z20,$M21&gt;Z21)</f>
        <v>1</v>
      </c>
      <c r="AA24" t="b">
        <f>OR($N20&gt;AA20,$N21&gt;AA21)</f>
        <v>1</v>
      </c>
      <c r="AD24" t="b">
        <f>OR($J20&gt;AD20,$J21&gt;AD21)</f>
        <v>1</v>
      </c>
      <c r="AE24" t="b">
        <f>OR($K20&gt;AE20,$K21&gt;AE21)</f>
        <v>1</v>
      </c>
      <c r="AF24" t="b">
        <f>OR($L20&gt;AF20,$L21&gt;AF21)</f>
        <v>1</v>
      </c>
      <c r="AG24" t="b">
        <f>OR($M20&gt;AG20,$M21&gt;AG21)</f>
        <v>1</v>
      </c>
      <c r="AH24" t="b">
        <f>OR($N20&gt;AH20,$N21&gt;AH21)</f>
        <v>1</v>
      </c>
      <c r="AR24" t="b">
        <f>OR($J20&gt;AR20,$J21&gt;AR21)</f>
        <v>1</v>
      </c>
      <c r="AS24" t="b">
        <f>OR($K20&gt;AS20,$K21&gt;AS21)</f>
        <v>1</v>
      </c>
      <c r="AT24" t="b">
        <f>OR($L20&gt;AT20,$L21&gt;AT21)</f>
        <v>1</v>
      </c>
      <c r="AU24" t="b">
        <f>OR($M20&gt;AU20,$M21&gt;AU21)</f>
        <v>1</v>
      </c>
      <c r="AV24" t="b">
        <f>OR($N20&gt;AV20,$N21&gt;AV21)</f>
        <v>1</v>
      </c>
      <c r="AY24" t="b">
        <f>OR($J20&gt;AY20,$J21&gt;AY21)</f>
        <v>1</v>
      </c>
      <c r="AZ24" t="b">
        <f>OR($K20&gt;AZ20,$K21&gt;AZ21)</f>
        <v>1</v>
      </c>
      <c r="BA24" t="b">
        <f>OR($L20&gt;BA20,$L21&gt;BA21)</f>
        <v>1</v>
      </c>
      <c r="BB24" t="b">
        <f>OR($M20&gt;BB20,$M21&gt;BB21)</f>
        <v>1</v>
      </c>
      <c r="BC24" t="b">
        <f>OR($N20&gt;BC20,$N21&gt;BC21)</f>
        <v>1</v>
      </c>
      <c r="BF24" t="b">
        <f>OR($J20&gt;BF20,$J21&gt;BF21)</f>
        <v>1</v>
      </c>
      <c r="BG24" t="b">
        <f>OR($K20&gt;BG20,$K21&gt;BG21)</f>
        <v>1</v>
      </c>
      <c r="BH24" t="b">
        <f>OR($L20&gt;BH20,$L21&gt;BH21)</f>
        <v>1</v>
      </c>
      <c r="BI24" t="b">
        <f>OR($M20&gt;BI20,$M21&gt;BI21)</f>
        <v>1</v>
      </c>
      <c r="BJ24" t="b">
        <f>OR($N20&gt;BJ20,$N21&gt;BJ21)</f>
        <v>1</v>
      </c>
      <c r="BM24" t="b">
        <f>OR($J20&gt;BM20,$J21&gt;BM21)</f>
        <v>1</v>
      </c>
      <c r="BN24" t="b">
        <f>OR($K20&gt;BN20,$K21&gt;BN21)</f>
        <v>1</v>
      </c>
      <c r="BO24" t="b">
        <f>OR($L20&gt;BO20,$L21&gt;BO21)</f>
        <v>1</v>
      </c>
      <c r="BP24" t="b">
        <f>OR($M20&gt;BP20,$M21&gt;BP21)</f>
        <v>1</v>
      </c>
      <c r="BQ24" t="b">
        <f>OR($N20&gt;BQ20,$N21&gt;BQ21)</f>
        <v>1</v>
      </c>
      <c r="BU24" t="b">
        <f>OR($J20&gt;BU20,$J21&gt;BU21)</f>
        <v>1</v>
      </c>
      <c r="BV24" t="b">
        <f>OR($K20&gt;BV20,$K21&gt;BV21)</f>
        <v>1</v>
      </c>
      <c r="BW24" t="b">
        <f>OR($L20&gt;BW20,$L21&gt;BW21)</f>
        <v>1</v>
      </c>
      <c r="BX24" t="b">
        <f>OR($M20&gt;BX20,$M21&gt;BX21)</f>
        <v>1</v>
      </c>
      <c r="BY24" t="b">
        <f>OR($N20&gt;BY20,$N21&gt;BY21)</f>
        <v>1</v>
      </c>
    </row>
    <row r="25" spans="1:77" x14ac:dyDescent="0.35">
      <c r="J25">
        <f>J19-J21</f>
        <v>7.999999999999996E-2</v>
      </c>
      <c r="K25">
        <f t="shared" ref="K25:M25" si="36">K19-K21</f>
        <v>-7.9895044464695475E-2</v>
      </c>
      <c r="L25">
        <f t="shared" si="36"/>
        <v>-1.5946843853820614E-2</v>
      </c>
      <c r="M25">
        <f t="shared" si="36"/>
        <v>4.6440900000000007E-2</v>
      </c>
      <c r="O25" s="262" t="s">
        <v>240</v>
      </c>
      <c r="P25" t="b">
        <f>OR($J20-P20&gt;$J32,$J21-P21&gt;$J33)</f>
        <v>1</v>
      </c>
      <c r="Q25" t="b">
        <f>OR($K20-Q20&gt;$K32,$K21-Q21&gt;$K33)</f>
        <v>1</v>
      </c>
      <c r="R25" t="b">
        <f>OR($L20-R20&gt;$L32,$L21-R21&gt;$L33)</f>
        <v>1</v>
      </c>
      <c r="S25" t="b">
        <f>OR($M20-S20&gt;$M32,$M21-S21&gt;$M33)</f>
        <v>1</v>
      </c>
      <c r="U25" s="28"/>
      <c r="W25" t="b">
        <f>OR($J20-W20&gt;$J32,$J21-W21&gt;$J33)</f>
        <v>1</v>
      </c>
      <c r="X25" t="b">
        <f>OR($K20-X20&gt;$K32,$K21-X21&gt;$K33)</f>
        <v>1</v>
      </c>
      <c r="Y25" t="b">
        <f>OR($L20-Y20&gt;$L32,$L21-Y21&gt;$L33)</f>
        <v>0</v>
      </c>
      <c r="Z25" t="b">
        <f>OR($M20-Z20&gt;$M32,$M21-Z21&gt;$M33)</f>
        <v>1</v>
      </c>
      <c r="AD25" t="b">
        <f>OR($J20-AD20&gt;$J32,$J21-AD21&gt;$J33)</f>
        <v>1</v>
      </c>
      <c r="AE25" t="b">
        <f>OR($K20-AE20&gt;$K32,$K21-AE21&gt;$K33)</f>
        <v>1</v>
      </c>
      <c r="AF25" t="b">
        <f>OR($L20-AF20&gt;$L32,$L21-AF21&gt;$L33)</f>
        <v>0</v>
      </c>
      <c r="AG25" t="b">
        <f>OR($M20-AG20&gt;$M32,$M21-AG21&gt;$M33)</f>
        <v>1</v>
      </c>
      <c r="AR25" t="b">
        <f>OR($J20-AR20&gt;$J32,$J21-AR21&gt;$J33)</f>
        <v>1</v>
      </c>
      <c r="AS25" t="b">
        <f>OR($K20-AS20&gt;$K32,$K21-AS21&gt;$K33)</f>
        <v>1</v>
      </c>
      <c r="AT25" t="b">
        <f>OR($L20-AT20&gt;$L32,$L21-AT21&gt;$L33)</f>
        <v>0</v>
      </c>
      <c r="AU25" t="b">
        <f>OR($M20-AU20&gt;$M32,$M21-AU21&gt;$M33)</f>
        <v>1</v>
      </c>
      <c r="AY25" t="b">
        <f>OR($J20-AY20&gt;$J32,$J21-AY21&gt;$J33)</f>
        <v>1</v>
      </c>
      <c r="AZ25" t="b">
        <f>OR($K20-AZ20&gt;$K32,$K21-AZ21&gt;$K33)</f>
        <v>1</v>
      </c>
      <c r="BA25" t="b">
        <f>OR($L20-BA20&gt;$L32,$L21-BA21&gt;$L33)</f>
        <v>0</v>
      </c>
      <c r="BB25" t="b">
        <f>OR($M20-BB20&gt;$M32,$M21-BB21&gt;$M33)</f>
        <v>1</v>
      </c>
      <c r="BF25" t="b">
        <f>OR($J20-BF20&gt;$J32,$J21-BF21&gt;$J33)</f>
        <v>1</v>
      </c>
      <c r="BG25" t="b">
        <f>OR($K20-BG20&gt;$K32,$K21-BG21&gt;$K33)</f>
        <v>1</v>
      </c>
      <c r="BH25" t="b">
        <f>OR($L20-BH20&gt;$L32,$L21-BH21&gt;$L33)</f>
        <v>0</v>
      </c>
      <c r="BI25" t="b">
        <f>OR($M20-BI20&gt;$M32,$M21-BI21&gt;$M33)</f>
        <v>1</v>
      </c>
      <c r="BM25" t="b">
        <f>OR($J20-BM20&gt;$J32,$J21-BM21&gt;$J33)</f>
        <v>1</v>
      </c>
      <c r="BN25" t="b">
        <f>OR($K20-BN20&gt;$K32,$K21-BN21&gt;$K33)</f>
        <v>1</v>
      </c>
      <c r="BO25" t="b">
        <f>OR($L20-BO20&gt;$L32,$L21-BO21&gt;$L33)</f>
        <v>1</v>
      </c>
      <c r="BP25" t="b">
        <f>OR($M20-BP20&gt;$M32,$M21-BP21&gt;$M33)</f>
        <v>1</v>
      </c>
      <c r="BU25" t="b">
        <f>OR($J20-BU20&gt;$J32,$J21-BU21&gt;$J33)</f>
        <v>1</v>
      </c>
      <c r="BV25" t="b">
        <f>OR($K20-BV20&gt;$K32,$K21-BV21&gt;$K33)</f>
        <v>1</v>
      </c>
      <c r="BW25" t="b">
        <f>OR($L20-BW20&gt;$L32,$L21-BW21&gt;$L33)</f>
        <v>1</v>
      </c>
      <c r="BX25" t="b">
        <f>OR($M20-BX20&gt;$M32,$M21-BX21&gt;$M33)</f>
        <v>1</v>
      </c>
    </row>
    <row r="26" spans="1:77" x14ac:dyDescent="0.35">
      <c r="J26">
        <f>(J$19-J20)/J32</f>
        <v>1.7499999999999969</v>
      </c>
      <c r="K26">
        <f t="shared" ref="K26:M27" si="37">(K$19-K20)/K32</f>
        <v>-1.0096973647931167</v>
      </c>
      <c r="L26">
        <f t="shared" si="37"/>
        <v>-9.3598070279790353E-3</v>
      </c>
      <c r="M26">
        <f t="shared" si="37"/>
        <v>-2.129533378584421</v>
      </c>
      <c r="U26" s="28"/>
    </row>
    <row r="27" spans="1:77" x14ac:dyDescent="0.35">
      <c r="J27">
        <f>(J$19-J21)/J33</f>
        <v>6.6666666666666634</v>
      </c>
      <c r="K27">
        <f t="shared" si="37"/>
        <v>-3.4972122448795644</v>
      </c>
      <c r="L27">
        <f t="shared" si="37"/>
        <v>-0.54554303820241024</v>
      </c>
      <c r="M27">
        <f t="shared" si="37"/>
        <v>2.9800904459009447</v>
      </c>
      <c r="U27" s="28"/>
    </row>
    <row r="28" spans="1:77" x14ac:dyDescent="0.35">
      <c r="H28" s="61">
        <v>1885</v>
      </c>
      <c r="I28" s="61" t="s">
        <v>160</v>
      </c>
      <c r="J28" s="61" t="str">
        <f>J16</f>
        <v>Ebbinghaus</v>
      </c>
      <c r="K28" s="61" t="str">
        <f>K16</f>
        <v>Mack</v>
      </c>
      <c r="L28" s="61" t="str">
        <f>L16</f>
        <v>Seitz</v>
      </c>
      <c r="M28" s="61" t="str">
        <f>M16</f>
        <v>Dros</v>
      </c>
      <c r="O28" t="s">
        <v>148</v>
      </c>
      <c r="P28">
        <f t="shared" ref="P28:S28" si="38">SUMXMY2(J17:J23,P17:P23)</f>
        <v>2.4395501054934932E-3</v>
      </c>
      <c r="Q28">
        <f>SUMXMY2(K17:K23,Q17:Q23)</f>
        <v>1.2923361011669863E-2</v>
      </c>
      <c r="R28">
        <f t="shared" si="38"/>
        <v>5.2327228100148612E-3</v>
      </c>
      <c r="S28">
        <f t="shared" si="38"/>
        <v>1.6265098715652196E-2</v>
      </c>
      <c r="T28" s="299">
        <f>SUMXMY2(N17:N23,T17:T23)</f>
        <v>3.5971663526465554E-3</v>
      </c>
      <c r="U28" s="28">
        <f>SUMXMY2(J17:J23,U17:U23)</f>
        <v>2.8442214481561793E-3</v>
      </c>
      <c r="V28" t="s">
        <v>148</v>
      </c>
      <c r="W28">
        <f>SUMXMY2(J17:J23,W17:W23)</f>
        <v>2.4395501054934954E-3</v>
      </c>
      <c r="X28">
        <f>SUMXMY2(K17:K23,X17:X23)</f>
        <v>3.547543605522232E-3</v>
      </c>
      <c r="Y28">
        <f>SUMXMY2(L17:L23,Y17:Y23)</f>
        <v>3.0971146273019632E-3</v>
      </c>
      <c r="Z28">
        <f>SUMXMY2(M17:M23,Z17:Z23)</f>
        <v>1.6154853125454442E-2</v>
      </c>
      <c r="AA28" s="61">
        <f>SUM(W28:Z28)</f>
        <v>2.5239061463772132E-2</v>
      </c>
      <c r="AC28" t="s">
        <v>148</v>
      </c>
      <c r="AD28">
        <f>SUMXMY2(J17:J23,AD17:AD23)</f>
        <v>4.6819911156390998E-3</v>
      </c>
      <c r="AE28">
        <f>SUMXMY2(K17:K23,AE17:AE23)</f>
        <v>3.566850313999718E-3</v>
      </c>
      <c r="AF28">
        <f>SUMXMY2(L17:L23,AF17:AF23)</f>
        <v>3.4363347166990153E-3</v>
      </c>
      <c r="AG28">
        <f>SUMXMY2(M17:M23,AG17:AG23)</f>
        <v>3.2265747079403442E-3</v>
      </c>
      <c r="AH28" s="61">
        <f>SUM(AD28:AG28)</f>
        <v>1.4911750854278177E-2</v>
      </c>
      <c r="AJ28" t="s">
        <v>148</v>
      </c>
      <c r="AK28">
        <f>SUMXMY2(J17:J23,AK17:AK23)</f>
        <v>4.6819911156390998E-3</v>
      </c>
      <c r="AL28">
        <f>SUMXMY2(K17:K23,AL17:AL23)</f>
        <v>3.566850313999718E-3</v>
      </c>
      <c r="AM28">
        <f>SUMXMY2(L17:L23,AM17:AM23)</f>
        <v>3.4363347166990153E-3</v>
      </c>
      <c r="AN28">
        <f>SUMXMY2(M17:M23,AN17:AN23)</f>
        <v>3.2265747079403442E-3</v>
      </c>
      <c r="AO28" s="61">
        <f>SUM(AK28:AN28)</f>
        <v>1.4911750854278177E-2</v>
      </c>
      <c r="AQ28" t="s">
        <v>148</v>
      </c>
      <c r="AR28">
        <f>SUMXMY2(J17:J23,AR17:AR23)</f>
        <v>4.6826521782107298E-3</v>
      </c>
      <c r="AS28">
        <f>SUMXMY2(K17:K23,AS17:AS23)</f>
        <v>3.5712849817586064E-3</v>
      </c>
      <c r="AT28">
        <f>SUMXMY2(L17:L23,AT17:AT23)</f>
        <v>3.597812601976723E-3</v>
      </c>
      <c r="AU28">
        <f>SUMXMY2(M17:M23,AU17:AU23)</f>
        <v>3.5718645030360799E-3</v>
      </c>
      <c r="AV28" s="299">
        <f>SUMXMY2(N17:N23,AV17:AV23)</f>
        <v>1.8074137974784688E-3</v>
      </c>
      <c r="AX28" t="s">
        <v>148</v>
      </c>
      <c r="AY28">
        <f>SUMXMY2(J17:J23,AY17:AY23)</f>
        <v>4.9123988141963259E-3</v>
      </c>
      <c r="AZ28">
        <f>SUMXMY2(K17:K23,AZ17:AZ23)</f>
        <v>1.735566216489099E-3</v>
      </c>
      <c r="BA28">
        <f>SUMXMY2(L17:L23,BA17:BA23)</f>
        <v>3.1956831020287491E-3</v>
      </c>
      <c r="BB28">
        <f>SUMXMY2(M17:M23,BB17:BB23)</f>
        <v>2.550532168339969E-3</v>
      </c>
      <c r="BC28">
        <f>SUM(AY28:BB28)</f>
        <v>1.2394180301054145E-2</v>
      </c>
      <c r="BE28" t="s">
        <v>148</v>
      </c>
      <c r="BF28">
        <f>SUMXMY2(J17:J23,BF17:BF23)</f>
        <v>2.9185691467958699E-2</v>
      </c>
      <c r="BG28">
        <f>SUMXMY2(K17:K23,BG17:BG23)</f>
        <v>0.14011182580640097</v>
      </c>
      <c r="BH28">
        <f>SUMXMY2(L17:L23,BH17:BH23)</f>
        <v>0.17443196297015837</v>
      </c>
      <c r="BI28">
        <f>SUMXMY2(M17:M23,BI17:BI23)</f>
        <v>0.13541534638314989</v>
      </c>
      <c r="BJ28">
        <f>SUM(BF28:BI28)</f>
        <v>0.47914482662766789</v>
      </c>
      <c r="BL28" t="s">
        <v>148</v>
      </c>
      <c r="BM28">
        <f>SUMXMY2(J17:J23,BM17:BM23)</f>
        <v>1.8462472008736607E-3</v>
      </c>
      <c r="BN28">
        <f t="shared" ref="BN28:BQ28" si="39">SUMXMY2(K17:K23,BN17:BN23)</f>
        <v>1.0654754188485585E-2</v>
      </c>
      <c r="BO28">
        <f t="shared" si="39"/>
        <v>4.2632233919119864E-3</v>
      </c>
      <c r="BP28">
        <f t="shared" si="39"/>
        <v>1.7689817177934917E-2</v>
      </c>
      <c r="BQ28">
        <f t="shared" si="39"/>
        <v>3.1754705783369301E-3</v>
      </c>
      <c r="BT28" t="s">
        <v>148</v>
      </c>
      <c r="BU28">
        <f>SUMXMY2(J17:J23,BU17:BU23)</f>
        <v>1.8197318225136837E-3</v>
      </c>
      <c r="BV28">
        <f t="shared" ref="BV28:BY28" si="40">SUMXMY2(K17:K23,BV17:BV23)</f>
        <v>9.7642169354188596E-3</v>
      </c>
      <c r="BW28">
        <f t="shared" si="40"/>
        <v>4.0297731573817504E-3</v>
      </c>
      <c r="BX28">
        <f t="shared" si="40"/>
        <v>2.1157347215067856E-2</v>
      </c>
      <c r="BY28">
        <f t="shared" si="40"/>
        <v>3.3814055645577782E-3</v>
      </c>
    </row>
    <row r="29" spans="1:77" ht="15" thickBot="1" x14ac:dyDescent="0.4">
      <c r="H29">
        <f>H17/(24*3600)</f>
        <v>1.3194444444444444E-2</v>
      </c>
      <c r="I29" s="61">
        <f>I17/(24*3600)</f>
        <v>1.3888888888888888E-2</v>
      </c>
      <c r="J29" s="271">
        <f>J7</f>
        <v>1.0916286602324857E-2</v>
      </c>
      <c r="K29" s="271">
        <f>L7</f>
        <v>2.134870994206501E-2</v>
      </c>
      <c r="L29" s="271">
        <f>N7</f>
        <v>2.3072412112816496E-2</v>
      </c>
      <c r="M29" s="271">
        <v>1.4857651330389085E-2</v>
      </c>
      <c r="O29" t="s">
        <v>149</v>
      </c>
      <c r="P29">
        <f>RSQ(J17:J23,P17:P23)</f>
        <v>0.9747280193145792</v>
      </c>
      <c r="Q29">
        <f>RSQ(K17:K23,Q17:Q23)</f>
        <v>0.78393950404057555</v>
      </c>
      <c r="R29">
        <f>RSQ(L17:L23,R17:R23)</f>
        <v>0.86992142961076369</v>
      </c>
      <c r="S29">
        <f>RSQ(M17:M23,S17:S23)</f>
        <v>0.864334846577547</v>
      </c>
      <c r="T29" s="301">
        <f>RSQ(N17:N23,T17:T23)</f>
        <v>0.9489445825190026</v>
      </c>
      <c r="U29" s="28">
        <f>RSQ(J17:J23,U17:U23)</f>
        <v>0.97052715846514437</v>
      </c>
      <c r="V29" t="s">
        <v>149</v>
      </c>
      <c r="W29">
        <f>RSQ(J17:J23,W17:W23)</f>
        <v>0.97472801927329777</v>
      </c>
      <c r="X29">
        <f>RSQ(K17:K23,X17:X23)</f>
        <v>0.94144409121432393</v>
      </c>
      <c r="Y29">
        <f>RSQ(L17:L23,Y17:Y23)</f>
        <v>0.92299961152554888</v>
      </c>
      <c r="Z29">
        <f>RSQ(M17:M23,Z17:Z23)</f>
        <v>0.86608834365151688</v>
      </c>
      <c r="AA29" s="61">
        <f>AVERAGE(W29:Z29)</f>
        <v>0.92631501641617187</v>
      </c>
      <c r="AC29" t="s">
        <v>149</v>
      </c>
      <c r="AD29">
        <f>RSQ(J17:J23,AD17:AD23)</f>
        <v>0.95134418200359983</v>
      </c>
      <c r="AE29">
        <f>RSQ(K17:K23,AE17:AE23)</f>
        <v>0.94017676995710453</v>
      </c>
      <c r="AF29">
        <f>RSQ(L17:L23,AF17:AF23)</f>
        <v>0.9157220777115368</v>
      </c>
      <c r="AG29">
        <f>RSQ(M17:M23,AG17:AG23)</f>
        <v>0.97279105247693354</v>
      </c>
      <c r="AH29" s="61">
        <f>AVERAGE(AD29:AG29)</f>
        <v>0.94500852053729367</v>
      </c>
      <c r="AJ29" t="s">
        <v>149</v>
      </c>
      <c r="AK29">
        <f>RSQ(J17:J23,AK17:AK23)</f>
        <v>0.95134418200359983</v>
      </c>
      <c r="AL29">
        <f>RSQ(K17:K23,AL17:AL23)</f>
        <v>0.94017676995710453</v>
      </c>
      <c r="AM29">
        <f>RSQ(L17:L23,AM17:AM23)</f>
        <v>0.9157220777115368</v>
      </c>
      <c r="AN29">
        <f>RSQ(M17:M23,AN17:AN23)</f>
        <v>0.97279105247693354</v>
      </c>
      <c r="AO29" s="61">
        <f>AVERAGE(AK29:AN29)</f>
        <v>0.94500852053729367</v>
      </c>
      <c r="AQ29" t="s">
        <v>149</v>
      </c>
      <c r="AR29">
        <f>RSQ(J17:J23,AR17:AR23)</f>
        <v>0.95135116083364069</v>
      </c>
      <c r="AS29">
        <f>RSQ(K17:K23,AS17:AS23)</f>
        <v>0.94011300821672272</v>
      </c>
      <c r="AT29">
        <f>RSQ(L17:L23,AT17:AT23)</f>
        <v>0.91145470273997609</v>
      </c>
      <c r="AU29">
        <f>RSQ(M17:M23,AU17:AU23)</f>
        <v>0.97134265576295842</v>
      </c>
      <c r="AV29" s="301">
        <f>RSQ(N17:N23,AV17:AV23)</f>
        <v>0.97471289964545516</v>
      </c>
      <c r="AX29" t="s">
        <v>149</v>
      </c>
      <c r="AY29">
        <f>RSQ(J17:J23,AY17:AY23)</f>
        <v>0.94915662329559014</v>
      </c>
      <c r="AZ29">
        <f>RSQ(K17:K23,AZ17:AZ23)</f>
        <v>0.97305008660450709</v>
      </c>
      <c r="BA29">
        <f>RSQ(L17:L23,BA17:BA23)</f>
        <v>0.92177579358313511</v>
      </c>
      <c r="BB29">
        <f>RSQ(M17:M23,BB17:BB23)</f>
        <v>0.98110779454071428</v>
      </c>
      <c r="BC29">
        <f>AVERAGE(AY29:BB29)</f>
        <v>0.95627257450598668</v>
      </c>
      <c r="BE29" t="s">
        <v>149</v>
      </c>
      <c r="BF29">
        <f>RSQ(J17:J23,BF17:BF23)</f>
        <v>0.83231764374867379</v>
      </c>
      <c r="BG29">
        <f>RSQ(K17:K23,BG17:BG23)</f>
        <v>0.30618175343926962</v>
      </c>
      <c r="BH29">
        <f>RSQ(L17:L23,BH17:BH23)</f>
        <v>1.4461232571969034E-2</v>
      </c>
      <c r="BI29">
        <f>RSQ(M17:M23,BI17:BI23)</f>
        <v>0.37171942834456495</v>
      </c>
      <c r="BJ29">
        <f>AVERAGE(BF29:BI29)</f>
        <v>0.38117001452611932</v>
      </c>
      <c r="BL29" t="s">
        <v>149</v>
      </c>
      <c r="BM29">
        <f>RSQ(J17:J23,BM17:BM23)</f>
        <v>0.98081588514510876</v>
      </c>
      <c r="BN29">
        <f t="shared" ref="BN29:BQ29" si="41">RSQ(K17:K23,BN17:BN23)</f>
        <v>0.82129382238560433</v>
      </c>
      <c r="BO29">
        <f t="shared" si="41"/>
        <v>0.89385847651707351</v>
      </c>
      <c r="BP29">
        <f t="shared" si="41"/>
        <v>0.85090221549796941</v>
      </c>
      <c r="BQ29">
        <f t="shared" si="41"/>
        <v>0.95493357703614867</v>
      </c>
      <c r="BT29" t="s">
        <v>149</v>
      </c>
      <c r="BU29">
        <f>RSQ(J17:J23,BU17:BU23)</f>
        <v>0.98109807959316542</v>
      </c>
      <c r="BV29">
        <f t="shared" ref="BV29:BY29" si="42">RSQ(K17:K23,BV17:BV23)</f>
        <v>0.83626887060342814</v>
      </c>
      <c r="BW29">
        <f t="shared" si="42"/>
        <v>0.89967361726378314</v>
      </c>
      <c r="BX29">
        <f t="shared" si="42"/>
        <v>0.82186161287678128</v>
      </c>
      <c r="BY29">
        <f t="shared" si="42"/>
        <v>0.95202793457829138</v>
      </c>
    </row>
    <row r="30" spans="1:77" x14ac:dyDescent="0.35">
      <c r="A30" s="1"/>
      <c r="B30" s="124" t="s">
        <v>165</v>
      </c>
      <c r="H30">
        <f t="shared" ref="H30:I35" si="43">H18/(24*3600)</f>
        <v>4.3749999999999997E-2</v>
      </c>
      <c r="I30" s="61">
        <f t="shared" si="43"/>
        <v>4.1666666666666664E-2</v>
      </c>
      <c r="J30" s="271">
        <v>1.2999999999999999E-2</v>
      </c>
      <c r="K30" s="271">
        <f t="shared" ref="K30:K35" si="44">L8</f>
        <v>1.9687331736456839E-2</v>
      </c>
      <c r="L30" s="271">
        <f t="shared" ref="L30:L35" si="45">N8</f>
        <v>3.7360242398613762E-2</v>
      </c>
      <c r="M30" s="271">
        <v>1.4966561096825315E-2</v>
      </c>
      <c r="P30" s="61">
        <f>SUM(P28:S28)</f>
        <v>3.6860732642830414E-2</v>
      </c>
      <c r="U30" s="28">
        <f>U28/U29</f>
        <v>2.9305943922828689E-3</v>
      </c>
      <c r="AU30" s="61">
        <f>SUM(AR28:AU28)</f>
        <v>1.5423614264982139E-2</v>
      </c>
      <c r="BM30">
        <f>SUM(BM28:BP28)</f>
        <v>3.445404195920615E-2</v>
      </c>
      <c r="BU30">
        <f>SUM(BU28:BX28)</f>
        <v>3.6771069130382153E-2</v>
      </c>
    </row>
    <row r="31" spans="1:77" x14ac:dyDescent="0.35">
      <c r="A31" s="26" t="s">
        <v>163</v>
      </c>
      <c r="C31" s="26" t="s">
        <v>161</v>
      </c>
      <c r="D31" s="26" t="s">
        <v>162</v>
      </c>
      <c r="E31" s="26" t="s">
        <v>123</v>
      </c>
      <c r="F31" s="26" t="s">
        <v>116</v>
      </c>
      <c r="G31" s="26" t="s">
        <v>160</v>
      </c>
      <c r="H31">
        <f t="shared" si="43"/>
        <v>0.36458333333333331</v>
      </c>
      <c r="I31" s="61">
        <f t="shared" si="43"/>
        <v>0.375</v>
      </c>
      <c r="J31" s="271">
        <v>1.0999999999999999E-2</v>
      </c>
      <c r="K31" s="271">
        <f t="shared" si="44"/>
        <v>2.352107350538464E-2</v>
      </c>
      <c r="L31" s="271">
        <f t="shared" si="45"/>
        <v>2.941653637365934E-2</v>
      </c>
      <c r="M31" s="271">
        <v>1.8164261923614457E-2</v>
      </c>
      <c r="P31" s="61">
        <f>AVERAGE(P29:S29)</f>
        <v>0.87323094988586636</v>
      </c>
      <c r="V31" s="385" t="s">
        <v>154</v>
      </c>
      <c r="W31" s="385"/>
      <c r="X31" s="385"/>
      <c r="Y31" s="385"/>
      <c r="Z31" s="385"/>
      <c r="AC31" s="385" t="s">
        <v>158</v>
      </c>
      <c r="AD31" s="385"/>
      <c r="AE31" s="385"/>
      <c r="AF31" s="385"/>
      <c r="AG31" s="385"/>
      <c r="AU31" s="61">
        <f>AVERAGE(AR29:AU29)</f>
        <v>0.94356538188832451</v>
      </c>
      <c r="BM31">
        <f>AVERAGE(BM29:BP29)</f>
        <v>0.88671759988643895</v>
      </c>
      <c r="BU31">
        <f>AVERAGE(BU29:BX29)</f>
        <v>0.88472554508428947</v>
      </c>
    </row>
    <row r="32" spans="1:77" x14ac:dyDescent="0.35">
      <c r="A32" s="14">
        <v>0.25</v>
      </c>
      <c r="B32">
        <f>A32*3600</f>
        <v>900</v>
      </c>
      <c r="C32" s="14">
        <v>0.41699999999999998</v>
      </c>
      <c r="D32">
        <f>1-C32</f>
        <v>0.58299999999999996</v>
      </c>
      <c r="E32" s="14">
        <v>3.7999999999999999E-2</v>
      </c>
      <c r="F32" s="14">
        <v>12</v>
      </c>
      <c r="G32" s="270">
        <f>E32/SQRT(F32)</f>
        <v>1.096965511460289E-2</v>
      </c>
      <c r="H32">
        <f t="shared" si="43"/>
        <v>1</v>
      </c>
      <c r="I32" s="61">
        <f t="shared" si="43"/>
        <v>1</v>
      </c>
      <c r="J32" s="271">
        <v>1.2E-2</v>
      </c>
      <c r="K32" s="271">
        <f t="shared" si="44"/>
        <v>3.0564765488616304E-2</v>
      </c>
      <c r="L32" s="271">
        <f t="shared" si="45"/>
        <v>2.9354476170339386E-2</v>
      </c>
      <c r="M32" s="271">
        <v>1.8940863010474297E-2</v>
      </c>
      <c r="V32" t="s">
        <v>146</v>
      </c>
      <c r="W32">
        <v>1.6532957439504687</v>
      </c>
      <c r="X32">
        <v>2.1697524836582258</v>
      </c>
      <c r="Y32">
        <v>1.2729927474428457</v>
      </c>
      <c r="Z32">
        <v>2.3513527183798875</v>
      </c>
      <c r="AC32" t="s">
        <v>146</v>
      </c>
      <c r="AD32">
        <v>0.51463208120539461</v>
      </c>
      <c r="AE32">
        <v>0.51539034108630866</v>
      </c>
      <c r="AF32">
        <v>0.50910626130740833</v>
      </c>
      <c r="AG32">
        <v>0.51143827896854244</v>
      </c>
    </row>
    <row r="33" spans="1:48" x14ac:dyDescent="0.35">
      <c r="A33" s="14">
        <v>1.05</v>
      </c>
      <c r="B33">
        <f t="shared" ref="B33:B38" si="46">A33*3600</f>
        <v>3780</v>
      </c>
      <c r="C33" s="14">
        <v>0.55600000000000005</v>
      </c>
      <c r="D33">
        <f t="shared" ref="D33:D38" si="47">1-C33</f>
        <v>0.44399999999999995</v>
      </c>
      <c r="E33" s="14">
        <v>0.04</v>
      </c>
      <c r="F33" s="14">
        <v>12</v>
      </c>
      <c r="G33" s="270">
        <f t="shared" ref="G33:G38" si="48">E33/SQRT(F33)</f>
        <v>1.1547005383792516E-2</v>
      </c>
      <c r="H33">
        <f t="shared" si="43"/>
        <v>2</v>
      </c>
      <c r="I33" s="61">
        <f t="shared" si="43"/>
        <v>2</v>
      </c>
      <c r="J33" s="271">
        <v>1.2E-2</v>
      </c>
      <c r="K33" s="271">
        <f t="shared" si="44"/>
        <v>2.2845351917566235E-2</v>
      </c>
      <c r="L33" s="271">
        <f t="shared" si="45"/>
        <v>2.9231138035169892E-2</v>
      </c>
      <c r="M33" s="271">
        <v>1.5583721649750108E-2</v>
      </c>
      <c r="V33" t="s">
        <v>147</v>
      </c>
      <c r="W33">
        <v>0.15190773101599145</v>
      </c>
      <c r="X33">
        <v>0.19584701506821603</v>
      </c>
      <c r="Y33">
        <v>0.15508024184644462</v>
      </c>
      <c r="Z33">
        <v>0.22122617432574829</v>
      </c>
      <c r="AC33" t="s">
        <v>147</v>
      </c>
      <c r="AD33">
        <v>2.3256659178743181E-5</v>
      </c>
      <c r="AE33">
        <v>2.3238363297911658E-5</v>
      </c>
      <c r="AF33">
        <v>2.3261158758970942E-5</v>
      </c>
      <c r="AG33">
        <v>2.32516463320437E-5</v>
      </c>
    </row>
    <row r="34" spans="1:48" ht="15" thickBot="1" x14ac:dyDescent="0.4">
      <c r="A34" s="14">
        <v>6.75</v>
      </c>
      <c r="B34">
        <f t="shared" si="46"/>
        <v>24300</v>
      </c>
      <c r="C34" s="14">
        <v>0.64400000000000002</v>
      </c>
      <c r="D34">
        <f t="shared" si="47"/>
        <v>0.35599999999999998</v>
      </c>
      <c r="E34" s="14">
        <v>3.7999999999999999E-2</v>
      </c>
      <c r="F34" s="14">
        <v>12</v>
      </c>
      <c r="G34" s="270">
        <f t="shared" si="48"/>
        <v>1.096965511460289E-2</v>
      </c>
      <c r="H34">
        <f t="shared" si="43"/>
        <v>6</v>
      </c>
      <c r="I34" s="61">
        <f t="shared" si="43"/>
        <v>6</v>
      </c>
      <c r="J34" s="271">
        <v>1.4E-2</v>
      </c>
      <c r="K34" s="271">
        <f t="shared" si="44"/>
        <v>1.7996702131039554E-2</v>
      </c>
      <c r="L34" s="271">
        <f t="shared" si="45"/>
        <v>4.1427218255480951E-2</v>
      </c>
      <c r="M34" s="271">
        <v>2.8937431318601426E-2</v>
      </c>
      <c r="V34" t="s">
        <v>153</v>
      </c>
      <c r="W34">
        <v>4.3780675251226066E-2</v>
      </c>
      <c r="X34">
        <v>0.21475740384155698</v>
      </c>
      <c r="Y34">
        <v>7.6602492678646814E-2</v>
      </c>
      <c r="Z34">
        <v>0</v>
      </c>
      <c r="AC34" t="s">
        <v>150</v>
      </c>
      <c r="AD34">
        <v>0.29839126208390498</v>
      </c>
      <c r="AE34">
        <v>0.29895587974784943</v>
      </c>
      <c r="AF34">
        <v>0.2973776484848708</v>
      </c>
      <c r="AG34">
        <v>0.29850866532126202</v>
      </c>
      <c r="AQ34" s="385" t="s">
        <v>157</v>
      </c>
      <c r="AR34" s="385"/>
      <c r="AS34" s="385"/>
      <c r="AT34" s="385"/>
      <c r="AU34" s="385"/>
    </row>
    <row r="35" spans="1:48" x14ac:dyDescent="0.35">
      <c r="A35" s="14">
        <v>24</v>
      </c>
      <c r="B35">
        <f t="shared" si="46"/>
        <v>86400</v>
      </c>
      <c r="C35" s="14">
        <v>0.67200000000000004</v>
      </c>
      <c r="D35">
        <f t="shared" si="47"/>
        <v>0.32799999999999996</v>
      </c>
      <c r="E35" s="14">
        <v>5.8000000000000003E-2</v>
      </c>
      <c r="F35" s="14">
        <v>25</v>
      </c>
      <c r="G35" s="270">
        <f t="shared" si="48"/>
        <v>1.1600000000000001E-2</v>
      </c>
      <c r="H35">
        <f t="shared" si="43"/>
        <v>31</v>
      </c>
      <c r="I35" s="61">
        <f t="shared" si="43"/>
        <v>31</v>
      </c>
      <c r="J35" s="271">
        <v>0.01</v>
      </c>
      <c r="K35" s="271">
        <f t="shared" si="44"/>
        <v>2.7240594076356824E-2</v>
      </c>
      <c r="L35" s="271">
        <f t="shared" si="45"/>
        <v>4.5719677014482596E-2</v>
      </c>
      <c r="M35" s="271">
        <v>4.1037183868082971E-2</v>
      </c>
      <c r="V35" t="s">
        <v>151</v>
      </c>
      <c r="W35">
        <v>0.15637734327371647</v>
      </c>
      <c r="X35">
        <v>0.24536190196343249</v>
      </c>
      <c r="Y35">
        <v>0.16123455343725537</v>
      </c>
      <c r="Z35">
        <v>0.19546806555668086</v>
      </c>
      <c r="AC35" t="s">
        <v>151</v>
      </c>
      <c r="AD35">
        <v>1.5137681050328211E-7</v>
      </c>
      <c r="AE35">
        <v>0</v>
      </c>
      <c r="AF35">
        <v>1.9354728309319604E-7</v>
      </c>
      <c r="AG35">
        <v>9.8412680046916736E-7</v>
      </c>
      <c r="AQ35" t="s">
        <v>146</v>
      </c>
      <c r="AR35">
        <v>1</v>
      </c>
      <c r="AS35">
        <v>1</v>
      </c>
      <c r="AT35">
        <v>1</v>
      </c>
      <c r="AU35">
        <v>1</v>
      </c>
      <c r="AV35" s="298">
        <v>1</v>
      </c>
    </row>
    <row r="36" spans="1:48" x14ac:dyDescent="0.35">
      <c r="A36" s="14">
        <f>2*24</f>
        <v>48</v>
      </c>
      <c r="B36">
        <f t="shared" si="46"/>
        <v>172800</v>
      </c>
      <c r="C36" s="14">
        <v>0.71799999999999997</v>
      </c>
      <c r="D36">
        <f t="shared" si="47"/>
        <v>0.28200000000000003</v>
      </c>
      <c r="E36" s="14">
        <v>6.0999999999999999E-2</v>
      </c>
      <c r="F36" s="14">
        <v>25</v>
      </c>
      <c r="G36" s="270">
        <f t="shared" si="48"/>
        <v>1.2199999999999999E-2</v>
      </c>
      <c r="H36" s="270"/>
      <c r="AQ36" t="s">
        <v>147</v>
      </c>
      <c r="AR36">
        <v>3.0599898055375064E-4</v>
      </c>
      <c r="AS36">
        <v>6.9733265608601792E-4</v>
      </c>
      <c r="AT36">
        <v>4.6043602021561363E-4</v>
      </c>
      <c r="AU36">
        <v>3.8144263205525401E-4</v>
      </c>
      <c r="AV36" s="299">
        <v>9.6637514111032167E-4</v>
      </c>
    </row>
    <row r="37" spans="1:48" x14ac:dyDescent="0.35">
      <c r="A37" s="14">
        <f>6*24</f>
        <v>144</v>
      </c>
      <c r="B37">
        <f t="shared" si="46"/>
        <v>518400</v>
      </c>
      <c r="C37" s="14">
        <v>0.749</v>
      </c>
      <c r="D37">
        <f t="shared" si="47"/>
        <v>0.251</v>
      </c>
      <c r="E37" s="14">
        <v>6.8000000000000005E-2</v>
      </c>
      <c r="F37" s="14">
        <v>25</v>
      </c>
      <c r="G37" s="270">
        <f t="shared" si="48"/>
        <v>1.3600000000000001E-2</v>
      </c>
      <c r="H37" s="270"/>
      <c r="AQ37" t="s">
        <v>150</v>
      </c>
      <c r="AR37">
        <v>1.4096672127612462E-4</v>
      </c>
      <c r="AS37">
        <v>3.9209908585471068E-4</v>
      </c>
      <c r="AT37">
        <v>1.4360847695587539E-4</v>
      </c>
      <c r="AU37">
        <v>1.7998855361296055E-4</v>
      </c>
      <c r="AV37" s="299">
        <v>3.0147625312764375E-4</v>
      </c>
    </row>
    <row r="38" spans="1:48" x14ac:dyDescent="0.35">
      <c r="A38" s="14">
        <f>31*24</f>
        <v>744</v>
      </c>
      <c r="B38">
        <f t="shared" si="46"/>
        <v>2678400</v>
      </c>
      <c r="C38" s="14">
        <v>0.78700000000000003</v>
      </c>
      <c r="D38">
        <f t="shared" si="47"/>
        <v>0.21299999999999997</v>
      </c>
      <c r="E38" s="14">
        <v>6.5000000000000002E-2</v>
      </c>
      <c r="F38" s="14">
        <v>46</v>
      </c>
      <c r="G38" s="270">
        <f t="shared" si="48"/>
        <v>9.5837271500683139E-3</v>
      </c>
      <c r="H38" s="270"/>
      <c r="V38" s="61" t="str">
        <f>I16</f>
        <v>Interval s</v>
      </c>
      <c r="W38" s="61" t="str">
        <f>J16</f>
        <v>Ebbinghaus</v>
      </c>
      <c r="X38" s="61" t="str">
        <f>K16</f>
        <v>Mack</v>
      </c>
      <c r="Y38" s="61" t="str">
        <f>L16</f>
        <v>Seitz</v>
      </c>
      <c r="Z38" s="61" t="str">
        <f>M16</f>
        <v>Dros</v>
      </c>
      <c r="AC38" s="61" t="str">
        <f>I16</f>
        <v>Interval s</v>
      </c>
      <c r="AD38" s="61" t="str">
        <f>J16</f>
        <v>Ebbinghaus</v>
      </c>
      <c r="AE38" s="61" t="str">
        <f>K16</f>
        <v>Mack</v>
      </c>
      <c r="AF38" s="61" t="str">
        <f>L16</f>
        <v>Seitz</v>
      </c>
      <c r="AG38" s="61" t="str">
        <f>M16</f>
        <v>Dros</v>
      </c>
      <c r="AQ38" t="s">
        <v>151</v>
      </c>
      <c r="AR38" s="265">
        <v>1.6468671598552619E-6</v>
      </c>
      <c r="AS38">
        <v>0</v>
      </c>
      <c r="AT38">
        <v>38701.60008382619</v>
      </c>
      <c r="AU38" s="265">
        <v>3.3985688417895769E-6</v>
      </c>
      <c r="AV38" s="299">
        <v>2.4166793605691828E-7</v>
      </c>
    </row>
    <row r="39" spans="1:48" ht="21" x14ac:dyDescent="0.5">
      <c r="A39" s="260"/>
      <c r="B39" s="260"/>
      <c r="C39" s="260"/>
      <c r="D39" s="260"/>
      <c r="E39" s="260"/>
      <c r="I39" s="262" t="s">
        <v>166</v>
      </c>
      <c r="V39" s="61">
        <f t="shared" ref="V39:V45" si="49">I17</f>
        <v>1200</v>
      </c>
      <c r="W39">
        <f>W$32*(1+$V39)^-W$33</f>
        <v>0.56304636227203053</v>
      </c>
      <c r="X39">
        <f t="shared" ref="W39:Z41" si="50">X$32*(1+$V39)^-X$33</f>
        <v>0.54111663896047268</v>
      </c>
      <c r="Y39">
        <f t="shared" si="50"/>
        <v>0.42388656802829916</v>
      </c>
      <c r="Z39">
        <f t="shared" si="50"/>
        <v>0.48982648392112005</v>
      </c>
      <c r="AC39" s="61">
        <f t="shared" ref="AC39:AC45" si="51">I17</f>
        <v>1200</v>
      </c>
      <c r="AD39">
        <f>AD$32*EXP(-$AC39*AD$33)</f>
        <v>0.50046829440855733</v>
      </c>
      <c r="AE39">
        <f>AE$32*EXP(-$AC39*AE$33)</f>
        <v>0.50121668945942743</v>
      </c>
      <c r="AF39">
        <f>AF$32*EXP(-$AC39*AF$33)</f>
        <v>0.49509188375933744</v>
      </c>
      <c r="AG39">
        <f>AG$32*EXP(-$AC39*AG$33)</f>
        <v>0.49736538436055389</v>
      </c>
      <c r="AV39" s="299"/>
    </row>
    <row r="40" spans="1:48" ht="15.5" x14ac:dyDescent="0.35">
      <c r="A40" s="303"/>
      <c r="B40" s="303" t="s">
        <v>62</v>
      </c>
      <c r="C40" s="303" t="s">
        <v>24</v>
      </c>
      <c r="D40" s="303" t="s">
        <v>25</v>
      </c>
      <c r="E40" s="303" t="s">
        <v>254</v>
      </c>
      <c r="I40" s="61" t="str">
        <f>I16</f>
        <v>Interval s</v>
      </c>
      <c r="J40" s="61" t="str">
        <f>J16</f>
        <v>Ebbinghaus</v>
      </c>
      <c r="K40" s="61" t="str">
        <f>K16</f>
        <v>Mack</v>
      </c>
      <c r="L40" s="61" t="str">
        <f>L16</f>
        <v>Seitz</v>
      </c>
      <c r="M40" s="61" t="str">
        <f>M16</f>
        <v>Dros</v>
      </c>
      <c r="V40" s="61">
        <f t="shared" si="49"/>
        <v>3600</v>
      </c>
      <c r="W40">
        <f>W$32*(1+$V40)^-W$33</f>
        <v>0.47654331418045209</v>
      </c>
      <c r="X40">
        <f t="shared" si="50"/>
        <v>0.43641065112721339</v>
      </c>
      <c r="Y40">
        <f t="shared" si="50"/>
        <v>0.35751557929677141</v>
      </c>
      <c r="Z40">
        <f>Z$32*(1+$V40)^-Z$33</f>
        <v>0.38418809194875281</v>
      </c>
      <c r="AC40" s="61">
        <f t="shared" si="51"/>
        <v>3600</v>
      </c>
      <c r="AD40">
        <f t="shared" ref="AD40:AG41" si="52">AD$32*EXP(-$AC40*AD$33)</f>
        <v>0.47329944622629883</v>
      </c>
      <c r="AE40">
        <f t="shared" si="52"/>
        <v>0.47402802743361722</v>
      </c>
      <c r="AF40">
        <f t="shared" si="52"/>
        <v>0.4682098477638223</v>
      </c>
      <c r="AG40">
        <f t="shared" si="52"/>
        <v>0.47037064231272097</v>
      </c>
      <c r="AR40" s="26" t="s">
        <v>62</v>
      </c>
      <c r="AS40" s="26" t="s">
        <v>24</v>
      </c>
      <c r="AT40" s="26" t="s">
        <v>25</v>
      </c>
      <c r="AU40" s="26" t="s">
        <v>254</v>
      </c>
      <c r="AV40" s="300" t="s">
        <v>167</v>
      </c>
    </row>
    <row r="41" spans="1:48" ht="15.5" x14ac:dyDescent="0.35">
      <c r="A41" s="303" t="s">
        <v>133</v>
      </c>
      <c r="B41" s="303">
        <v>0.58200000000000007</v>
      </c>
      <c r="C41" s="303">
        <v>0.54430379746835433</v>
      </c>
      <c r="D41" s="303">
        <v>0.44206008583690987</v>
      </c>
      <c r="E41" s="303">
        <v>0.47167729999999997</v>
      </c>
      <c r="I41" s="61">
        <f>I29</f>
        <v>1.3888888888888888E-2</v>
      </c>
      <c r="J41">
        <f>J17/J$17</f>
        <v>1</v>
      </c>
      <c r="K41">
        <f>K17/K$17</f>
        <v>1</v>
      </c>
      <c r="L41">
        <f>L17/L$17</f>
        <v>1</v>
      </c>
      <c r="M41">
        <f>M17/M$17</f>
        <v>1</v>
      </c>
      <c r="V41" s="61">
        <f t="shared" si="49"/>
        <v>32400</v>
      </c>
      <c r="W41">
        <f t="shared" si="50"/>
        <v>0.34132009154441517</v>
      </c>
      <c r="X41">
        <f t="shared" si="50"/>
        <v>0.28381202504667941</v>
      </c>
      <c r="Y41">
        <f t="shared" si="50"/>
        <v>0.25428892137558973</v>
      </c>
      <c r="Z41">
        <f t="shared" si="50"/>
        <v>0.23630025973972946</v>
      </c>
      <c r="AC41" s="61">
        <f t="shared" si="51"/>
        <v>32400</v>
      </c>
      <c r="AD41">
        <f t="shared" si="52"/>
        <v>0.24224181978343079</v>
      </c>
      <c r="AE41">
        <f t="shared" si="52"/>
        <v>0.24274259123801434</v>
      </c>
      <c r="AF41">
        <f t="shared" si="52"/>
        <v>0.23960583422986681</v>
      </c>
      <c r="AG41">
        <f t="shared" si="52"/>
        <v>0.24077757215950463</v>
      </c>
      <c r="AQ41" s="26" t="s">
        <v>142</v>
      </c>
      <c r="AR41" s="26" t="s">
        <v>213</v>
      </c>
      <c r="AS41" s="26" t="s">
        <v>213</v>
      </c>
      <c r="AT41" s="26" t="s">
        <v>213</v>
      </c>
      <c r="AU41" s="26" t="s">
        <v>213</v>
      </c>
      <c r="AV41" s="300" t="s">
        <v>213</v>
      </c>
    </row>
    <row r="42" spans="1:48" ht="15.5" x14ac:dyDescent="0.35">
      <c r="A42" s="303" t="s">
        <v>43</v>
      </c>
      <c r="B42" s="303">
        <v>0.442</v>
      </c>
      <c r="C42" s="303">
        <v>0.43190661478599224</v>
      </c>
      <c r="D42" s="303">
        <v>0.32489451476793252</v>
      </c>
      <c r="E42" s="303">
        <v>0.37290899999999999</v>
      </c>
      <c r="I42" s="61">
        <f t="shared" ref="I42:I47" si="53">I30</f>
        <v>4.1666666666666664E-2</v>
      </c>
      <c r="J42">
        <f t="shared" ref="J42:M47" si="54">J18/J$17</f>
        <v>0.75945017182130581</v>
      </c>
      <c r="K42">
        <f t="shared" si="54"/>
        <v>0.79350285042077662</v>
      </c>
      <c r="L42">
        <f t="shared" si="54"/>
        <v>0.73495555282454639</v>
      </c>
      <c r="M42">
        <f t="shared" si="54"/>
        <v>0.79060196452108256</v>
      </c>
      <c r="V42" s="61">
        <f t="shared" si="49"/>
        <v>86400</v>
      </c>
      <c r="W42">
        <f>(W$32)*(1+$V42)^-W$35+W$34</f>
        <v>0.32328649668902509</v>
      </c>
      <c r="X42">
        <f t="shared" ref="W42:Z45" si="55">(X$32)*(1+$V42)^-X$35+X$34</f>
        <v>0.34816377162634166</v>
      </c>
      <c r="Y42">
        <f t="shared" si="55"/>
        <v>0.28025442262751726</v>
      </c>
      <c r="Z42">
        <f t="shared" si="55"/>
        <v>0.2549094915281373</v>
      </c>
      <c r="AC42" s="61">
        <f t="shared" si="51"/>
        <v>86400</v>
      </c>
      <c r="AD42">
        <f>AD$34*EXP(-$AC42*AD$35)</f>
        <v>0.2945140261383139</v>
      </c>
      <c r="AE42">
        <f>AE$34*EXP(-$AC42*AE$35)</f>
        <v>0.29895587974784943</v>
      </c>
      <c r="AF42">
        <f>AF$34*EXP(-$AC42*AF$35)</f>
        <v>0.29244610390394493</v>
      </c>
      <c r="AG42">
        <f>AG$34*EXP(-$AC42*AG$35)</f>
        <v>0.27417604673537699</v>
      </c>
      <c r="AQ42" s="91">
        <f>20*60</f>
        <v>1200</v>
      </c>
      <c r="AR42">
        <f t="shared" ref="AR42:AV48" si="56">AR$35*EXP(-$AQ42*AR$36) + (AR$35* AR$37/(AR$36-AR$38))*(EXP(-$I17*AR$38)-EXP(-$I17*AR$36) )</f>
        <v>0.83410260115173285</v>
      </c>
      <c r="AS42">
        <f t="shared" si="56"/>
        <v>0.7518564929143059</v>
      </c>
      <c r="AT42">
        <f t="shared" si="56"/>
        <v>0.57549587383639866</v>
      </c>
      <c r="AU42">
        <f t="shared" si="56"/>
        <v>0.80564471568143448</v>
      </c>
      <c r="AV42">
        <f t="shared" si="56"/>
        <v>0.52769374901394062</v>
      </c>
    </row>
    <row r="43" spans="1:48" ht="15.5" x14ac:dyDescent="0.35">
      <c r="A43" s="303" t="s">
        <v>44</v>
      </c>
      <c r="B43" s="303">
        <v>0.35799999999999998</v>
      </c>
      <c r="C43" s="303">
        <v>0.2851239669421487</v>
      </c>
      <c r="D43" s="303">
        <v>0.26976744186046514</v>
      </c>
      <c r="E43" s="303">
        <v>0.27644489999999999</v>
      </c>
      <c r="I43" s="61">
        <f t="shared" si="53"/>
        <v>0.375</v>
      </c>
      <c r="J43">
        <f t="shared" si="54"/>
        <v>0.61512027491408927</v>
      </c>
      <c r="K43">
        <f t="shared" si="54"/>
        <v>0.52383240438208722</v>
      </c>
      <c r="L43">
        <f t="shared" si="54"/>
        <v>0.61025062090765414</v>
      </c>
      <c r="M43">
        <f t="shared" si="54"/>
        <v>0.58608904859318012</v>
      </c>
      <c r="V43" s="61">
        <f t="shared" si="49"/>
        <v>172800</v>
      </c>
      <c r="W43">
        <f t="shared" si="55"/>
        <v>0.29457458139230119</v>
      </c>
      <c r="X43">
        <f t="shared" si="55"/>
        <v>0.32729972918946371</v>
      </c>
      <c r="Y43">
        <f t="shared" si="55"/>
        <v>0.25872033590147558</v>
      </c>
      <c r="Z43">
        <f>(Z$32)*(1+$V43)^-Z$35+Z$34</f>
        <v>0.22261003965775431</v>
      </c>
      <c r="AC43" s="61">
        <f t="shared" si="51"/>
        <v>172800</v>
      </c>
      <c r="AD43">
        <f t="shared" ref="AD43:AG45" si="57">AD$34*EXP(-$AC43*AD$35)</f>
        <v>0.29068717021549162</v>
      </c>
      <c r="AE43">
        <f t="shared" si="57"/>
        <v>0.29895587974784943</v>
      </c>
      <c r="AF43">
        <f t="shared" si="57"/>
        <v>0.28759634129983391</v>
      </c>
      <c r="AG43">
        <f t="shared" si="57"/>
        <v>0.25182687585480046</v>
      </c>
      <c r="AQ43" s="61">
        <f>3600</f>
        <v>3600</v>
      </c>
      <c r="AR43">
        <f t="shared" si="56"/>
        <v>0.63884217059047699</v>
      </c>
      <c r="AS43">
        <f t="shared" si="56"/>
        <v>0.59784238863198391</v>
      </c>
      <c r="AT43">
        <f t="shared" si="56"/>
        <v>0.19060164273062938</v>
      </c>
      <c r="AU43">
        <f t="shared" si="56"/>
        <v>0.60301610477743739</v>
      </c>
      <c r="AV43">
        <f t="shared" si="56"/>
        <v>0.33298913622532678</v>
      </c>
    </row>
    <row r="44" spans="1:48" ht="15.5" x14ac:dyDescent="0.35">
      <c r="A44" s="303" t="s">
        <v>45</v>
      </c>
      <c r="B44" s="303">
        <v>0.33700000000000002</v>
      </c>
      <c r="C44" s="303">
        <v>0.31598513011152418</v>
      </c>
      <c r="D44" s="303">
        <v>0.27004219409282693</v>
      </c>
      <c r="E44" s="303">
        <v>0.31678010000000001</v>
      </c>
      <c r="I44" s="61">
        <f t="shared" si="53"/>
        <v>1</v>
      </c>
      <c r="J44">
        <f t="shared" si="54"/>
        <v>0.57903780068728516</v>
      </c>
      <c r="K44">
        <f t="shared" si="54"/>
        <v>0.58053082043745152</v>
      </c>
      <c r="L44">
        <f t="shared" si="54"/>
        <v>0.6108721478022201</v>
      </c>
      <c r="M44">
        <f t="shared" si="54"/>
        <v>0.67160344583044385</v>
      </c>
      <c r="V44" s="61">
        <f t="shared" si="49"/>
        <v>518400</v>
      </c>
      <c r="W44">
        <f t="shared" si="55"/>
        <v>0.25498669269188351</v>
      </c>
      <c r="X44">
        <f t="shared" si="55"/>
        <v>0.30070800466131381</v>
      </c>
      <c r="Y44">
        <f t="shared" si="55"/>
        <v>0.2291567514609561</v>
      </c>
      <c r="Z44">
        <f>(Z$32)*(1+$V44)^-Z$35+Z$34</f>
        <v>0.17959039506890304</v>
      </c>
      <c r="AC44" s="61">
        <f t="shared" si="51"/>
        <v>518400</v>
      </c>
      <c r="AD44">
        <f t="shared" si="57"/>
        <v>0.2758705811243799</v>
      </c>
      <c r="AE44">
        <f t="shared" si="57"/>
        <v>0.29895587974784943</v>
      </c>
      <c r="AF44">
        <f t="shared" si="57"/>
        <v>0.26898832125224764</v>
      </c>
      <c r="AG44">
        <f t="shared" si="57"/>
        <v>0.17922242435114211</v>
      </c>
      <c r="AQ44" s="61">
        <f>9*3600</f>
        <v>32400</v>
      </c>
      <c r="AR44">
        <f t="shared" si="56"/>
        <v>0.43913012964620862</v>
      </c>
      <c r="AS44">
        <f t="shared" si="56"/>
        <v>0.56228413007718536</v>
      </c>
      <c r="AT44">
        <f t="shared" si="56"/>
        <v>3.320012671649792E-7</v>
      </c>
      <c r="AU44">
        <f t="shared" si="56"/>
        <v>0.42646462495060139</v>
      </c>
      <c r="AV44">
        <f t="shared" si="56"/>
        <v>0.30961032567863217</v>
      </c>
    </row>
    <row r="45" spans="1:48" ht="15.5" x14ac:dyDescent="0.35">
      <c r="A45" s="303" t="s">
        <v>46</v>
      </c>
      <c r="B45" s="303">
        <v>0.27800000000000002</v>
      </c>
      <c r="C45" s="303">
        <v>0.36501901140684417</v>
      </c>
      <c r="D45" s="303">
        <v>0.28571428571428575</v>
      </c>
      <c r="E45" s="303">
        <v>0.23000399999999999</v>
      </c>
      <c r="I45" s="61">
        <f t="shared" si="53"/>
        <v>2</v>
      </c>
      <c r="J45">
        <f t="shared" si="54"/>
        <v>0.4776632302405498</v>
      </c>
      <c r="K45">
        <f t="shared" si="54"/>
        <v>0.67061632328234178</v>
      </c>
      <c r="L45">
        <f t="shared" si="54"/>
        <v>0.64632454923717064</v>
      </c>
      <c r="M45">
        <f t="shared" si="54"/>
        <v>0.48762999618595171</v>
      </c>
      <c r="V45" s="61">
        <f t="shared" si="49"/>
        <v>2678400</v>
      </c>
      <c r="W45">
        <f t="shared" si="55"/>
        <v>0.2071522287499227</v>
      </c>
      <c r="X45">
        <f t="shared" si="55"/>
        <v>0.27220269192652846</v>
      </c>
      <c r="Y45">
        <f t="shared" si="55"/>
        <v>0.19366835747147071</v>
      </c>
      <c r="Z45">
        <f t="shared" si="55"/>
        <v>0.13027868677438098</v>
      </c>
      <c r="AC45" s="61">
        <f t="shared" si="51"/>
        <v>2678400</v>
      </c>
      <c r="AD45">
        <f t="shared" si="57"/>
        <v>0.19893098113300667</v>
      </c>
      <c r="AE45">
        <f t="shared" si="57"/>
        <v>0.29895587974784943</v>
      </c>
      <c r="AF45">
        <f t="shared" si="57"/>
        <v>0.17708074796890005</v>
      </c>
      <c r="AG45">
        <f t="shared" si="57"/>
        <v>2.138979073179488E-2</v>
      </c>
      <c r="AQ45" s="61">
        <f>24*3600</f>
        <v>86400</v>
      </c>
      <c r="AR45">
        <f t="shared" si="56"/>
        <v>0.40173975393306677</v>
      </c>
      <c r="AS45">
        <f t="shared" si="56"/>
        <v>0.56228413000974409</v>
      </c>
      <c r="AT45">
        <f t="shared" si="56"/>
        <v>5.2849308285348705E-18</v>
      </c>
      <c r="AU45">
        <f t="shared" si="56"/>
        <v>0.35495869504033223</v>
      </c>
      <c r="AV45">
        <f t="shared" si="56"/>
        <v>0.30559613937808539</v>
      </c>
    </row>
    <row r="46" spans="1:48" ht="15.5" x14ac:dyDescent="0.35">
      <c r="A46" s="303" t="s">
        <v>48</v>
      </c>
      <c r="B46" s="303">
        <v>0.254</v>
      </c>
      <c r="C46" s="303">
        <v>0.30894308943089432</v>
      </c>
      <c r="D46" s="303">
        <v>0.20524017467248906</v>
      </c>
      <c r="E46" s="303">
        <v>0.16820180000000001</v>
      </c>
      <c r="I46" s="61">
        <f t="shared" si="53"/>
        <v>6</v>
      </c>
      <c r="J46">
        <f t="shared" si="54"/>
        <v>0.43642611683848792</v>
      </c>
      <c r="K46">
        <f t="shared" si="54"/>
        <v>0.56759311779164312</v>
      </c>
      <c r="L46">
        <f t="shared" si="54"/>
        <v>0.46428117183194129</v>
      </c>
      <c r="M46">
        <f t="shared" si="54"/>
        <v>0.35660355077507444</v>
      </c>
      <c r="AQ46" s="61">
        <f>48*3600</f>
        <v>172800</v>
      </c>
      <c r="AR46">
        <f t="shared" si="56"/>
        <v>0.34845711897690129</v>
      </c>
      <c r="AS46">
        <f t="shared" si="56"/>
        <v>0.56228413000974409</v>
      </c>
      <c r="AT46">
        <f t="shared" si="56"/>
        <v>2.7930493758757707E-35</v>
      </c>
      <c r="AU46">
        <f t="shared" si="56"/>
        <v>0.26463858972157855</v>
      </c>
      <c r="AV46">
        <f t="shared" si="56"/>
        <v>0.29928141397332253</v>
      </c>
    </row>
    <row r="47" spans="1:48" ht="15.5" x14ac:dyDescent="0.35">
      <c r="A47" s="303" t="s">
        <v>49</v>
      </c>
      <c r="B47" s="303">
        <v>0.21100000000000002</v>
      </c>
      <c r="C47" s="303">
        <v>0.2584269662921348</v>
      </c>
      <c r="D47" s="303">
        <v>0.20080321285140562</v>
      </c>
      <c r="E47" s="303">
        <v>4.0969850000000002E-2</v>
      </c>
      <c r="I47" s="61">
        <f t="shared" si="53"/>
        <v>31</v>
      </c>
      <c r="J47">
        <f t="shared" si="54"/>
        <v>0.36254295532646047</v>
      </c>
      <c r="K47">
        <f t="shared" si="54"/>
        <v>0.47478442644368962</v>
      </c>
      <c r="L47">
        <f t="shared" si="54"/>
        <v>0.45424416111046129</v>
      </c>
      <c r="M47">
        <f t="shared" si="54"/>
        <v>8.6859914606872118E-2</v>
      </c>
      <c r="V47" t="s">
        <v>148</v>
      </c>
      <c r="W47">
        <f>SUMXMY2(J17:J23,W39:W45)</f>
        <v>2.309256111230497E-3</v>
      </c>
      <c r="X47">
        <f>SUMXMY2(K17:K23,X39:X45)</f>
        <v>2.7479619729042877E-3</v>
      </c>
      <c r="Y47">
        <f>SUMXMY2(L17:L23,Y39:Y45)</f>
        <v>3.0898669416477538E-3</v>
      </c>
      <c r="Z47">
        <f>SUMXMY2(M17:M23,Z39:Z45)</f>
        <v>1.4056614199675296E-2</v>
      </c>
      <c r="AA47">
        <f>SUM(W47:Z47)</f>
        <v>2.2203699225457833E-2</v>
      </c>
      <c r="AC47" t="s">
        <v>148</v>
      </c>
      <c r="AD47">
        <f>SUMXMY2(J17:J23,AD39:AD45)</f>
        <v>2.3617036435957035E-2</v>
      </c>
      <c r="AE47">
        <f>SUMXMY2(K17:K23,AE39:AE45)</f>
        <v>1.1823563202275728E-2</v>
      </c>
      <c r="AF47">
        <f>SUMXMY2(L17:L23,AF39:AF45)</f>
        <v>2.9393437677978026E-2</v>
      </c>
      <c r="AG47">
        <f>SUMXMY2(M17:M23,AG39:AG45)</f>
        <v>1.4226983822873357E-2</v>
      </c>
      <c r="AH47">
        <f>SUM(AD47:AG47)</f>
        <v>7.9061021139084142E-2</v>
      </c>
      <c r="AQ47" s="61">
        <f>6*24*3600</f>
        <v>518400</v>
      </c>
      <c r="AR47">
        <f t="shared" si="56"/>
        <v>0.19722750056461744</v>
      </c>
      <c r="AS47">
        <f t="shared" si="56"/>
        <v>0.56228413000974409</v>
      </c>
      <c r="AT47">
        <f t="shared" si="56"/>
        <v>2.1788926636979334E-104</v>
      </c>
      <c r="AU47">
        <f t="shared" si="56"/>
        <v>8.1762580762298101E-2</v>
      </c>
      <c r="AV47">
        <f t="shared" si="56"/>
        <v>0.27530067827459836</v>
      </c>
    </row>
    <row r="48" spans="1:48" ht="21" x14ac:dyDescent="0.5">
      <c r="A48" s="260"/>
      <c r="B48" s="260"/>
      <c r="C48" s="260"/>
      <c r="D48" s="260"/>
      <c r="E48" s="260"/>
      <c r="V48" t="s">
        <v>149</v>
      </c>
      <c r="W48">
        <f>RSQ(J17:J23,W39:W45)</f>
        <v>0.97601849459046031</v>
      </c>
      <c r="X48">
        <f>RSQ(K17:K23,X39:X45)</f>
        <v>0.95390573084238039</v>
      </c>
      <c r="Y48">
        <f>RSQ(L17:L23,Y39:Y45)</f>
        <v>0.92313103554772924</v>
      </c>
      <c r="Z48">
        <f>RSQ(M17:M23,Z39:Z45)</f>
        <v>0.88416973404834365</v>
      </c>
      <c r="AC48" t="s">
        <v>149</v>
      </c>
      <c r="AD48">
        <f>RSQ(J17:J23,AD39:AD45)</f>
        <v>0.8061148193712121</v>
      </c>
      <c r="AE48">
        <f>RSQ(K17:K23,AE39:AE45)</f>
        <v>0.83198713339650343</v>
      </c>
      <c r="AF48">
        <f>RSQ(L17:L23,AF39:AF45)</f>
        <v>0.77584796496400488</v>
      </c>
      <c r="AG48">
        <f>RSQ(M17:M23,AG39:AG45)</f>
        <v>0.92823416104296885</v>
      </c>
      <c r="AQ48" s="61">
        <f>31*24*3600</f>
        <v>2678400</v>
      </c>
      <c r="AR48">
        <f t="shared" si="56"/>
        <v>5.6244593187195361E-3</v>
      </c>
      <c r="AS48">
        <f t="shared" si="56"/>
        <v>0.56228413000974409</v>
      </c>
      <c r="AT48">
        <f t="shared" si="56"/>
        <v>0</v>
      </c>
      <c r="AU48">
        <f t="shared" si="56"/>
        <v>5.3019844699854397E-5</v>
      </c>
      <c r="AV48">
        <f t="shared" si="56"/>
        <v>0.16334444553790856</v>
      </c>
    </row>
    <row r="49" spans="1:48" ht="21" x14ac:dyDescent="0.5">
      <c r="A49" s="260"/>
      <c r="B49" s="260"/>
      <c r="C49" s="260"/>
      <c r="D49" s="260"/>
      <c r="E49" s="260"/>
      <c r="AV49" s="299"/>
    </row>
    <row r="50" spans="1:48" ht="21" x14ac:dyDescent="0.5">
      <c r="A50" s="260"/>
      <c r="B50" s="260"/>
      <c r="C50" s="260"/>
      <c r="D50" s="260"/>
      <c r="E50" s="260"/>
      <c r="AQ50" t="s">
        <v>148</v>
      </c>
      <c r="AR50">
        <f>SUMXMY2(J17:J23,AR42:AR48)</f>
        <v>0.16344233032275876</v>
      </c>
      <c r="AS50">
        <f t="shared" ref="AS50:AV50" si="58">SUMXMY2(K17:K23,AS42:AS48)</f>
        <v>0.40351814161015204</v>
      </c>
      <c r="AT50">
        <f t="shared" si="58"/>
        <v>0.3456148778035899</v>
      </c>
      <c r="AU50">
        <f t="shared" si="58"/>
        <v>0.1987925178170617</v>
      </c>
      <c r="AV50">
        <f t="shared" si="58"/>
        <v>6.073865380469657E-3</v>
      </c>
    </row>
    <row r="51" spans="1:48" ht="21" x14ac:dyDescent="0.5">
      <c r="A51" s="260"/>
      <c r="B51" s="260"/>
      <c r="C51" s="260"/>
      <c r="D51" s="260"/>
      <c r="E51" s="260"/>
      <c r="V51" s="385" t="s">
        <v>154</v>
      </c>
      <c r="W51" s="385"/>
      <c r="X51" s="385"/>
      <c r="Y51" s="385"/>
      <c r="Z51" s="385"/>
      <c r="AQ51" t="s">
        <v>149</v>
      </c>
      <c r="AR51">
        <f>RSQ(J17:J23,AR42:AR48)</f>
        <v>0.94069018194873355</v>
      </c>
      <c r="AS51">
        <f t="shared" ref="AS51:AV51" si="59">RSQ(K17:K23,AS42:AS48)</f>
        <v>0.80107050187963769</v>
      </c>
      <c r="AT51">
        <f t="shared" si="59"/>
        <v>0.83613864862067433</v>
      </c>
      <c r="AU51">
        <f t="shared" si="59"/>
        <v>0.93594846112887953</v>
      </c>
      <c r="AV51">
        <f t="shared" si="59"/>
        <v>0.91567082900089314</v>
      </c>
    </row>
    <row r="52" spans="1:48" ht="21" x14ac:dyDescent="0.5">
      <c r="A52" s="260"/>
      <c r="B52" s="260"/>
      <c r="C52" s="260"/>
      <c r="D52" s="260"/>
      <c r="E52" s="260"/>
      <c r="V52" s="61" t="s">
        <v>146</v>
      </c>
      <c r="W52">
        <v>1.5719300807451635</v>
      </c>
      <c r="X52">
        <v>1.4399510021263551</v>
      </c>
      <c r="Y52">
        <v>1.1023103781480006</v>
      </c>
      <c r="Z52">
        <v>2.6669065681171058</v>
      </c>
      <c r="AU52">
        <f>SUM(AR50:AU50)</f>
        <v>1.1113678675535623</v>
      </c>
    </row>
    <row r="53" spans="1:48" ht="21" x14ac:dyDescent="0.5">
      <c r="A53" s="260"/>
      <c r="B53" s="260"/>
      <c r="C53" s="260"/>
      <c r="D53" s="260"/>
      <c r="E53" s="260"/>
      <c r="J53">
        <f>1156/(0.41*13*8)</f>
        <v>27.110694183864915</v>
      </c>
      <c r="V53" s="61" t="s">
        <v>147</v>
      </c>
      <c r="W53">
        <v>0.14566555703687614</v>
      </c>
      <c r="X53">
        <v>0.14479417566015829</v>
      </c>
      <c r="Y53">
        <v>0.13726508832311801</v>
      </c>
      <c r="Z53">
        <v>0.23850881597666851</v>
      </c>
      <c r="AU53">
        <f>AVERAGE(AR51:AU51)</f>
        <v>0.87846194839448133</v>
      </c>
    </row>
    <row r="54" spans="1:48" ht="21" x14ac:dyDescent="0.5">
      <c r="A54" s="260"/>
      <c r="B54" s="260"/>
      <c r="C54" s="260"/>
      <c r="D54" s="260"/>
      <c r="E54" s="260"/>
      <c r="V54" s="61" t="s">
        <v>153</v>
      </c>
      <c r="W54">
        <v>1.0935330798515768</v>
      </c>
      <c r="X54">
        <v>1.3477504887897862</v>
      </c>
      <c r="Y54">
        <v>1.2455718081857177</v>
      </c>
      <c r="Z54">
        <v>1.5429523340857181</v>
      </c>
    </row>
    <row r="55" spans="1:48" ht="21" x14ac:dyDescent="0.5">
      <c r="A55" s="260"/>
      <c r="B55" s="260"/>
      <c r="C55" s="260"/>
      <c r="D55" s="260"/>
      <c r="E55" s="260"/>
    </row>
    <row r="56" spans="1:48" ht="21" x14ac:dyDescent="0.5">
      <c r="A56" s="260"/>
      <c r="B56" s="260"/>
      <c r="C56" s="260"/>
      <c r="D56" s="260"/>
      <c r="E56" s="260"/>
    </row>
    <row r="57" spans="1:48" ht="21" x14ac:dyDescent="0.5">
      <c r="A57" s="260"/>
      <c r="B57" s="260"/>
      <c r="C57" s="260"/>
      <c r="D57" s="260"/>
      <c r="E57" s="260"/>
      <c r="W57" s="61" t="s">
        <v>62</v>
      </c>
      <c r="X57" s="61" t="s">
        <v>24</v>
      </c>
      <c r="Y57" s="61" t="s">
        <v>25</v>
      </c>
      <c r="Z57" s="61" t="s">
        <v>254</v>
      </c>
    </row>
    <row r="58" spans="1:48" ht="21" x14ac:dyDescent="0.5">
      <c r="A58" s="260"/>
      <c r="B58" s="260"/>
      <c r="C58" s="260"/>
      <c r="D58" s="260"/>
      <c r="E58" s="260"/>
      <c r="V58" s="61" t="str">
        <f>V38</f>
        <v>Interval s</v>
      </c>
      <c r="W58" s="61" t="s">
        <v>212</v>
      </c>
      <c r="X58" s="61" t="s">
        <v>212</v>
      </c>
      <c r="Y58" s="61" t="s">
        <v>212</v>
      </c>
      <c r="Z58" s="61" t="s">
        <v>212</v>
      </c>
    </row>
    <row r="59" spans="1:48" ht="21" x14ac:dyDescent="0.5">
      <c r="A59" s="260"/>
      <c r="B59" s="260"/>
      <c r="C59" s="260"/>
      <c r="D59" s="260"/>
      <c r="E59" s="260"/>
      <c r="V59" s="61">
        <f t="shared" ref="V59:V65" si="60">V39</f>
        <v>1200</v>
      </c>
      <c r="W59">
        <f>W$52*(1+$V59)^-W$53</f>
        <v>0.55956414320055092</v>
      </c>
      <c r="X59">
        <f t="shared" ref="X59:Z59" si="61">X$52*(1+$V59)^-X$53</f>
        <v>0.51576019718490618</v>
      </c>
      <c r="Y59">
        <f t="shared" si="61"/>
        <v>0.41647616659150483</v>
      </c>
      <c r="Z59">
        <f t="shared" si="61"/>
        <v>0.4914842946350676</v>
      </c>
    </row>
    <row r="60" spans="1:48" ht="21" x14ac:dyDescent="0.5">
      <c r="A60" s="260"/>
      <c r="B60" s="260"/>
      <c r="C60" s="260"/>
      <c r="D60" s="260"/>
      <c r="E60" s="260"/>
      <c r="V60" s="61">
        <f t="shared" si="60"/>
        <v>3600</v>
      </c>
      <c r="W60">
        <f t="shared" ref="W60:Z61" si="62">W$52*(1+$V60)^-W$53</f>
        <v>0.47685338484955159</v>
      </c>
      <c r="X60">
        <f t="shared" si="62"/>
        <v>0.43994497362989538</v>
      </c>
      <c r="Y60">
        <f t="shared" si="62"/>
        <v>0.35820460307100727</v>
      </c>
      <c r="Z60">
        <f t="shared" si="62"/>
        <v>0.37824181006905255</v>
      </c>
    </row>
    <row r="61" spans="1:48" ht="21" x14ac:dyDescent="0.5">
      <c r="A61" s="260"/>
      <c r="B61" s="260"/>
      <c r="C61" s="260"/>
      <c r="D61" s="260"/>
      <c r="E61" s="260"/>
      <c r="V61" s="61">
        <f t="shared" si="60"/>
        <v>32400</v>
      </c>
      <c r="W61">
        <f t="shared" si="62"/>
        <v>0.34625832260416045</v>
      </c>
      <c r="X61">
        <f t="shared" si="62"/>
        <v>0.32007011586683409</v>
      </c>
      <c r="Y61">
        <f t="shared" si="62"/>
        <v>0.26494864157242598</v>
      </c>
      <c r="Z61">
        <f t="shared" si="62"/>
        <v>0.22397515933376361</v>
      </c>
    </row>
    <row r="62" spans="1:48" ht="21" x14ac:dyDescent="0.5">
      <c r="A62" s="260"/>
      <c r="B62" s="260"/>
      <c r="C62" s="260"/>
      <c r="D62" s="260"/>
      <c r="E62" s="260"/>
      <c r="V62" s="61">
        <f t="shared" si="60"/>
        <v>86400</v>
      </c>
      <c r="W62">
        <f>(W$52*(1+$V62)^-W$53)*W$54</f>
        <v>0.32823462605178627</v>
      </c>
      <c r="X62">
        <f t="shared" ref="X62:Z62" si="63">(X$52*(1+$V62)^-X$53)*X$54</f>
        <v>0.37426399290094969</v>
      </c>
      <c r="Y62">
        <f t="shared" si="63"/>
        <v>0.28844364927631017</v>
      </c>
      <c r="Z62">
        <f t="shared" si="63"/>
        <v>0.27349983211429341</v>
      </c>
    </row>
    <row r="63" spans="1:48" ht="21" x14ac:dyDescent="0.5">
      <c r="A63" s="260"/>
      <c r="B63" s="260"/>
      <c r="C63" s="260"/>
      <c r="D63" s="260"/>
      <c r="E63" s="260"/>
      <c r="V63" s="61">
        <f t="shared" si="60"/>
        <v>172800</v>
      </c>
      <c r="W63">
        <f t="shared" ref="W63:Z65" si="64">(W$52*(1+$V63)^-W$53)*W$54</f>
        <v>0.29671196362847746</v>
      </c>
      <c r="X63">
        <f t="shared" si="64"/>
        <v>0.33852521334340718</v>
      </c>
      <c r="Y63">
        <f t="shared" si="64"/>
        <v>0.26226504882247392</v>
      </c>
      <c r="Z63">
        <f t="shared" si="64"/>
        <v>0.23182451276192503</v>
      </c>
    </row>
    <row r="64" spans="1:48" ht="21" x14ac:dyDescent="0.5">
      <c r="A64" s="260"/>
      <c r="B64" s="260"/>
      <c r="C64" s="260"/>
      <c r="D64" s="260"/>
      <c r="E64" s="260"/>
      <c r="V64" s="61">
        <f t="shared" si="60"/>
        <v>518400</v>
      </c>
      <c r="W64">
        <f t="shared" si="64"/>
        <v>0.2528338212144281</v>
      </c>
      <c r="X64">
        <f t="shared" si="64"/>
        <v>0.28873995489626891</v>
      </c>
      <c r="Y64">
        <f t="shared" si="64"/>
        <v>0.22555297322133575</v>
      </c>
      <c r="Z64">
        <f t="shared" si="64"/>
        <v>0.17838655963095021</v>
      </c>
    </row>
    <row r="65" spans="1:27" ht="21" x14ac:dyDescent="0.5">
      <c r="A65" s="260"/>
      <c r="B65" s="260"/>
      <c r="C65" s="260"/>
      <c r="D65" s="260"/>
      <c r="E65" s="260"/>
      <c r="V65" s="61">
        <f t="shared" si="60"/>
        <v>2678400</v>
      </c>
      <c r="W65">
        <f t="shared" si="64"/>
        <v>0.19904215740430822</v>
      </c>
      <c r="X65">
        <f t="shared" si="64"/>
        <v>0.22763459437328676</v>
      </c>
      <c r="Y65">
        <f t="shared" si="64"/>
        <v>0.18003202005636418</v>
      </c>
      <c r="Z65">
        <f t="shared" si="64"/>
        <v>0.12057445636449131</v>
      </c>
    </row>
    <row r="66" spans="1:27" ht="21" x14ac:dyDescent="0.5">
      <c r="A66" s="260"/>
      <c r="B66" s="260"/>
      <c r="C66" s="260"/>
      <c r="D66" s="260"/>
      <c r="E66" s="260"/>
      <c r="W66" t="b">
        <f>OR($J19&gt;W62,$J20&gt;W63)</f>
        <v>1</v>
      </c>
      <c r="X66" t="b">
        <f t="shared" ref="X66:Z66" si="65">OR($J19&gt;X62,$J20&gt;X63)</f>
        <v>0</v>
      </c>
      <c r="Y66" t="b">
        <f t="shared" si="65"/>
        <v>1</v>
      </c>
      <c r="Z66" t="b">
        <f t="shared" si="65"/>
        <v>1</v>
      </c>
    </row>
    <row r="67" spans="1:27" ht="21" x14ac:dyDescent="0.5">
      <c r="A67" s="260"/>
      <c r="B67" s="260"/>
      <c r="C67" s="260"/>
      <c r="D67" s="260"/>
      <c r="E67" s="260"/>
      <c r="W67" t="b">
        <f>OR($J19-W62&gt;$J74,$J20-W63&gt;$J75)</f>
        <v>1</v>
      </c>
      <c r="X67" t="b">
        <f t="shared" ref="X67:Z67" si="66">OR($J19-X62&gt;$J74,$J20-X63&gt;$J75)</f>
        <v>0</v>
      </c>
      <c r="Y67" t="b">
        <f t="shared" si="66"/>
        <v>1</v>
      </c>
      <c r="Z67" t="b">
        <f t="shared" si="66"/>
        <v>1</v>
      </c>
    </row>
    <row r="68" spans="1:27" ht="21" x14ac:dyDescent="0.5">
      <c r="A68" s="260"/>
      <c r="B68" s="260"/>
      <c r="C68" s="260"/>
      <c r="D68" s="260"/>
      <c r="E68" s="260"/>
    </row>
    <row r="69" spans="1:27" ht="21" x14ac:dyDescent="0.5">
      <c r="A69" s="260"/>
      <c r="B69" s="260"/>
      <c r="C69" s="260"/>
      <c r="D69" s="260"/>
      <c r="E69" s="260"/>
      <c r="V69" t="s">
        <v>148</v>
      </c>
      <c r="W69">
        <f>SUMXMY2(J17:J23,W59:W65)</f>
        <v>2.4273124296530545E-3</v>
      </c>
      <c r="X69">
        <f t="shared" ref="X69:Z69" si="67">SUMXMY2(K17:K23,X59:X65)</f>
        <v>7.5552696519786064E-3</v>
      </c>
      <c r="Y69">
        <f t="shared" si="67"/>
        <v>3.5198522416229109E-3</v>
      </c>
      <c r="Z69">
        <f t="shared" si="67"/>
        <v>1.1490948123448988E-2</v>
      </c>
      <c r="AA69">
        <f>SUM(W69:Z69)</f>
        <v>2.4993382446703558E-2</v>
      </c>
    </row>
    <row r="70" spans="1:27" ht="21" x14ac:dyDescent="0.5">
      <c r="A70" s="260"/>
      <c r="B70" s="260"/>
      <c r="C70" s="260"/>
      <c r="D70" s="260"/>
      <c r="E70" s="260"/>
      <c r="V70" t="s">
        <v>149</v>
      </c>
      <c r="W70">
        <f>RSQ(J17:J23,W59:W65)</f>
        <v>0.9748669975471741</v>
      </c>
      <c r="X70">
        <f t="shared" ref="X70:Z70" si="68">RSQ(K17:K23,X59:X65)</f>
        <v>0.87420332200075856</v>
      </c>
      <c r="Y70">
        <f t="shared" si="68"/>
        <v>0.91274705669563816</v>
      </c>
      <c r="Z70">
        <f t="shared" si="68"/>
        <v>0.90595287349777764</v>
      </c>
      <c r="AA70">
        <f>AVERAGE(W70:Z70)</f>
        <v>0.91694256243533723</v>
      </c>
    </row>
    <row r="71" spans="1:27" ht="21" x14ac:dyDescent="0.5">
      <c r="A71" s="260"/>
      <c r="B71" s="260"/>
      <c r="C71" s="260"/>
      <c r="D71" s="260"/>
      <c r="E71" s="260"/>
    </row>
    <row r="72" spans="1:27" ht="21" x14ac:dyDescent="0.5">
      <c r="A72" s="260"/>
      <c r="B72" s="260"/>
      <c r="C72" s="260"/>
      <c r="D72" s="260"/>
      <c r="E72" s="260"/>
    </row>
    <row r="73" spans="1:27" ht="21" x14ac:dyDescent="0.5">
      <c r="A73" s="260"/>
      <c r="B73" s="260"/>
      <c r="C73" s="260"/>
      <c r="D73" s="260"/>
      <c r="E73" s="260"/>
    </row>
  </sheetData>
  <mergeCells count="24">
    <mergeCell ref="AX3:BB3"/>
    <mergeCell ref="A4:G4"/>
    <mergeCell ref="B5:C5"/>
    <mergeCell ref="D5:E5"/>
    <mergeCell ref="F5:G5"/>
    <mergeCell ref="I5:J5"/>
    <mergeCell ref="K5:L5"/>
    <mergeCell ref="M5:N5"/>
    <mergeCell ref="V51:Z51"/>
    <mergeCell ref="BL8:BQ8"/>
    <mergeCell ref="BT8:BY8"/>
    <mergeCell ref="O9:S9"/>
    <mergeCell ref="V9:Z9"/>
    <mergeCell ref="AC9:AG9"/>
    <mergeCell ref="AJ9:AN9"/>
    <mergeCell ref="AQ9:AU9"/>
    <mergeCell ref="AX9:BB9"/>
    <mergeCell ref="BL9:BP9"/>
    <mergeCell ref="BT9:BX9"/>
    <mergeCell ref="A15:F15"/>
    <mergeCell ref="G15:H15"/>
    <mergeCell ref="V31:Z31"/>
    <mergeCell ref="AC31:AG31"/>
    <mergeCell ref="AQ34:AU34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B2:BL34"/>
  <sheetViews>
    <sheetView topLeftCell="K1" workbookViewId="0">
      <selection activeCell="R2" sqref="R2"/>
    </sheetView>
  </sheetViews>
  <sheetFormatPr defaultColWidth="8.90625" defaultRowHeight="14.5" x14ac:dyDescent="0.35"/>
  <cols>
    <col min="3" max="3" width="11.1796875" customWidth="1"/>
    <col min="4" max="4" width="13.6328125" customWidth="1"/>
    <col min="5" max="5" width="11.54296875" customWidth="1"/>
    <col min="6" max="6" width="13.1796875" customWidth="1"/>
    <col min="7" max="7" width="12.453125" customWidth="1"/>
    <col min="9" max="9" width="10.08984375" customWidth="1"/>
    <col min="17" max="17" width="9.90625" bestFit="1" customWidth="1"/>
    <col min="18" max="18" width="7.54296875" customWidth="1"/>
    <col min="19" max="19" width="12.90625" customWidth="1"/>
    <col min="20" max="20" width="9.6328125" customWidth="1"/>
    <col min="21" max="21" width="13.36328125" customWidth="1"/>
    <col min="22" max="22" width="9.36328125" customWidth="1"/>
    <col min="23" max="23" width="10.90625" customWidth="1"/>
    <col min="24" max="24" width="5.54296875" customWidth="1"/>
    <col min="25" max="25" width="5" customWidth="1"/>
    <col min="26" max="26" width="4.6328125" customWidth="1"/>
    <col min="27" max="27" width="10.90625" customWidth="1"/>
    <col min="28" max="29" width="7.54296875" customWidth="1"/>
    <col min="30" max="30" width="8.90625" customWidth="1"/>
    <col min="31" max="31" width="8.36328125" customWidth="1"/>
    <col min="32" max="32" width="5" customWidth="1"/>
    <col min="33" max="33" width="5.54296875" customWidth="1"/>
    <col min="34" max="35" width="5" customWidth="1"/>
    <col min="36" max="36" width="12.36328125" customWidth="1"/>
    <col min="37" max="37" width="5" customWidth="1"/>
    <col min="38" max="38" width="8.453125" customWidth="1"/>
    <col min="39" max="39" width="6.1796875" customWidth="1"/>
    <col min="42" max="42" width="10.54296875" customWidth="1"/>
    <col min="59" max="59" width="7.453125" customWidth="1"/>
    <col min="60" max="60" width="12.6328125" customWidth="1"/>
    <col min="61" max="61" width="12.54296875" customWidth="1"/>
    <col min="62" max="62" width="13.1796875" customWidth="1"/>
    <col min="63" max="63" width="12.54296875" customWidth="1"/>
    <col min="64" max="64" width="9.54296875" bestFit="1" customWidth="1"/>
    <col min="67" max="67" width="10.1796875" customWidth="1"/>
    <col min="68" max="69" width="12.453125" customWidth="1"/>
    <col min="70" max="71" width="12.90625" customWidth="1"/>
    <col min="72" max="72" width="9.90625" customWidth="1"/>
    <col min="76" max="76" width="10.08984375" customWidth="1"/>
  </cols>
  <sheetData>
    <row r="2" spans="2:64" x14ac:dyDescent="0.35">
      <c r="B2" s="338" t="s">
        <v>257</v>
      </c>
      <c r="C2" s="338"/>
      <c r="D2" s="339"/>
      <c r="E2" s="339"/>
      <c r="F2" s="339"/>
      <c r="G2" s="339"/>
      <c r="H2" s="339"/>
      <c r="I2" s="338"/>
      <c r="J2" s="339"/>
      <c r="K2" s="339"/>
      <c r="L2" s="339"/>
      <c r="M2" s="339"/>
      <c r="N2" s="339"/>
      <c r="O2" s="339"/>
      <c r="P2" s="339"/>
      <c r="R2" t="s">
        <v>258</v>
      </c>
    </row>
    <row r="3" spans="2:64" x14ac:dyDescent="0.35">
      <c r="B3" s="339"/>
      <c r="C3" s="339"/>
      <c r="D3" s="339"/>
      <c r="E3" s="339"/>
      <c r="F3" s="339"/>
      <c r="G3" s="339"/>
      <c r="H3" s="339"/>
      <c r="I3" s="339"/>
      <c r="J3" s="339"/>
      <c r="K3" s="338" t="s">
        <v>236</v>
      </c>
      <c r="L3" s="338"/>
      <c r="M3" s="338"/>
      <c r="N3" s="338"/>
      <c r="O3" s="338"/>
      <c r="P3" s="338"/>
      <c r="AK3" s="390"/>
      <c r="AL3" s="390"/>
      <c r="AM3" s="390"/>
      <c r="AP3" s="390"/>
      <c r="AQ3" s="390"/>
      <c r="AR3" s="390"/>
      <c r="AS3" s="390"/>
      <c r="AT3" s="390"/>
      <c r="AU3" s="390"/>
      <c r="AV3" s="390"/>
      <c r="AW3" s="390"/>
      <c r="AX3" s="390"/>
      <c r="AY3" s="390"/>
      <c r="AZ3" s="390"/>
      <c r="BA3" s="390"/>
      <c r="BB3" s="390"/>
      <c r="BC3" s="390"/>
      <c r="BG3" s="28"/>
      <c r="BH3" s="28"/>
      <c r="BI3" s="28"/>
      <c r="BJ3" s="28"/>
      <c r="BK3" s="28"/>
      <c r="BL3" s="28"/>
    </row>
    <row r="4" spans="2:64" ht="15.5" x14ac:dyDescent="0.35"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14"/>
      <c r="R4" s="390" t="s">
        <v>211</v>
      </c>
      <c r="S4" s="390"/>
      <c r="T4" s="390"/>
      <c r="U4" s="390"/>
      <c r="V4" s="390"/>
      <c r="W4" s="390"/>
      <c r="Z4" s="392" t="s">
        <v>236</v>
      </c>
      <c r="AA4" s="392"/>
      <c r="AB4" s="392"/>
      <c r="AC4" s="392"/>
      <c r="AD4" s="392"/>
      <c r="AE4" s="392"/>
      <c r="BG4" s="393"/>
      <c r="BH4" s="393"/>
      <c r="BI4" s="393"/>
      <c r="BJ4" s="393"/>
      <c r="BK4" s="393"/>
      <c r="BL4" s="393"/>
    </row>
    <row r="5" spans="2:64" ht="15.5" x14ac:dyDescent="0.35">
      <c r="B5" s="339"/>
      <c r="C5" s="340"/>
      <c r="D5" s="340" t="s">
        <v>62</v>
      </c>
      <c r="E5" s="340" t="s">
        <v>24</v>
      </c>
      <c r="F5" s="340" t="s">
        <v>25</v>
      </c>
      <c r="G5" s="340" t="s">
        <v>143</v>
      </c>
      <c r="H5" s="340" t="s">
        <v>167</v>
      </c>
      <c r="I5" s="339"/>
      <c r="J5" s="339"/>
      <c r="K5" s="341"/>
      <c r="L5" s="341" t="s">
        <v>62</v>
      </c>
      <c r="M5" s="341" t="s">
        <v>24</v>
      </c>
      <c r="N5" s="341" t="s">
        <v>25</v>
      </c>
      <c r="O5" s="341" t="s">
        <v>143</v>
      </c>
      <c r="P5" s="341" t="s">
        <v>167</v>
      </c>
      <c r="S5" t="s">
        <v>62</v>
      </c>
      <c r="T5" t="s">
        <v>24</v>
      </c>
      <c r="U5" t="s">
        <v>25</v>
      </c>
      <c r="V5" s="1" t="s">
        <v>254</v>
      </c>
      <c r="W5" t="s">
        <v>167</v>
      </c>
      <c r="X5" s="271"/>
      <c r="Z5" s="355"/>
      <c r="AA5" s="355"/>
      <c r="AB5" s="355"/>
      <c r="AC5" s="355"/>
      <c r="AD5" s="355"/>
      <c r="AE5" s="355"/>
      <c r="AG5" s="271"/>
      <c r="AJ5" s="271"/>
      <c r="AM5" s="271"/>
      <c r="BG5" s="330"/>
      <c r="BH5" s="331"/>
      <c r="BI5" s="331"/>
      <c r="BJ5" s="331"/>
      <c r="BK5" s="331"/>
      <c r="BL5" s="331"/>
    </row>
    <row r="6" spans="2:64" ht="16.5" x14ac:dyDescent="0.45">
      <c r="B6" s="339"/>
      <c r="C6" s="342" t="s">
        <v>211</v>
      </c>
      <c r="D6" s="342"/>
      <c r="E6" s="342"/>
      <c r="F6" s="342"/>
      <c r="G6" s="342"/>
      <c r="H6" s="342"/>
      <c r="I6" s="339"/>
      <c r="J6" s="339"/>
      <c r="K6" s="394" t="s">
        <v>237</v>
      </c>
      <c r="L6" s="394"/>
      <c r="M6" s="394"/>
      <c r="N6" s="394"/>
      <c r="O6" s="394"/>
      <c r="P6" s="394"/>
      <c r="R6" s="354" t="s">
        <v>261</v>
      </c>
      <c r="S6">
        <v>1.4</v>
      </c>
      <c r="T6">
        <v>0.96499999999999997</v>
      </c>
      <c r="U6">
        <v>0.82199999999999995</v>
      </c>
      <c r="V6">
        <v>1.56</v>
      </c>
      <c r="X6" s="271"/>
      <c r="Z6" s="262"/>
      <c r="AA6" s="262" t="s">
        <v>62</v>
      </c>
      <c r="AB6" s="262" t="s">
        <v>24</v>
      </c>
      <c r="AC6" s="262" t="s">
        <v>25</v>
      </c>
      <c r="AD6" s="262" t="s">
        <v>143</v>
      </c>
      <c r="AE6" s="262" t="s">
        <v>167</v>
      </c>
      <c r="AG6" s="271"/>
      <c r="AJ6" s="271"/>
      <c r="AM6" s="271"/>
      <c r="BG6" s="330"/>
      <c r="BH6" s="331"/>
      <c r="BI6" s="331"/>
      <c r="BJ6" s="331"/>
      <c r="BK6" s="331"/>
      <c r="BL6" s="331"/>
    </row>
    <row r="7" spans="2:64" ht="16.5" x14ac:dyDescent="0.45">
      <c r="B7" s="339"/>
      <c r="C7" s="343" t="s">
        <v>223</v>
      </c>
      <c r="D7" s="344">
        <v>1.3983105974858652</v>
      </c>
      <c r="E7" s="344">
        <v>0.9651441259204292</v>
      </c>
      <c r="F7" s="344">
        <v>0.82200785301843549</v>
      </c>
      <c r="G7" s="344">
        <v>1.5557888278516183</v>
      </c>
      <c r="H7" s="344"/>
      <c r="I7" s="339"/>
      <c r="J7" s="339"/>
      <c r="K7" s="345" t="s">
        <v>226</v>
      </c>
      <c r="L7" s="346">
        <f>'Data fits from Mathematica'!BM10</f>
        <v>0.52300000000000002</v>
      </c>
      <c r="M7" s="346">
        <f>'Data fits from Mathematica'!BN10</f>
        <v>0.32500000000000001</v>
      </c>
      <c r="N7" s="346">
        <f>'Data fits from Mathematica'!BO10</f>
        <v>0.248</v>
      </c>
      <c r="O7" s="346">
        <f>'Data fits from Mathematica'!BP10</f>
        <v>0.51600000000000001</v>
      </c>
      <c r="P7" s="346"/>
      <c r="R7" s="28" t="s">
        <v>262</v>
      </c>
      <c r="S7">
        <v>0.13</v>
      </c>
      <c r="T7">
        <v>9.2600000000000002E-2</v>
      </c>
      <c r="U7">
        <v>9.9000000000000005E-2</v>
      </c>
      <c r="V7">
        <v>0.16700000000000001</v>
      </c>
      <c r="X7" s="271"/>
      <c r="Z7" s="391" t="s">
        <v>237</v>
      </c>
      <c r="AA7" s="391"/>
      <c r="AB7" s="391"/>
      <c r="AC7" s="391"/>
      <c r="AD7" s="391"/>
      <c r="AE7" s="391"/>
      <c r="AG7" s="271"/>
      <c r="AJ7" s="271"/>
      <c r="AM7" s="271"/>
      <c r="BG7" s="328"/>
      <c r="BH7" s="332"/>
      <c r="BI7" s="332"/>
      <c r="BJ7" s="332"/>
      <c r="BK7" s="332"/>
      <c r="BL7" s="333"/>
    </row>
    <row r="8" spans="2:64" ht="16.5" x14ac:dyDescent="0.45">
      <c r="B8" s="339"/>
      <c r="C8" s="343" t="s">
        <v>147</v>
      </c>
      <c r="D8" s="344">
        <v>0.13035244926811415</v>
      </c>
      <c r="E8" s="344">
        <v>9.2565903632240321E-2</v>
      </c>
      <c r="F8" s="344">
        <v>9.8966415387985396E-2</v>
      </c>
      <c r="G8" s="344">
        <v>0.16688561097233134</v>
      </c>
      <c r="H8" s="344"/>
      <c r="I8" s="339"/>
      <c r="J8" s="339"/>
      <c r="K8" s="339" t="s">
        <v>227</v>
      </c>
      <c r="L8" s="346">
        <f>'Data fits from Mathematica'!BM11</f>
        <v>0.10100000000000001</v>
      </c>
      <c r="M8" s="346">
        <f>'Data fits from Mathematica'!BN11</f>
        <v>5.1799999999999999E-2</v>
      </c>
      <c r="N8" s="346">
        <f>'Data fits from Mathematica'!BO11</f>
        <v>5.2499999999999998E-2</v>
      </c>
      <c r="O8" s="346">
        <f>'Data fits from Mathematica'!BP11</f>
        <v>0.14000000000000001</v>
      </c>
      <c r="P8" s="346"/>
      <c r="R8" s="28" t="s">
        <v>148</v>
      </c>
      <c r="S8">
        <v>2.8500000000000001E-3</v>
      </c>
      <c r="T8">
        <v>1.29E-2</v>
      </c>
      <c r="U8">
        <v>5.2300000000000003E-3</v>
      </c>
      <c r="V8">
        <v>1.6299999999999999E-2</v>
      </c>
      <c r="W8">
        <v>9.3200000000000002E-3</v>
      </c>
      <c r="X8" s="271"/>
      <c r="Z8" s="357" t="s">
        <v>226</v>
      </c>
      <c r="AA8">
        <v>0.52300000000000002</v>
      </c>
      <c r="AB8">
        <v>0.32500000000000001</v>
      </c>
      <c r="AC8">
        <v>0.248</v>
      </c>
      <c r="AD8">
        <v>0.51600000000000001</v>
      </c>
      <c r="AG8" s="271"/>
      <c r="AJ8" s="271"/>
      <c r="AM8" s="271"/>
      <c r="BG8" s="330"/>
      <c r="BH8" s="331"/>
      <c r="BI8" s="331"/>
      <c r="BJ8" s="331"/>
      <c r="BK8" s="331"/>
      <c r="BL8" s="331"/>
    </row>
    <row r="9" spans="2:64" ht="17.5" x14ac:dyDescent="0.45">
      <c r="B9" s="339"/>
      <c r="C9" s="340" t="s">
        <v>148</v>
      </c>
      <c r="D9" s="347">
        <v>2.8461488816745053E-3</v>
      </c>
      <c r="E9" s="347">
        <v>1.2923361011669863E-2</v>
      </c>
      <c r="F9" s="347">
        <v>5.2327228100148612E-3</v>
      </c>
      <c r="G9" s="347">
        <v>1.6265098715652196E-2</v>
      </c>
      <c r="H9" s="348">
        <v>3.7267331419011424E-2</v>
      </c>
      <c r="I9" s="339"/>
      <c r="J9" s="339"/>
      <c r="K9" s="341" t="s">
        <v>148</v>
      </c>
      <c r="L9" s="349">
        <f>'Data fits from Mathematica'!BM28</f>
        <v>1.8488205355112774E-3</v>
      </c>
      <c r="M9" s="349">
        <f>'Data fits from Mathematica'!BN28</f>
        <v>1.0655259030861402E-2</v>
      </c>
      <c r="N9" s="349">
        <f>'Data fits from Mathematica'!BO28</f>
        <v>4.2656556828649462E-3</v>
      </c>
      <c r="O9" s="349">
        <f>'Data fits from Mathematica'!BP28</f>
        <v>1.7692225274434599E-2</v>
      </c>
      <c r="P9" s="350">
        <f>'Data fits from Mathematica'!BM30</f>
        <v>3.4461960523672223E-2</v>
      </c>
      <c r="R9" s="28" t="s">
        <v>263</v>
      </c>
      <c r="S9">
        <v>0.997</v>
      </c>
      <c r="T9">
        <v>0.98699999999999999</v>
      </c>
      <c r="U9">
        <v>0.99099999999999999</v>
      </c>
      <c r="V9">
        <v>0.97399999999999998</v>
      </c>
      <c r="W9">
        <v>0.98699999999999999</v>
      </c>
      <c r="X9" s="271"/>
      <c r="Z9" s="355" t="s">
        <v>227</v>
      </c>
      <c r="AA9">
        <v>0.10100000000000001</v>
      </c>
      <c r="AB9">
        <v>5.1799999999999999E-2</v>
      </c>
      <c r="AC9">
        <v>5.2499999999999998E-2</v>
      </c>
      <c r="AD9">
        <v>0.14000000000000001</v>
      </c>
      <c r="AG9" s="271"/>
      <c r="AJ9" s="271"/>
      <c r="AM9" s="271"/>
      <c r="BG9" s="393"/>
      <c r="BH9" s="393"/>
      <c r="BI9" s="393"/>
      <c r="BJ9" s="393"/>
      <c r="BK9" s="393"/>
      <c r="BL9" s="393"/>
    </row>
    <row r="10" spans="2:64" ht="16.5" x14ac:dyDescent="0.35">
      <c r="B10" s="339"/>
      <c r="C10" s="343" t="s">
        <v>224</v>
      </c>
      <c r="D10" s="344">
        <v>0.97050720484382291</v>
      </c>
      <c r="E10" s="344">
        <v>0.78393950404057577</v>
      </c>
      <c r="F10" s="344">
        <v>0.86992142961076335</v>
      </c>
      <c r="G10" s="344">
        <v>0.864334846577547</v>
      </c>
      <c r="H10" s="344">
        <v>0.87217574626817729</v>
      </c>
      <c r="I10" s="339"/>
      <c r="J10" s="339"/>
      <c r="K10" s="339" t="s">
        <v>225</v>
      </c>
      <c r="L10" s="346">
        <f>'Data fits from Mathematica'!BM29</f>
        <v>0.98079688178550128</v>
      </c>
      <c r="M10" s="346">
        <f>'Data fits from Mathematica'!BN29</f>
        <v>0.82131741130317448</v>
      </c>
      <c r="N10" s="346">
        <f>'Data fits from Mathematica'!BO29</f>
        <v>0.89383632150513836</v>
      </c>
      <c r="O10" s="346">
        <f>'Data fits from Mathematica'!BP29</f>
        <v>0.85105938181684682</v>
      </c>
      <c r="P10" s="346">
        <f>'Data fits from Mathematica'!BM31</f>
        <v>0.88675249910266518</v>
      </c>
      <c r="R10" s="28" t="s">
        <v>256</v>
      </c>
      <c r="S10">
        <v>-28.8</v>
      </c>
      <c r="T10">
        <v>-18.2</v>
      </c>
      <c r="U10">
        <v>-24.5</v>
      </c>
      <c r="V10">
        <v>-16.600000000000001</v>
      </c>
      <c r="W10">
        <v>-22</v>
      </c>
      <c r="X10" s="271"/>
      <c r="Z10" s="356" t="s">
        <v>148</v>
      </c>
      <c r="AA10">
        <v>2.2399999999999998E-3</v>
      </c>
      <c r="AB10">
        <v>1.0699999999999999E-2</v>
      </c>
      <c r="AC10">
        <v>4.2599999999999999E-3</v>
      </c>
      <c r="AD10">
        <v>1.77E-2</v>
      </c>
      <c r="AE10">
        <v>8.7100000000000007E-3</v>
      </c>
      <c r="AG10" s="271"/>
      <c r="AJ10" s="271"/>
      <c r="AM10" s="271"/>
      <c r="BG10" s="330"/>
      <c r="BH10" s="331"/>
      <c r="BI10" s="331"/>
      <c r="BJ10" s="331"/>
      <c r="BK10" s="331"/>
      <c r="BL10" s="331"/>
    </row>
    <row r="11" spans="2:64" ht="16.5" x14ac:dyDescent="0.35">
      <c r="B11" s="339"/>
      <c r="C11" s="342" t="s">
        <v>229</v>
      </c>
      <c r="D11" s="342"/>
      <c r="E11" s="342"/>
      <c r="F11" s="342"/>
      <c r="G11" s="342"/>
      <c r="H11" s="342"/>
      <c r="I11" s="339"/>
      <c r="J11" s="339"/>
      <c r="K11" s="394" t="s">
        <v>238</v>
      </c>
      <c r="L11" s="394"/>
      <c r="M11" s="394"/>
      <c r="N11" s="394"/>
      <c r="O11" s="394"/>
      <c r="P11" s="394"/>
      <c r="R11" s="390" t="s">
        <v>229</v>
      </c>
      <c r="S11" s="390"/>
      <c r="T11" s="390"/>
      <c r="U11" s="390"/>
      <c r="V11" s="390"/>
      <c r="W11" s="390"/>
      <c r="X11" s="271"/>
      <c r="Z11" s="355" t="s">
        <v>225</v>
      </c>
      <c r="AA11">
        <v>0.998</v>
      </c>
      <c r="AB11">
        <v>0.98899999999999999</v>
      </c>
      <c r="AC11">
        <v>0.99299999999999999</v>
      </c>
      <c r="AD11">
        <v>0.97199999999999998</v>
      </c>
      <c r="AE11">
        <v>0.98799999999999999</v>
      </c>
      <c r="AG11" s="271"/>
      <c r="AJ11" s="271"/>
      <c r="AM11" s="271"/>
      <c r="BG11" s="330"/>
      <c r="BH11" s="331"/>
      <c r="BI11" s="331"/>
      <c r="BJ11" s="331"/>
      <c r="BK11" s="331"/>
      <c r="BL11" s="331"/>
    </row>
    <row r="12" spans="2:64" ht="16.5" x14ac:dyDescent="0.45">
      <c r="B12" s="339"/>
      <c r="C12" s="343" t="s">
        <v>223</v>
      </c>
      <c r="D12" s="344">
        <v>1.647685362762807</v>
      </c>
      <c r="E12" s="344">
        <v>2.1348045732571617</v>
      </c>
      <c r="F12" s="344">
        <v>1.266414346169435</v>
      </c>
      <c r="G12" s="344">
        <v>1.6689094117071439</v>
      </c>
      <c r="H12" s="344"/>
      <c r="I12" s="339"/>
      <c r="J12" s="339"/>
      <c r="K12" s="345" t="s">
        <v>226</v>
      </c>
      <c r="L12" s="346">
        <f>'Data fits from Mathematica'!BU10</f>
        <v>1.8</v>
      </c>
      <c r="M12" s="346">
        <f>'Data fits from Mathematica'!BV10</f>
        <v>1.34</v>
      </c>
      <c r="N12" s="346">
        <f>'Data fits from Mathematica'!BW10</f>
        <v>0.9</v>
      </c>
      <c r="O12" s="346">
        <f>'Data fits from Mathematica'!BX10</f>
        <v>1.36</v>
      </c>
      <c r="P12" s="346"/>
      <c r="R12" s="354" t="s">
        <v>261</v>
      </c>
      <c r="S12">
        <v>1.65</v>
      </c>
      <c r="T12">
        <v>2.13</v>
      </c>
      <c r="U12">
        <v>1.27</v>
      </c>
      <c r="V12">
        <v>1.67</v>
      </c>
      <c r="X12" s="271"/>
      <c r="Z12" s="355" t="s">
        <v>256</v>
      </c>
      <c r="AA12">
        <v>-30.5</v>
      </c>
      <c r="AB12">
        <v>-19.5</v>
      </c>
      <c r="AC12">
        <v>-26</v>
      </c>
      <c r="AD12">
        <v>-16</v>
      </c>
      <c r="AE12">
        <v>-23</v>
      </c>
      <c r="AG12" s="271"/>
      <c r="AJ12" s="271"/>
      <c r="AM12" s="271"/>
      <c r="BG12" s="328"/>
      <c r="BH12" s="331"/>
      <c r="BI12" s="331"/>
      <c r="BJ12" s="331"/>
      <c r="BK12" s="331"/>
      <c r="BL12" s="331"/>
    </row>
    <row r="13" spans="2:64" ht="16.5" x14ac:dyDescent="0.45">
      <c r="B13" s="339"/>
      <c r="C13" s="343" t="s">
        <v>147</v>
      </c>
      <c r="D13" s="344">
        <v>0.1515288799767403</v>
      </c>
      <c r="E13" s="344">
        <v>0.19435300864038782</v>
      </c>
      <c r="F13" s="344">
        <v>0.15448743830392209</v>
      </c>
      <c r="G13" s="344">
        <v>0.17616248130814283</v>
      </c>
      <c r="H13" s="344"/>
      <c r="I13" s="339"/>
      <c r="J13" s="339"/>
      <c r="K13" s="339" t="s">
        <v>227</v>
      </c>
      <c r="L13" s="346">
        <f>'Data fits from Mathematica'!BU11</f>
        <v>1.21</v>
      </c>
      <c r="M13" s="346">
        <f>'Data fits from Mathematica'!BV11</f>
        <v>0.873</v>
      </c>
      <c r="N13" s="346">
        <f>'Data fits from Mathematica'!BW11</f>
        <v>0.82</v>
      </c>
      <c r="O13" s="346">
        <f>'Data fits from Mathematica'!BX11</f>
        <v>1.34</v>
      </c>
      <c r="P13" s="346"/>
      <c r="R13" s="28" t="s">
        <v>262</v>
      </c>
      <c r="S13">
        <v>0.152</v>
      </c>
      <c r="T13">
        <v>0.19400000000000001</v>
      </c>
      <c r="U13">
        <v>0.155</v>
      </c>
      <c r="V13">
        <v>0.17599999999999999</v>
      </c>
      <c r="X13" s="271"/>
      <c r="Z13" s="391" t="s">
        <v>238</v>
      </c>
      <c r="AA13" s="391"/>
      <c r="AB13" s="391"/>
      <c r="AC13" s="391"/>
      <c r="AD13" s="391"/>
      <c r="AE13" s="391"/>
      <c r="AG13" s="271"/>
      <c r="AJ13" s="271"/>
      <c r="AM13" s="271"/>
      <c r="BG13" s="328"/>
      <c r="BH13" s="332"/>
      <c r="BI13" s="332"/>
      <c r="BJ13" s="332"/>
      <c r="BK13" s="332"/>
      <c r="BL13" s="333"/>
    </row>
    <row r="14" spans="2:64" ht="16.5" x14ac:dyDescent="0.45">
      <c r="B14" s="339"/>
      <c r="C14" s="340" t="s">
        <v>153</v>
      </c>
      <c r="D14" s="344">
        <v>3.0352252456056317E-2</v>
      </c>
      <c r="E14" s="344">
        <v>0.13083372024566073</v>
      </c>
      <c r="F14" s="344">
        <v>6.2994431812119084E-2</v>
      </c>
      <c r="G14" s="344">
        <v>1.0967745394771364E-2</v>
      </c>
      <c r="H14" s="344"/>
      <c r="I14" s="339"/>
      <c r="J14" s="339"/>
      <c r="K14" s="341" t="s">
        <v>148</v>
      </c>
      <c r="L14" s="349">
        <f>'Data fits from Mathematica'!BU28</f>
        <v>1.827143815814031E-3</v>
      </c>
      <c r="M14" s="349">
        <f>'Data fits from Mathematica'!BV28</f>
        <v>9.7670868331091697E-3</v>
      </c>
      <c r="N14" s="349">
        <f>'Data fits from Mathematica'!BW28</f>
        <v>4.029775272758958E-3</v>
      </c>
      <c r="O14" s="349">
        <f>'Data fits from Mathematica'!BX28</f>
        <v>2.1159724971839877E-2</v>
      </c>
      <c r="P14" s="350">
        <f>'Data fits from Mathematica'!BU30</f>
        <v>3.6783730893522035E-2</v>
      </c>
      <c r="R14" s="28" t="s">
        <v>153</v>
      </c>
      <c r="S14">
        <v>3.0300000000000001E-2</v>
      </c>
      <c r="T14">
        <v>0.13100000000000001</v>
      </c>
      <c r="U14">
        <v>6.3100000000000003E-2</v>
      </c>
      <c r="V14">
        <v>1.0999999999999999E-2</v>
      </c>
      <c r="X14" s="271"/>
      <c r="Z14" s="357" t="s">
        <v>226</v>
      </c>
      <c r="AA14">
        <v>4.91</v>
      </c>
      <c r="AB14">
        <v>2.77</v>
      </c>
      <c r="AC14">
        <v>1.78</v>
      </c>
      <c r="AD14">
        <v>4.1399999999999997</v>
      </c>
      <c r="AG14" s="271"/>
      <c r="AJ14" s="271"/>
      <c r="AM14" s="271"/>
      <c r="BG14" s="330"/>
      <c r="BH14" s="331"/>
      <c r="BI14" s="331"/>
      <c r="BJ14" s="331"/>
      <c r="BK14" s="331"/>
      <c r="BL14" s="331"/>
    </row>
    <row r="15" spans="2:64" ht="17.5" x14ac:dyDescent="0.45">
      <c r="B15" s="339"/>
      <c r="C15" s="340" t="s">
        <v>148</v>
      </c>
      <c r="D15" s="347">
        <v>2.3157909255997946E-3</v>
      </c>
      <c r="E15" s="347">
        <v>3.547543605522232E-3</v>
      </c>
      <c r="F15" s="347">
        <v>3.0971146273019632E-3</v>
      </c>
      <c r="G15" s="347">
        <v>1.6154853125454442E-2</v>
      </c>
      <c r="H15" s="348">
        <v>2.5115302283878434E-2</v>
      </c>
      <c r="I15" s="339"/>
      <c r="J15" s="339"/>
      <c r="K15" s="339" t="s">
        <v>225</v>
      </c>
      <c r="L15" s="346">
        <f>'Data fits from Mathematica'!BU29</f>
        <v>0.98104315568545741</v>
      </c>
      <c r="M15" s="346">
        <f>'Data fits from Mathematica'!BV29</f>
        <v>0.83619719610394561</v>
      </c>
      <c r="N15" s="346">
        <f>'Data fits from Mathematica'!BW29</f>
        <v>0.89967260531728654</v>
      </c>
      <c r="O15" s="346">
        <f>'Data fits from Mathematica'!BX29</f>
        <v>0.82158942184901118</v>
      </c>
      <c r="P15" s="346">
        <f>'Data fits from Mathematica'!BU31</f>
        <v>0.88462559473892521</v>
      </c>
      <c r="R15" s="28" t="s">
        <v>148</v>
      </c>
      <c r="S15">
        <v>2.32E-3</v>
      </c>
      <c r="T15">
        <v>3.5500000000000002E-3</v>
      </c>
      <c r="U15">
        <v>3.0999999999999999E-3</v>
      </c>
      <c r="V15">
        <v>1.6199999999999999E-2</v>
      </c>
      <c r="W15">
        <v>6.28E-3</v>
      </c>
      <c r="X15" s="271"/>
      <c r="Y15" s="279"/>
      <c r="Z15" s="355" t="s">
        <v>227</v>
      </c>
      <c r="AA15">
        <v>1.21</v>
      </c>
      <c r="AB15">
        <v>0.873</v>
      </c>
      <c r="AC15">
        <v>0.82</v>
      </c>
      <c r="AD15">
        <v>1.34</v>
      </c>
      <c r="AG15" s="271"/>
      <c r="AI15" s="279"/>
      <c r="AJ15" s="279"/>
      <c r="AK15" s="279"/>
      <c r="AL15" s="279"/>
      <c r="AM15" s="271"/>
      <c r="AP15" s="279"/>
      <c r="AQ15" s="279"/>
      <c r="AS15" s="279"/>
      <c r="AT15" s="279"/>
      <c r="AU15" s="279"/>
      <c r="AV15" s="279"/>
      <c r="AW15" s="279"/>
      <c r="BA15" s="279"/>
      <c r="BB15" s="279"/>
      <c r="BC15" s="279"/>
      <c r="BG15" s="393"/>
      <c r="BH15" s="393"/>
      <c r="BI15" s="393"/>
      <c r="BJ15" s="393"/>
      <c r="BK15" s="393"/>
      <c r="BL15" s="393"/>
    </row>
    <row r="16" spans="2:64" ht="16.5" x14ac:dyDescent="0.35">
      <c r="B16" s="339"/>
      <c r="C16" s="343" t="s">
        <v>224</v>
      </c>
      <c r="D16" s="344">
        <v>0.97596289980272555</v>
      </c>
      <c r="E16" s="344">
        <v>0.94144409121432393</v>
      </c>
      <c r="F16" s="344">
        <v>0.92299961152554888</v>
      </c>
      <c r="G16" s="344">
        <v>0.86608834365151643</v>
      </c>
      <c r="H16" s="344">
        <v>0.9266237365485287</v>
      </c>
      <c r="I16" s="339"/>
      <c r="J16" s="339"/>
      <c r="K16" s="339"/>
      <c r="L16" s="339"/>
      <c r="M16" s="339"/>
      <c r="N16" s="339"/>
      <c r="O16" s="339"/>
      <c r="P16" s="339"/>
      <c r="R16" s="28" t="s">
        <v>263</v>
      </c>
      <c r="S16">
        <v>0.998</v>
      </c>
      <c r="T16">
        <v>0.996</v>
      </c>
      <c r="U16">
        <v>0.995</v>
      </c>
      <c r="V16">
        <v>0.97399999999999998</v>
      </c>
      <c r="W16">
        <v>0.99099999999999999</v>
      </c>
      <c r="Z16" s="356" t="s">
        <v>148</v>
      </c>
      <c r="AA16">
        <v>2.1800000000000001E-3</v>
      </c>
      <c r="AB16">
        <v>9.7599999999999996E-3</v>
      </c>
      <c r="AC16">
        <v>4.0299999999999997E-3</v>
      </c>
      <c r="AD16">
        <v>2.12E-2</v>
      </c>
      <c r="AE16">
        <v>9.2800000000000001E-3</v>
      </c>
      <c r="BG16" s="330"/>
      <c r="BH16" s="331"/>
      <c r="BI16" s="331"/>
      <c r="BJ16" s="331"/>
      <c r="BK16" s="331"/>
      <c r="BL16" s="331"/>
    </row>
    <row r="17" spans="2:64" ht="16.5" x14ac:dyDescent="0.35">
      <c r="B17" s="339"/>
      <c r="C17" s="342" t="s">
        <v>228</v>
      </c>
      <c r="D17" s="342"/>
      <c r="E17" s="342"/>
      <c r="F17" s="342"/>
      <c r="G17" s="342"/>
      <c r="H17" s="342"/>
      <c r="I17" s="339"/>
      <c r="J17" s="339"/>
      <c r="K17" s="339"/>
      <c r="L17" s="339"/>
      <c r="M17" s="339"/>
      <c r="N17" s="339"/>
      <c r="O17" s="339"/>
      <c r="P17" s="339"/>
      <c r="R17" s="28" t="s">
        <v>256</v>
      </c>
      <c r="S17">
        <v>-28.2</v>
      </c>
      <c r="T17">
        <v>-25.2</v>
      </c>
      <c r="U17">
        <v>-26.2</v>
      </c>
      <c r="V17">
        <v>-14.6</v>
      </c>
      <c r="W17">
        <v>-23.6</v>
      </c>
      <c r="Z17" s="355" t="s">
        <v>225</v>
      </c>
      <c r="AA17">
        <v>0.998</v>
      </c>
      <c r="AB17">
        <v>0.99</v>
      </c>
      <c r="AC17">
        <v>0.99299999999999999</v>
      </c>
      <c r="AD17">
        <v>0.96599999999999997</v>
      </c>
      <c r="AE17">
        <v>0.98699999999999999</v>
      </c>
      <c r="BG17" s="330"/>
      <c r="BH17" s="334"/>
      <c r="BI17" s="334"/>
      <c r="BJ17" s="334"/>
      <c r="BK17" s="334"/>
      <c r="BL17" s="331"/>
    </row>
    <row r="18" spans="2:64" ht="15.5" x14ac:dyDescent="0.35">
      <c r="B18" s="339"/>
      <c r="C18" s="343" t="s">
        <v>223</v>
      </c>
      <c r="D18" s="344">
        <v>0.26801771966995774</v>
      </c>
      <c r="E18" s="344">
        <v>0.31287704976055197</v>
      </c>
      <c r="F18" s="344">
        <v>0.26357757742751242</v>
      </c>
      <c r="G18" s="344">
        <v>0.20450933788740602</v>
      </c>
      <c r="H18" s="344"/>
      <c r="I18" s="339"/>
      <c r="J18" s="339"/>
      <c r="K18" s="339"/>
      <c r="L18" s="339"/>
      <c r="M18" s="339"/>
      <c r="N18" s="339"/>
      <c r="O18" s="339"/>
      <c r="P18" s="339"/>
      <c r="R18" s="390" t="s">
        <v>259</v>
      </c>
      <c r="S18" s="390"/>
      <c r="T18" s="390"/>
      <c r="U18" s="390"/>
      <c r="V18" s="390"/>
      <c r="W18" s="390"/>
      <c r="Z18" s="355" t="s">
        <v>256</v>
      </c>
      <c r="AA18">
        <v>-30.6</v>
      </c>
      <c r="AB18">
        <v>-20.2</v>
      </c>
      <c r="AC18">
        <v>-26.4</v>
      </c>
      <c r="AD18">
        <v>-14.7</v>
      </c>
      <c r="AE18">
        <v>-23</v>
      </c>
      <c r="BG18" s="330"/>
      <c r="BH18" s="331"/>
      <c r="BI18" s="331"/>
      <c r="BJ18" s="331"/>
      <c r="BK18" s="331"/>
      <c r="BL18" s="331"/>
    </row>
    <row r="19" spans="2:64" ht="15.5" x14ac:dyDescent="0.35">
      <c r="B19" s="339"/>
      <c r="C19" s="343" t="s">
        <v>147</v>
      </c>
      <c r="D19" s="351">
        <v>2.0886196800826134E-5</v>
      </c>
      <c r="E19" s="351">
        <v>3.0352157593665092E-4</v>
      </c>
      <c r="F19" s="351">
        <v>1.8901130103436908E-7</v>
      </c>
      <c r="G19" s="351">
        <v>1.2814586355902591E-4</v>
      </c>
      <c r="H19" s="344"/>
      <c r="I19" s="339"/>
      <c r="J19" s="339"/>
      <c r="K19" s="339"/>
      <c r="L19" s="339"/>
      <c r="M19" s="339"/>
      <c r="N19" s="339"/>
      <c r="O19" s="339"/>
      <c r="P19" s="339"/>
      <c r="R19" s="28" t="s">
        <v>223</v>
      </c>
      <c r="S19">
        <v>0.38300000000000001</v>
      </c>
      <c r="T19">
        <v>0.315</v>
      </c>
      <c r="U19">
        <v>0.30399999999999999</v>
      </c>
      <c r="V19">
        <v>0.26200000000000001</v>
      </c>
      <c r="BG19" s="330"/>
      <c r="BH19" s="334"/>
      <c r="BI19" s="334"/>
      <c r="BJ19" s="334"/>
      <c r="BK19" s="334"/>
      <c r="BL19" s="331"/>
    </row>
    <row r="20" spans="2:64" ht="15.5" x14ac:dyDescent="0.35">
      <c r="B20" s="339"/>
      <c r="C20" s="343" t="s">
        <v>230</v>
      </c>
      <c r="D20" s="344">
        <v>0.25379487846554649</v>
      </c>
      <c r="E20" s="344">
        <v>0.32700905736258529</v>
      </c>
      <c r="F20" s="344">
        <v>0.30107654830178637</v>
      </c>
      <c r="G20" s="344">
        <v>0.27750459580721465</v>
      </c>
      <c r="H20" s="344"/>
      <c r="I20" s="339"/>
      <c r="J20" s="339"/>
      <c r="K20" s="339"/>
      <c r="L20" s="339"/>
      <c r="M20" s="339"/>
      <c r="N20" s="339"/>
      <c r="O20" s="339"/>
      <c r="P20" s="339"/>
      <c r="R20" s="28" t="s">
        <v>147</v>
      </c>
      <c r="S20">
        <v>3.19E-4</v>
      </c>
      <c r="T20">
        <v>2.9599999999999998E-4</v>
      </c>
      <c r="U20">
        <v>4.57E-4</v>
      </c>
      <c r="V20">
        <v>3.5300000000000002E-4</v>
      </c>
      <c r="AD20" s="61"/>
      <c r="AJ20" s="61"/>
      <c r="AN20" s="61"/>
      <c r="AO20" s="61"/>
      <c r="AR20" s="61"/>
      <c r="BG20" s="328"/>
      <c r="BH20" s="332"/>
      <c r="BI20" s="332"/>
      <c r="BJ20" s="332"/>
      <c r="BK20" s="332"/>
      <c r="BL20" s="333"/>
    </row>
    <row r="21" spans="2:64" ht="15.5" x14ac:dyDescent="0.35">
      <c r="B21" s="339"/>
      <c r="C21" s="343" t="s">
        <v>151</v>
      </c>
      <c r="D21" s="351">
        <v>2.3841857910156251E-8</v>
      </c>
      <c r="E21" s="351">
        <v>8.563128487650868E-8</v>
      </c>
      <c r="F21" s="351">
        <v>4.3845739513059134E-4</v>
      </c>
      <c r="G21" s="351">
        <v>7.6080758584038773E-7</v>
      </c>
      <c r="H21" s="344"/>
      <c r="I21" s="339"/>
      <c r="J21" s="339"/>
      <c r="K21" s="339"/>
      <c r="L21" s="339"/>
      <c r="M21" s="339"/>
      <c r="N21" s="339"/>
      <c r="O21" s="339"/>
      <c r="P21" s="339"/>
      <c r="R21" s="28" t="s">
        <v>230</v>
      </c>
      <c r="S21">
        <v>0.32100000000000001</v>
      </c>
      <c r="T21">
        <v>0.32300000000000001</v>
      </c>
      <c r="U21">
        <v>0.26600000000000001</v>
      </c>
      <c r="V21">
        <v>0.3</v>
      </c>
      <c r="BG21" s="330"/>
      <c r="BH21" s="331"/>
      <c r="BI21" s="331"/>
      <c r="BJ21" s="331"/>
      <c r="BK21" s="331"/>
      <c r="BL21" s="331"/>
    </row>
    <row r="22" spans="2:64" ht="15.5" x14ac:dyDescent="0.35">
      <c r="B22" s="339"/>
      <c r="C22" s="340" t="s">
        <v>148</v>
      </c>
      <c r="D22" s="347">
        <v>1.176361993999136E-2</v>
      </c>
      <c r="E22" s="347">
        <v>3.605211598502986E-3</v>
      </c>
      <c r="F22" s="347">
        <v>4.0099217291383014E-3</v>
      </c>
      <c r="G22" s="347">
        <v>5.2402050444890361E-3</v>
      </c>
      <c r="H22" s="348">
        <v>2.4618958312121682E-2</v>
      </c>
      <c r="I22" s="339"/>
      <c r="J22" s="339"/>
      <c r="K22" s="339"/>
      <c r="L22" s="339"/>
      <c r="M22" s="339"/>
      <c r="N22" s="339"/>
      <c r="O22" s="339"/>
      <c r="P22" s="339"/>
      <c r="R22" s="28" t="s">
        <v>151</v>
      </c>
      <c r="S22" s="265">
        <v>1.79E-7</v>
      </c>
      <c r="T22" s="265">
        <v>7.9899999999999994E-8</v>
      </c>
      <c r="U22" s="265">
        <v>1.2200000000000001E-7</v>
      </c>
      <c r="V22" s="265">
        <v>9.9999999999999995E-7</v>
      </c>
      <c r="BG22" s="393"/>
      <c r="BH22" s="393"/>
      <c r="BI22" s="393"/>
      <c r="BJ22" s="393"/>
      <c r="BK22" s="393"/>
      <c r="BL22" s="393"/>
    </row>
    <row r="23" spans="2:64" ht="15.5" x14ac:dyDescent="0.35">
      <c r="B23" s="339"/>
      <c r="C23" s="343" t="s">
        <v>224</v>
      </c>
      <c r="D23" s="344">
        <v>0.87787376895188163</v>
      </c>
      <c r="E23" s="344">
        <v>0.93993430313637105</v>
      </c>
      <c r="F23" s="344">
        <v>0.92331543581979947</v>
      </c>
      <c r="G23" s="344">
        <v>0.95598818345366887</v>
      </c>
      <c r="H23" s="344">
        <v>0.9242779228404302</v>
      </c>
      <c r="I23" s="339"/>
      <c r="J23" s="339"/>
      <c r="K23" s="339"/>
      <c r="L23" s="339"/>
      <c r="M23" s="339"/>
      <c r="N23" s="339"/>
      <c r="O23" s="339"/>
      <c r="P23" s="339"/>
      <c r="R23" s="28" t="s">
        <v>148</v>
      </c>
      <c r="S23">
        <v>4.6899999999999997E-3</v>
      </c>
      <c r="T23">
        <v>3.5599999999999998E-3</v>
      </c>
      <c r="U23">
        <v>2.7599999999999999E-3</v>
      </c>
      <c r="V23">
        <v>2.9499999999999999E-3</v>
      </c>
      <c r="W23">
        <v>3.49E-3</v>
      </c>
      <c r="BG23" s="330"/>
      <c r="BH23" s="331"/>
      <c r="BI23" s="331"/>
      <c r="BJ23" s="331"/>
      <c r="BK23" s="331"/>
      <c r="BL23" s="331"/>
    </row>
    <row r="24" spans="2:64" ht="16.5" x14ac:dyDescent="0.35">
      <c r="B24" s="339"/>
      <c r="C24" s="342" t="s">
        <v>228</v>
      </c>
      <c r="D24" s="342"/>
      <c r="E24" s="342"/>
      <c r="F24" s="342"/>
      <c r="G24" s="342"/>
      <c r="H24" s="342"/>
      <c r="I24" s="339"/>
      <c r="J24" s="339"/>
      <c r="K24" s="339"/>
      <c r="L24" s="339"/>
      <c r="M24" s="339"/>
      <c r="N24" s="339"/>
      <c r="O24" s="339"/>
      <c r="P24" s="339"/>
      <c r="R24" s="28" t="s">
        <v>263</v>
      </c>
      <c r="S24">
        <v>0.995</v>
      </c>
      <c r="T24">
        <v>0.996</v>
      </c>
      <c r="U24">
        <v>0.995</v>
      </c>
      <c r="V24">
        <v>0.995</v>
      </c>
      <c r="W24">
        <v>0.996</v>
      </c>
      <c r="BG24" s="330"/>
      <c r="BH24" s="335"/>
      <c r="BI24" s="335"/>
      <c r="BJ24" s="335"/>
      <c r="BK24" s="335"/>
      <c r="BL24" s="331"/>
    </row>
    <row r="25" spans="2:64" ht="15.5" x14ac:dyDescent="0.35">
      <c r="B25" s="339"/>
      <c r="C25" s="343" t="s">
        <v>223</v>
      </c>
      <c r="D25" s="344">
        <v>0.6905332009851014</v>
      </c>
      <c r="E25" s="344">
        <v>0.64626589136270252</v>
      </c>
      <c r="F25" s="344">
        <v>0.72644323812108302</v>
      </c>
      <c r="G25" s="344">
        <v>0.5870534985803999</v>
      </c>
      <c r="H25" s="344"/>
      <c r="I25" s="339"/>
      <c r="J25" s="339"/>
      <c r="K25" s="339"/>
      <c r="L25" s="339"/>
      <c r="M25" s="339"/>
      <c r="N25" s="339"/>
      <c r="O25" s="339"/>
      <c r="P25" s="339"/>
      <c r="R25" s="28" t="s">
        <v>256</v>
      </c>
      <c r="S25">
        <v>-21.3</v>
      </c>
      <c r="T25">
        <v>-23.2</v>
      </c>
      <c r="U25">
        <v>-25</v>
      </c>
      <c r="V25">
        <v>-24.5</v>
      </c>
      <c r="W25">
        <v>-23.5</v>
      </c>
      <c r="BG25" s="330"/>
      <c r="BH25" s="335"/>
      <c r="BI25" s="335"/>
      <c r="BJ25" s="335"/>
      <c r="BK25" s="335"/>
      <c r="BL25" s="331"/>
    </row>
    <row r="26" spans="2:64" ht="15.5" x14ac:dyDescent="0.35">
      <c r="B26" s="339"/>
      <c r="C26" s="343" t="s">
        <v>147</v>
      </c>
      <c r="D26" s="352">
        <v>3.0330621131612713E-4</v>
      </c>
      <c r="E26" s="352">
        <v>3.0635091006165922E-4</v>
      </c>
      <c r="F26" s="352">
        <v>7.5545329583531567E-4</v>
      </c>
      <c r="G26" s="352">
        <v>3.6741339836329393E-4</v>
      </c>
      <c r="H26" s="344"/>
      <c r="I26" s="339"/>
      <c r="J26" s="339"/>
      <c r="K26" s="339"/>
      <c r="L26" s="339"/>
      <c r="M26" s="339"/>
      <c r="N26" s="339"/>
      <c r="O26" s="339"/>
      <c r="P26" s="339"/>
      <c r="R26" s="390" t="s">
        <v>260</v>
      </c>
      <c r="S26" s="390"/>
      <c r="T26" s="390"/>
      <c r="U26" s="390"/>
      <c r="V26" s="390"/>
      <c r="W26" s="390"/>
      <c r="BG26" s="330"/>
      <c r="BH26" s="336"/>
      <c r="BI26" s="336"/>
      <c r="BJ26" s="336"/>
      <c r="BK26" s="336"/>
      <c r="BL26" s="331"/>
    </row>
    <row r="27" spans="2:64" ht="15.5" x14ac:dyDescent="0.35">
      <c r="B27" s="339"/>
      <c r="C27" s="343" t="s">
        <v>230</v>
      </c>
      <c r="D27" s="352">
        <v>1.4186306182731396E-4</v>
      </c>
      <c r="E27" s="352">
        <v>1.5303100273953888E-4</v>
      </c>
      <c r="F27" s="352">
        <v>2.8067858517873557E-4</v>
      </c>
      <c r="G27" s="352">
        <v>1.8483502709294662E-4</v>
      </c>
      <c r="H27" s="344"/>
      <c r="I27" s="339"/>
      <c r="J27" s="339"/>
      <c r="K27" s="339"/>
      <c r="L27" s="339"/>
      <c r="M27" s="339"/>
      <c r="N27" s="339"/>
      <c r="O27" s="339"/>
      <c r="P27" s="339"/>
      <c r="R27" s="28" t="s">
        <v>223</v>
      </c>
      <c r="S27">
        <v>0.70399999999999996</v>
      </c>
      <c r="T27">
        <v>0.63900000000000001</v>
      </c>
      <c r="U27">
        <v>0.56999999999999995</v>
      </c>
      <c r="V27">
        <v>0.56299999999999994</v>
      </c>
      <c r="BG27" s="328"/>
      <c r="BH27" s="332"/>
      <c r="BI27" s="332"/>
      <c r="BJ27" s="332"/>
      <c r="BK27" s="332"/>
      <c r="BL27" s="333"/>
    </row>
    <row r="28" spans="2:64" ht="15.5" x14ac:dyDescent="0.35">
      <c r="B28" s="339"/>
      <c r="C28" s="343" t="s">
        <v>151</v>
      </c>
      <c r="D28" s="353">
        <v>1.8354564624833082E-7</v>
      </c>
      <c r="E28" s="353">
        <v>7.7305242914998719E-8</v>
      </c>
      <c r="F28" s="353">
        <v>1.2204361369712591E-7</v>
      </c>
      <c r="G28" s="353">
        <v>7.8179314689776015E-7</v>
      </c>
      <c r="H28" s="344"/>
      <c r="I28" s="339"/>
      <c r="J28" s="339"/>
      <c r="K28" s="339"/>
      <c r="L28" s="339"/>
      <c r="M28" s="339"/>
      <c r="N28" s="339"/>
      <c r="O28" s="339"/>
      <c r="P28" s="339"/>
      <c r="R28" s="28" t="s">
        <v>147</v>
      </c>
      <c r="S28">
        <v>3.19E-4</v>
      </c>
      <c r="T28">
        <v>2.9599999999999998E-4</v>
      </c>
      <c r="U28">
        <v>4.57E-4</v>
      </c>
      <c r="V28">
        <v>3.5300000000000002E-4</v>
      </c>
      <c r="BG28" s="330"/>
      <c r="BH28" s="331"/>
      <c r="BI28" s="331"/>
      <c r="BJ28" s="331"/>
      <c r="BK28" s="331"/>
      <c r="BL28" s="331"/>
    </row>
    <row r="29" spans="2:64" ht="15.5" x14ac:dyDescent="0.35">
      <c r="B29" s="339"/>
      <c r="C29" s="340" t="s">
        <v>148</v>
      </c>
      <c r="D29" s="347">
        <v>4.7332271660175179E-3</v>
      </c>
      <c r="E29" s="347">
        <v>3.5712849817586064E-3</v>
      </c>
      <c r="F29" s="347">
        <v>3.597812601976723E-3</v>
      </c>
      <c r="G29" s="347">
        <v>3.5718645030360799E-3</v>
      </c>
      <c r="H29" s="348">
        <v>1.5474189252788928E-2</v>
      </c>
      <c r="I29" s="339"/>
      <c r="J29" s="339"/>
      <c r="K29" s="339"/>
      <c r="L29" s="339"/>
      <c r="M29" s="339"/>
      <c r="N29" s="339"/>
      <c r="O29" s="339"/>
      <c r="P29" s="339"/>
      <c r="R29" s="28" t="s">
        <v>230</v>
      </c>
      <c r="S29">
        <v>1.45E-4</v>
      </c>
      <c r="T29">
        <v>1.4999999999999999E-4</v>
      </c>
      <c r="U29">
        <v>2.13E-4</v>
      </c>
      <c r="V29">
        <v>1.8799999999999999E-4</v>
      </c>
    </row>
    <row r="30" spans="2:64" ht="15.5" x14ac:dyDescent="0.35">
      <c r="B30" s="339"/>
      <c r="C30" s="343" t="s">
        <v>224</v>
      </c>
      <c r="D30" s="344">
        <v>0.95088214637758861</v>
      </c>
      <c r="E30" s="344">
        <v>0.94011300821672295</v>
      </c>
      <c r="F30" s="344">
        <v>0.91145470273997564</v>
      </c>
      <c r="G30" s="344">
        <v>0.97134265576295753</v>
      </c>
      <c r="H30" s="344">
        <v>0.94344812827431124</v>
      </c>
      <c r="I30" s="339"/>
      <c r="J30" s="339"/>
      <c r="K30" s="339"/>
      <c r="L30" s="339"/>
      <c r="M30" s="339"/>
      <c r="N30" s="339"/>
      <c r="O30" s="339"/>
      <c r="P30" s="339"/>
      <c r="R30" s="28" t="s">
        <v>151</v>
      </c>
      <c r="S30" s="265">
        <v>1.79E-7</v>
      </c>
      <c r="T30" s="265">
        <v>7.9899999999999994E-8</v>
      </c>
      <c r="U30" s="265">
        <v>1.2200000000000001E-7</v>
      </c>
      <c r="V30" s="265">
        <v>9.9999999999999995E-7</v>
      </c>
    </row>
    <row r="31" spans="2:64" x14ac:dyDescent="0.35">
      <c r="R31" s="28" t="s">
        <v>148</v>
      </c>
      <c r="S31">
        <v>4.6899999999999997E-3</v>
      </c>
      <c r="T31">
        <v>3.5599999999999998E-3</v>
      </c>
      <c r="U31">
        <v>2.7599999999999999E-3</v>
      </c>
      <c r="V31">
        <v>2.9499999999999999E-3</v>
      </c>
      <c r="W31">
        <v>3.49E-3</v>
      </c>
    </row>
    <row r="32" spans="2:64" ht="16.5" x14ac:dyDescent="0.35">
      <c r="R32" s="28" t="s">
        <v>263</v>
      </c>
      <c r="S32">
        <v>0.995</v>
      </c>
      <c r="T32">
        <v>0.996</v>
      </c>
      <c r="U32">
        <v>0.995</v>
      </c>
      <c r="V32">
        <v>0.995</v>
      </c>
      <c r="W32">
        <v>0.996</v>
      </c>
    </row>
    <row r="33" spans="18:44" x14ac:dyDescent="0.35">
      <c r="R33" s="28" t="s">
        <v>256</v>
      </c>
      <c r="S33">
        <v>-21.3</v>
      </c>
      <c r="T33">
        <v>-23.2</v>
      </c>
      <c r="U33">
        <v>-25</v>
      </c>
      <c r="V33">
        <v>-24.5</v>
      </c>
      <c r="W33">
        <v>-23.5</v>
      </c>
    </row>
    <row r="34" spans="18:44" x14ac:dyDescent="0.35">
      <c r="AJ34" s="61"/>
      <c r="AR34" s="327"/>
    </row>
  </sheetData>
  <mergeCells count="21">
    <mergeCell ref="AX3:AY3"/>
    <mergeCell ref="AZ3:BA3"/>
    <mergeCell ref="BB3:BC3"/>
    <mergeCell ref="BG4:BL4"/>
    <mergeCell ref="K11:P11"/>
    <mergeCell ref="K6:P6"/>
    <mergeCell ref="AK3:AM3"/>
    <mergeCell ref="AP3:AQ3"/>
    <mergeCell ref="AR3:AS3"/>
    <mergeCell ref="AT3:AU3"/>
    <mergeCell ref="AV3:AW3"/>
    <mergeCell ref="R26:W26"/>
    <mergeCell ref="Z7:AE7"/>
    <mergeCell ref="Z13:AE13"/>
    <mergeCell ref="Z4:AE4"/>
    <mergeCell ref="BG9:BL9"/>
    <mergeCell ref="BG15:BL15"/>
    <mergeCell ref="BG22:BL22"/>
    <mergeCell ref="R4:W4"/>
    <mergeCell ref="R11:W11"/>
    <mergeCell ref="R18:W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6</vt:i4>
      </vt:variant>
    </vt:vector>
  </HeadingPairs>
  <TitlesOfParts>
    <vt:vector size="26" baseType="lpstr">
      <vt:lpstr>Version History</vt:lpstr>
      <vt:lpstr>Table - not used</vt:lpstr>
      <vt:lpstr>Table - not used - Intervening</vt:lpstr>
      <vt:lpstr>Schema Table</vt:lpstr>
      <vt:lpstr>Schedule Figure</vt:lpstr>
      <vt:lpstr>Ebbinghaus, Mack, Seitz</vt:lpstr>
      <vt:lpstr>Data fits from Mathematica</vt:lpstr>
      <vt:lpstr>Data fits from V1.4</vt:lpstr>
      <vt:lpstr>Tables from Mathematica</vt:lpstr>
      <vt:lpstr>Tables (not used)</vt:lpstr>
      <vt:lpstr>Four Graphs LogLog</vt:lpstr>
      <vt:lpstr>Four Graphs LogLog Ebb</vt:lpstr>
      <vt:lpstr>Four Graphs MCM</vt:lpstr>
      <vt:lpstr>Data fits (Normalized)</vt:lpstr>
      <vt:lpstr>Data fits Heller Ebbingh. Data</vt:lpstr>
      <vt:lpstr>Schema</vt:lpstr>
      <vt:lpstr>Schema Time</vt:lpstr>
      <vt:lpstr>Results</vt:lpstr>
      <vt:lpstr>Number of repetitions</vt:lpstr>
      <vt:lpstr>For Mathematica</vt:lpstr>
      <vt:lpstr>Figure Learning Time</vt:lpstr>
      <vt:lpstr>Figure 1 Schema</vt:lpstr>
      <vt:lpstr>Figure 1 Schema Old</vt:lpstr>
      <vt:lpstr>Lines</vt:lpstr>
      <vt:lpstr>One Graph</vt:lpstr>
      <vt:lpstr>Combined Graph (not used)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Joeri</dc:creator>
  <cp:lastModifiedBy>Jaap Murre</cp:lastModifiedBy>
  <dcterms:created xsi:type="dcterms:W3CDTF">2011-11-22T18:34:43Z</dcterms:created>
  <dcterms:modified xsi:type="dcterms:W3CDTF">2025-04-13T10:12:35Z</dcterms:modified>
</cp:coreProperties>
</file>