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boratoria\UX\proy-final\"/>
    </mc:Choice>
  </mc:AlternateContent>
  <bookViews>
    <workbookView xWindow="0" yWindow="0" windowWidth="20490" windowHeight="8445"/>
  </bookViews>
  <sheets>
    <sheet name="ARQ" sheetId="1" r:id="rId1"/>
    <sheet name="CDMX" sheetId="2" r:id="rId2"/>
    <sheet name="LIM" sheetId="3" r:id="rId3"/>
    <sheet name="SCL" sheetId="4" r:id="rId4"/>
    <sheet name="Ecuacion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4" l="1"/>
  <c r="T24" i="4"/>
  <c r="T23" i="4"/>
  <c r="T22" i="4"/>
  <c r="T21" i="4"/>
  <c r="T20" i="4"/>
  <c r="T19" i="4"/>
  <c r="T18" i="4"/>
  <c r="T17" i="4"/>
  <c r="T16" i="4"/>
  <c r="T15" i="4"/>
  <c r="S25" i="4"/>
  <c r="S24" i="4"/>
  <c r="S23" i="4"/>
  <c r="S22" i="4"/>
  <c r="S21" i="4"/>
  <c r="S20" i="4"/>
  <c r="S19" i="4"/>
  <c r="S18" i="4"/>
  <c r="S17" i="4"/>
  <c r="S16" i="4"/>
  <c r="S15" i="4"/>
  <c r="R25" i="4"/>
  <c r="R24" i="4"/>
  <c r="R23" i="4"/>
  <c r="R22" i="4"/>
  <c r="R16" i="4"/>
  <c r="R17" i="4"/>
  <c r="R18" i="4"/>
  <c r="R19" i="4"/>
  <c r="R20" i="4"/>
  <c r="R21" i="4"/>
  <c r="R15" i="4"/>
  <c r="R4" i="4"/>
  <c r="S4" i="4"/>
  <c r="R5" i="4"/>
  <c r="S5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S3" i="4"/>
  <c r="R3" i="4"/>
  <c r="T24" i="1"/>
  <c r="T23" i="1"/>
  <c r="S20" i="1"/>
  <c r="R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20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O34" i="1" l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R3" i="1"/>
  <c r="N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3" i="1"/>
  <c r="P3" i="1"/>
  <c r="O4" i="1"/>
  <c r="Q4" i="1"/>
  <c r="O5" i="1"/>
  <c r="Q5" i="1"/>
  <c r="O6" i="1"/>
  <c r="Q6" i="1"/>
  <c r="O7" i="1"/>
  <c r="Q7" i="1"/>
  <c r="O8" i="1"/>
  <c r="Q8" i="1"/>
  <c r="O9" i="1"/>
  <c r="Q9" i="1"/>
  <c r="O10" i="1"/>
  <c r="Q10" i="1"/>
  <c r="O11" i="1"/>
  <c r="Q11" i="1"/>
  <c r="O12" i="1"/>
  <c r="Q12" i="1"/>
  <c r="O13" i="1"/>
  <c r="Q13" i="1"/>
  <c r="O14" i="1"/>
  <c r="Q14" i="1"/>
  <c r="O15" i="1"/>
  <c r="Q15" i="1"/>
  <c r="O16" i="1"/>
  <c r="Q16" i="1"/>
  <c r="O17" i="1"/>
  <c r="Q17" i="1"/>
  <c r="T21" i="1"/>
  <c r="T20" i="1"/>
  <c r="Q3" i="1"/>
  <c r="O3" i="1"/>
  <c r="T3" i="1"/>
  <c r="AE10" i="1" l="1"/>
  <c r="AG11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3" i="1"/>
  <c r="AF8" i="4"/>
  <c r="AB8" i="4"/>
  <c r="AA8" i="4"/>
  <c r="AE44" i="4"/>
  <c r="AE43" i="4"/>
  <c r="AD44" i="4"/>
  <c r="AD43" i="4"/>
  <c r="AK9" i="1"/>
  <c r="AK7" i="1"/>
  <c r="AJ9" i="1"/>
  <c r="AJ7" i="1"/>
  <c r="AG7" i="4"/>
  <c r="AF7" i="4"/>
  <c r="AB44" i="4"/>
  <c r="AB43" i="4"/>
  <c r="AC42" i="4"/>
  <c r="AB42" i="4"/>
  <c r="AB20" i="4"/>
  <c r="AB19" i="4"/>
  <c r="AC18" i="4"/>
  <c r="AB18" i="4"/>
  <c r="AD10" i="4"/>
  <c r="AC10" i="4"/>
  <c r="AB10" i="4"/>
  <c r="AM23" i="1"/>
  <c r="AM22" i="1"/>
  <c r="AM21" i="1"/>
  <c r="AM20" i="1"/>
  <c r="AM19" i="1"/>
  <c r="AM8" i="1"/>
  <c r="AM7" i="1"/>
  <c r="AM4" i="1"/>
  <c r="AM5" i="1"/>
  <c r="AM6" i="1"/>
  <c r="AM3" i="1"/>
  <c r="R15" i="2"/>
  <c r="R16" i="2" s="1"/>
  <c r="T12" i="2"/>
  <c r="V10" i="2"/>
  <c r="V9" i="2"/>
  <c r="V8" i="2"/>
  <c r="T8" i="2"/>
  <c r="S7" i="2"/>
  <c r="U7" i="2"/>
  <c r="T7" i="2"/>
  <c r="X13" i="1"/>
  <c r="W13" i="1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38" i="4"/>
  <c r="P40" i="4"/>
  <c r="P33" i="4"/>
  <c r="P29" i="4"/>
  <c r="P25" i="4"/>
  <c r="P21" i="4"/>
  <c r="P18" i="4"/>
  <c r="P37" i="4"/>
  <c r="P36" i="4"/>
  <c r="P35" i="4"/>
  <c r="P34" i="4"/>
  <c r="P32" i="4"/>
  <c r="P31" i="4"/>
  <c r="P30" i="4"/>
  <c r="P28" i="4"/>
  <c r="P27" i="4"/>
  <c r="P26" i="4"/>
  <c r="P24" i="4"/>
  <c r="P23" i="4"/>
  <c r="P22" i="4"/>
  <c r="P20" i="4"/>
  <c r="P19" i="4"/>
  <c r="P17" i="4"/>
  <c r="P16" i="4"/>
  <c r="P15" i="4"/>
  <c r="X44" i="4"/>
  <c r="X43" i="4"/>
  <c r="Z42" i="4"/>
  <c r="X42" i="4"/>
  <c r="X21" i="4"/>
  <c r="X20" i="4"/>
  <c r="Z19" i="4"/>
  <c r="X19" i="4"/>
  <c r="X10" i="4"/>
  <c r="X9" i="4"/>
  <c r="Z8" i="4"/>
  <c r="X8" i="4"/>
  <c r="A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99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40" i="4"/>
  <c r="A15" i="4"/>
  <c r="A7" i="4"/>
  <c r="A6" i="4"/>
  <c r="A5" i="4"/>
  <c r="A4" i="4"/>
  <c r="A3" i="4"/>
  <c r="Y3" i="1"/>
  <c r="Z3" i="1" s="1"/>
  <c r="Z6" i="1"/>
  <c r="Y6" i="1"/>
  <c r="X6" i="1"/>
  <c r="W6" i="1"/>
  <c r="V6" i="1"/>
  <c r="X3" i="1"/>
  <c r="W3" i="1"/>
  <c r="V3" i="1"/>
  <c r="T17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18" i="1"/>
  <c r="AH16" i="1"/>
  <c r="AG16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AD8" i="1"/>
  <c r="AF7" i="1"/>
  <c r="AD7" i="1"/>
  <c r="A4" i="1"/>
  <c r="A3" i="1"/>
  <c r="AF16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E16" i="1"/>
  <c r="AD11" i="1"/>
  <c r="D45" i="5"/>
  <c r="D44" i="5"/>
  <c r="C35" i="5"/>
  <c r="C36" i="5"/>
  <c r="C34" i="5"/>
  <c r="A35" i="5"/>
  <c r="A36" i="5"/>
  <c r="A37" i="5"/>
  <c r="A34" i="5"/>
  <c r="C19" i="5"/>
  <c r="F34" i="1"/>
  <c r="G34" i="1"/>
  <c r="H34" i="1"/>
  <c r="I34" i="1"/>
  <c r="J34" i="1"/>
  <c r="K34" i="1"/>
  <c r="M18" i="1"/>
  <c r="L18" i="1"/>
  <c r="K18" i="1"/>
  <c r="J18" i="1"/>
  <c r="I18" i="1"/>
  <c r="H18" i="1"/>
  <c r="G18" i="1"/>
  <c r="F18" i="1"/>
  <c r="M22" i="5"/>
  <c r="N22" i="5" s="1"/>
  <c r="M21" i="5"/>
  <c r="M20" i="5"/>
  <c r="J22" i="5"/>
  <c r="J21" i="5"/>
  <c r="J20" i="5"/>
  <c r="J19" i="5"/>
  <c r="G22" i="5"/>
  <c r="G21" i="5"/>
  <c r="G19" i="5"/>
  <c r="M13" i="5"/>
  <c r="M6" i="5" s="1"/>
  <c r="M12" i="5"/>
  <c r="J6" i="5" s="1"/>
  <c r="M11" i="5"/>
  <c r="M10" i="5"/>
  <c r="B6" i="5" s="1"/>
  <c r="I13" i="5"/>
  <c r="M5" i="5" s="1"/>
  <c r="I12" i="5"/>
  <c r="J5" i="5" s="1"/>
  <c r="I11" i="5"/>
  <c r="G5" i="5" s="1"/>
  <c r="I10" i="5"/>
  <c r="B5" i="5" s="1"/>
  <c r="E12" i="5"/>
  <c r="M4" i="5" s="1"/>
  <c r="E11" i="5"/>
  <c r="J4" i="5" s="1"/>
  <c r="E10" i="5"/>
  <c r="B4" i="5" s="1"/>
  <c r="A10" i="5"/>
  <c r="B3" i="5" s="1"/>
  <c r="A12" i="5"/>
  <c r="J3" i="5" s="1"/>
  <c r="A11" i="5"/>
  <c r="C22" i="5"/>
  <c r="C21" i="5"/>
  <c r="C20" i="5"/>
  <c r="B21" i="5"/>
  <c r="B20" i="5"/>
  <c r="N19" i="5"/>
  <c r="U18" i="1" l="1"/>
  <c r="K20" i="5"/>
  <c r="AD18" i="1"/>
  <c r="AC18" i="1"/>
  <c r="AF18" i="1" s="1"/>
  <c r="D19" i="5"/>
  <c r="H19" i="5"/>
  <c r="K19" i="5"/>
  <c r="N21" i="5"/>
  <c r="N20" i="5"/>
  <c r="H22" i="5"/>
  <c r="K22" i="5"/>
  <c r="D20" i="5"/>
  <c r="D21" i="5"/>
  <c r="H21" i="5"/>
  <c r="D22" i="5"/>
  <c r="K21" i="5"/>
  <c r="H20" i="5"/>
  <c r="M14" i="5"/>
  <c r="G6" i="5"/>
  <c r="I14" i="5"/>
  <c r="E14" i="5"/>
  <c r="A14" i="5"/>
  <c r="G3" i="5"/>
  <c r="AG18" i="1" l="1"/>
  <c r="AI18" i="1" s="1"/>
  <c r="AH18" i="1"/>
</calcChain>
</file>

<file path=xl/sharedStrings.xml><?xml version="1.0" encoding="utf-8"?>
<sst xmlns="http://schemas.openxmlformats.org/spreadsheetml/2006/main" count="782" uniqueCount="283">
  <si>
    <t>2016-2</t>
  </si>
  <si>
    <t>ESTUDIANTES</t>
  </si>
  <si>
    <t>NOMBRE</t>
  </si>
  <si>
    <t>Donna Sloper</t>
  </si>
  <si>
    <t>FOTO</t>
  </si>
  <si>
    <t>ACTIVO</t>
  </si>
  <si>
    <t>SPRINT1</t>
  </si>
  <si>
    <t>SPRINT2</t>
  </si>
  <si>
    <t>SPRINT3</t>
  </si>
  <si>
    <t>SPRINT4</t>
  </si>
  <si>
    <t>TECH</t>
  </si>
  <si>
    <t>HSE</t>
  </si>
  <si>
    <t>Roana Menego</t>
  </si>
  <si>
    <t>Ofella Weakley</t>
  </si>
  <si>
    <t>Gretchen Gerhts</t>
  </si>
  <si>
    <t>Judy Meindl</t>
  </si>
  <si>
    <t>Jillene Porch</t>
  </si>
  <si>
    <t>Sydney Burlingham</t>
  </si>
  <si>
    <t>Alexi Gindghill</t>
  </si>
  <si>
    <t>Donna Fearnill</t>
  </si>
  <si>
    <t>T</t>
  </si>
  <si>
    <t>F</t>
  </si>
  <si>
    <t>Chiarra Dutton</t>
  </si>
  <si>
    <t>Drusilla Terron</t>
  </si>
  <si>
    <t>Karola Leathart</t>
  </si>
  <si>
    <t>Jacquelin Beglin</t>
  </si>
  <si>
    <t>Dorella Simants</t>
  </si>
  <si>
    <t>Lynnett Roughley</t>
  </si>
  <si>
    <t>ARQ RAITING</t>
  </si>
  <si>
    <t>ARQ STUDENT</t>
  </si>
  <si>
    <t>JEDI</t>
  </si>
  <si>
    <t>TEACHER</t>
  </si>
  <si>
    <t>NO-CUMPLE</t>
  </si>
  <si>
    <t>CUMPLE</t>
  </si>
  <si>
    <t>SUPERA</t>
  </si>
  <si>
    <t>PROMOTERS</t>
  </si>
  <si>
    <t>PASSIVE</t>
  </si>
  <si>
    <t>DETRACTORS</t>
  </si>
  <si>
    <t>2017-1</t>
  </si>
  <si>
    <t>Collette Tubby</t>
  </si>
  <si>
    <t>Dacey Bullers</t>
  </si>
  <si>
    <t>Leta Cuel</t>
  </si>
  <si>
    <t>Anita Lucock</t>
  </si>
  <si>
    <t>Henrieta Osman</t>
  </si>
  <si>
    <t>Ariella Itzhaki</t>
  </si>
  <si>
    <t>Wilie Dunkinson</t>
  </si>
  <si>
    <t>Marisa Tumber</t>
  </si>
  <si>
    <t>Arlina Flacke</t>
  </si>
  <si>
    <t>Wilow Linzey</t>
  </si>
  <si>
    <t>Modesta Donnison</t>
  </si>
  <si>
    <t>Stepha Cotesford</t>
  </si>
  <si>
    <t>Adele Eyre</t>
  </si>
  <si>
    <t>Kelcey Taig</t>
  </si>
  <si>
    <t>Lynelle Capin</t>
  </si>
  <si>
    <t>CDMX</t>
  </si>
  <si>
    <t>Jada Curgenuer</t>
  </si>
  <si>
    <t>Arleyne Olding</t>
  </si>
  <si>
    <t>Wendy Jillions</t>
  </si>
  <si>
    <t>Anabella Saurat</t>
  </si>
  <si>
    <t>Concordia Rook</t>
  </si>
  <si>
    <t>Adelice Lantiffe</t>
  </si>
  <si>
    <t>Jacintha Richen</t>
  </si>
  <si>
    <t>Layne Airds</t>
  </si>
  <si>
    <t>Cammi Sowray</t>
  </si>
  <si>
    <t>Nanice Ackeroyd</t>
  </si>
  <si>
    <t>Darla Zorn</t>
  </si>
  <si>
    <t>Darya De la Perrelle</t>
  </si>
  <si>
    <t>Michaeline Shuker</t>
  </si>
  <si>
    <t>Jacinthe Dennitts</t>
  </si>
  <si>
    <t>Lynde Buer</t>
  </si>
  <si>
    <t>Annnora Beste</t>
  </si>
  <si>
    <t>Tricia Meyer</t>
  </si>
  <si>
    <t>Katrine Dinneen</t>
  </si>
  <si>
    <t>Helena Linneman</t>
  </si>
  <si>
    <t>Ellynn Shilleto</t>
  </si>
  <si>
    <t>Sherri Wotherspoon</t>
  </si>
  <si>
    <t>Josie Southorn</t>
  </si>
  <si>
    <t>Carlynne Yo</t>
  </si>
  <si>
    <t>Estrellita Llewhellin</t>
  </si>
  <si>
    <t>Julieta Readhead</t>
  </si>
  <si>
    <t>Meg Bachellier</t>
  </si>
  <si>
    <t>Katharina Ponton</t>
  </si>
  <si>
    <t>Hephzibah Poschel</t>
  </si>
  <si>
    <t>Brigit Wildsmith</t>
  </si>
  <si>
    <t>Kim Sacase</t>
  </si>
  <si>
    <t>Ericka Carnilian</t>
  </si>
  <si>
    <t>Juieta Doghartie</t>
  </si>
  <si>
    <t>Selene Graysmark</t>
  </si>
  <si>
    <t>Chantal Biernacki</t>
  </si>
  <si>
    <t>Chelsey Crackett</t>
  </si>
  <si>
    <t>Bernadene Van Der Straaten</t>
  </si>
  <si>
    <t>Merry Seleway</t>
  </si>
  <si>
    <t>Tana Dodding</t>
  </si>
  <si>
    <t>Guendolen Kuhnwald</t>
  </si>
  <si>
    <t>Henriette Graddon</t>
  </si>
  <si>
    <t>Odille Moncaster</t>
  </si>
  <si>
    <t>Babs Bartoli</t>
  </si>
  <si>
    <t>Janeva Archibald</t>
  </si>
  <si>
    <t>Starla Wibrew</t>
  </si>
  <si>
    <t>Petra Berceros</t>
  </si>
  <si>
    <t>Anitra Degoe</t>
  </si>
  <si>
    <t>Jo ann Kniveton</t>
  </si>
  <si>
    <t>Alice Gerg</t>
  </si>
  <si>
    <t>Dawn Lathee'</t>
  </si>
  <si>
    <t>Nixie Baskeyfield</t>
  </si>
  <si>
    <t>Aveline Buckie</t>
  </si>
  <si>
    <t>Annalee Zoren</t>
  </si>
  <si>
    <t>Tandi Pering</t>
  </si>
  <si>
    <t>Cris Stoakes</t>
  </si>
  <si>
    <t>Idell Matchett</t>
  </si>
  <si>
    <t>Janeta Windous</t>
  </si>
  <si>
    <t>Lacie Dakers</t>
  </si>
  <si>
    <t>Fifi Youd</t>
  </si>
  <si>
    <t>Vera Bigg</t>
  </si>
  <si>
    <t>Ranice Denisovo</t>
  </si>
  <si>
    <t>Leland O\'Dunniom</t>
  </si>
  <si>
    <t>Andy Warlowe</t>
  </si>
  <si>
    <t>Fredrika Camosso</t>
  </si>
  <si>
    <t>Hetty McAlindon</t>
  </si>
  <si>
    <t>Francisca Gibke</t>
  </si>
  <si>
    <t>Bliss Gligoraci</t>
  </si>
  <si>
    <t>Rochelle Quarlis</t>
  </si>
  <si>
    <t>Dorthea Ricoald</t>
  </si>
  <si>
    <t>Sadye Buller</t>
  </si>
  <si>
    <t>Lilly Nabarro</t>
  </si>
  <si>
    <t>LIM</t>
  </si>
  <si>
    <t>Shalna Peddersen</t>
  </si>
  <si>
    <t>Mari Colin</t>
  </si>
  <si>
    <t>Darlene von Grollmann</t>
  </si>
  <si>
    <t>Aloysia Pioch</t>
  </si>
  <si>
    <t>Libby Wincer</t>
  </si>
  <si>
    <t>Rhoda Brew</t>
  </si>
  <si>
    <t>Lezlie Rentoul</t>
  </si>
  <si>
    <t>Ulrikaumeko Batchelor</t>
  </si>
  <si>
    <t>Selene Rylands</t>
  </si>
  <si>
    <t>Sibilla Sames</t>
  </si>
  <si>
    <t>Hilde Reddoch</t>
  </si>
  <si>
    <t>Doro Tesimon</t>
  </si>
  <si>
    <t>Nadean Chastney</t>
  </si>
  <si>
    <t>Lorrie Phythian</t>
  </si>
  <si>
    <t>Katey Calliss</t>
  </si>
  <si>
    <t>Doralin Raittie</t>
  </si>
  <si>
    <t>Dorise Dury</t>
  </si>
  <si>
    <t>Moyna Rosgen</t>
  </si>
  <si>
    <t>Bathsheba Nowak</t>
  </si>
  <si>
    <t>Camille Trude</t>
  </si>
  <si>
    <t>Hettie Downie</t>
  </si>
  <si>
    <t>Lynne Rennix</t>
  </si>
  <si>
    <t>Aurelie Snelgrove</t>
  </si>
  <si>
    <t>Denice Paskerful</t>
  </si>
  <si>
    <t>Kelsi Pashan</t>
  </si>
  <si>
    <t>Ceil Robertsson</t>
  </si>
  <si>
    <t>Sandye Mallaby</t>
  </si>
  <si>
    <t>Essy Teresa</t>
  </si>
  <si>
    <t>Michele Rupp</t>
  </si>
  <si>
    <t>Angeline Winning</t>
  </si>
  <si>
    <t>Elissa Thinn</t>
  </si>
  <si>
    <t>Elga Chitha</t>
  </si>
  <si>
    <t>Gale Styan</t>
  </si>
  <si>
    <t>Adelice Labden</t>
  </si>
  <si>
    <t>Hollyanne Nestor</t>
  </si>
  <si>
    <t>2017-2</t>
  </si>
  <si>
    <t>Marie-jeanne Bardwall</t>
  </si>
  <si>
    <t>Pattie Gregoriou</t>
  </si>
  <si>
    <t>Shir Harridge</t>
  </si>
  <si>
    <t>Debora Gallen</t>
  </si>
  <si>
    <t>Margarethe Trippett</t>
  </si>
  <si>
    <t>Milissent Iacovone</t>
  </si>
  <si>
    <t>Cicely MacMeekan</t>
  </si>
  <si>
    <t>Milissent Blaycock</t>
  </si>
  <si>
    <t>Lenette Berkowitz</t>
  </si>
  <si>
    <t>Raquela Lummis</t>
  </si>
  <si>
    <t>Lina Handscomb</t>
  </si>
  <si>
    <t>Corrina Fahrenbach</t>
  </si>
  <si>
    <t>Jere Andre</t>
  </si>
  <si>
    <t>Kaye Heningham</t>
  </si>
  <si>
    <t>Aubine Briston</t>
  </si>
  <si>
    <t>Delores Naseby</t>
  </si>
  <si>
    <t>Mag Mayberry</t>
  </si>
  <si>
    <t>Melany Brougham</t>
  </si>
  <si>
    <t>Ede Dreye</t>
  </si>
  <si>
    <t>Amalea Clausius</t>
  </si>
  <si>
    <t>Janina Robshaw</t>
  </si>
  <si>
    <t>Harmonia Gettone</t>
  </si>
  <si>
    <t>Renate Featherston</t>
  </si>
  <si>
    <t>Veradis Raunds</t>
  </si>
  <si>
    <t>Elene Walduck</t>
  </si>
  <si>
    <t>Nikolia Flawith</t>
  </si>
  <si>
    <t>Selinda Butterworth</t>
  </si>
  <si>
    <t>Danna Galvan</t>
  </si>
  <si>
    <t>Stephine Sketcher</t>
  </si>
  <si>
    <t>Cari Thorold</t>
  </si>
  <si>
    <t>Bobbi Tick</t>
  </si>
  <si>
    <t>SLC</t>
  </si>
  <si>
    <t>Leela Nunson</t>
  </si>
  <si>
    <t>Milzie Livzey</t>
  </si>
  <si>
    <t>L;urette Shellum</t>
  </si>
  <si>
    <t>Cami Cawker</t>
  </si>
  <si>
    <t>Moria Chevin</t>
  </si>
  <si>
    <t>Sada Halloran</t>
  </si>
  <si>
    <t>Gladi Kleint</t>
  </si>
  <si>
    <t>Clotilda Cathel</t>
  </si>
  <si>
    <t>Jeanne Fitzsymons</t>
  </si>
  <si>
    <t>Neila Bettaney</t>
  </si>
  <si>
    <t>Shannen Junes</t>
  </si>
  <si>
    <t>Emmalee Bowery</t>
  </si>
  <si>
    <t>Dianne Willingam</t>
  </si>
  <si>
    <t>Paula Burstow</t>
  </si>
  <si>
    <t>Flore Ibbitt</t>
  </si>
  <si>
    <t>Emilia Elldred</t>
  </si>
  <si>
    <t>Thomasin Dundridge</t>
  </si>
  <si>
    <t>Gabriela Simonsen</t>
  </si>
  <si>
    <t>Lilia Wombwell</t>
  </si>
  <si>
    <t>Elinor Zavittieri</t>
  </si>
  <si>
    <t>Alvina Peaker</t>
  </si>
  <si>
    <t>Virgina Streat</t>
  </si>
  <si>
    <t>Emmye Baraclough</t>
  </si>
  <si>
    <t>Glynda Prue</t>
  </si>
  <si>
    <t>Cynthea Idiens</t>
  </si>
  <si>
    <t>Justinn Leggatt</t>
  </si>
  <si>
    <t>Veronika Minchenton</t>
  </si>
  <si>
    <t>Ericka Pavolillo</t>
  </si>
  <si>
    <t>Alene Pechacek</t>
  </si>
  <si>
    <t>Anabal Baxill</t>
  </si>
  <si>
    <t>Mercedes Ivakhin</t>
  </si>
  <si>
    <t>Ina Riddell</t>
  </si>
  <si>
    <t>Nelie Ghent</t>
  </si>
  <si>
    <t>Vanessa Folger</t>
  </si>
  <si>
    <t>ARQ</t>
  </si>
  <si>
    <t>GENERACION 2016-2</t>
  </si>
  <si>
    <t>GENERACION 2017-1</t>
  </si>
  <si>
    <t>GENERACION 2017-2</t>
  </si>
  <si>
    <t>SCL</t>
  </si>
  <si>
    <t>El total de estudiantes presentes por Generación</t>
  </si>
  <si>
    <t>El total de estudiantes presentes por Sede</t>
  </si>
  <si>
    <t>SEDE</t>
  </si>
  <si>
    <t>GENERACIÓN</t>
  </si>
  <si>
    <t>NA</t>
  </si>
  <si>
    <t>El porcentaje de deserción de estudiantes.</t>
  </si>
  <si>
    <t>TOTAL T+F</t>
  </si>
  <si>
    <t>%F</t>
  </si>
  <si>
    <t>%G</t>
  </si>
  <si>
    <t>TOTAL F</t>
  </si>
  <si>
    <t>TOTAL T</t>
  </si>
  <si>
    <t xml:space="preserve">El Net Promoter Score (NPS) promedio de los sprints cursados. </t>
  </si>
  <si>
    <t>El NPS se calcula en base a la encuesta que las estudiantes responden al respecto de la recomendación que darían de Laboratoria, bajo la siguiente fórmula:</t>
  </si>
  <si>
    <t xml:space="preserve">[Promoters] = [Respuestas 9 o 10] / [Total respuestas] * 100 </t>
  </si>
  <si>
    <t xml:space="preserve">[Passive] = [Respuestas 7 u 8] / [Total respuestas] * 100 </t>
  </si>
  <si>
    <t xml:space="preserve">[Detractors] = [Respuestas entre 1 y 6] / [Total respuestas] * 100 </t>
  </si>
  <si>
    <t>[NPS] = [Promoters] - [Detractors]</t>
  </si>
  <si>
    <t>TECH 70</t>
  </si>
  <si>
    <t>HSE 70</t>
  </si>
  <si>
    <t>TECH70IN</t>
  </si>
  <si>
    <t>HSE70IN</t>
  </si>
  <si>
    <r>
      <t xml:space="preserve">ALUMNAS PRESENTES POR </t>
    </r>
    <r>
      <rPr>
        <b/>
        <sz val="9"/>
        <color theme="1"/>
        <rFont val="Calibri"/>
        <family val="2"/>
        <scheme val="minor"/>
      </rPr>
      <t>SEDE</t>
    </r>
  </si>
  <si>
    <t>nps 2016-2</t>
  </si>
  <si>
    <t>nps 2017-1</t>
  </si>
  <si>
    <t>El porcentaje de estudiantes satisfechas con la experiencia de Laboratoria.</t>
  </si>
  <si>
    <t>La puntuación promedio de l@s profesores.</t>
  </si>
  <si>
    <t>La puntuación promedio de l@s jedi masters.</t>
  </si>
  <si>
    <t>TOTMONI</t>
  </si>
  <si>
    <t>T.TECH</t>
  </si>
  <si>
    <t>T.HSE</t>
  </si>
  <si>
    <t>PROM</t>
  </si>
  <si>
    <t>(falta corregir para que sea por generación)</t>
  </si>
  <si>
    <t>70% TECH</t>
  </si>
  <si>
    <t>70% HSE</t>
  </si>
  <si>
    <t>sp1</t>
  </si>
  <si>
    <t>sp2</t>
  </si>
  <si>
    <t>sp3</t>
  </si>
  <si>
    <t>sp4</t>
  </si>
  <si>
    <t>hse1</t>
  </si>
  <si>
    <t>hse2</t>
  </si>
  <si>
    <t>hse3</t>
  </si>
  <si>
    <t>hse4</t>
  </si>
  <si>
    <t>true</t>
  </si>
  <si>
    <t>total</t>
  </si>
  <si>
    <t>cumple + supera = 100%</t>
  </si>
  <si>
    <t>x</t>
  </si>
  <si>
    <t>SUMT</t>
  </si>
  <si>
    <t>SUMH</t>
  </si>
  <si>
    <t>PT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</si>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</sst>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880000"/>
      <name val="Consolas"/>
      <family val="3"/>
    </font>
    <font>
      <u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3" borderId="0" xfId="0" applyFont="1" applyFill="1"/>
    <xf numFmtId="0" fontId="1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0" borderId="0" xfId="0" applyAlignment="1"/>
    <xf numFmtId="0" fontId="0" fillId="0" borderId="0" xfId="0" applyFill="1"/>
    <xf numFmtId="20" fontId="0" fillId="0" borderId="0" xfId="0" applyNumberFormat="1" applyFill="1"/>
    <xf numFmtId="16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/>
    <xf numFmtId="2" fontId="4" fillId="0" borderId="0" xfId="0" applyNumberFormat="1" applyFont="1"/>
    <xf numFmtId="2" fontId="4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2" fontId="0" fillId="0" borderId="0" xfId="0" applyNumberFormat="1"/>
    <xf numFmtId="0" fontId="5" fillId="0" borderId="0" xfId="0" applyFont="1"/>
    <xf numFmtId="0" fontId="6" fillId="0" borderId="0" xfId="0" applyFont="1"/>
    <xf numFmtId="0" fontId="6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" fontId="5" fillId="5" borderId="0" xfId="0" applyNumberFormat="1" applyFont="1" applyFill="1" applyAlignment="1">
      <alignment horizontal="center"/>
    </xf>
    <xf numFmtId="2" fontId="5" fillId="5" borderId="0" xfId="0" applyNumberFormat="1" applyFont="1" applyFill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/>
    <xf numFmtId="2" fontId="5" fillId="0" borderId="0" xfId="0" applyNumberFormat="1" applyFont="1"/>
    <xf numFmtId="9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8" fillId="0" borderId="0" xfId="0" applyFont="1"/>
    <xf numFmtId="16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B2B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tabSelected="1" workbookViewId="0">
      <pane xSplit="2" ySplit="2" topLeftCell="C3" activePane="bottomRight" state="frozenSplit"/>
      <selection pane="topRight" activeCell="I1" sqref="I1"/>
      <selection pane="bottomLeft" activeCell="A7" sqref="A7"/>
      <selection pane="bottomRight" activeCell="C3" sqref="C3"/>
    </sheetView>
  </sheetViews>
  <sheetFormatPr baseColWidth="10" defaultRowHeight="15" x14ac:dyDescent="0.25"/>
  <cols>
    <col min="1" max="1" width="12.5703125" bestFit="1" customWidth="1"/>
    <col min="3" max="3" width="18.140625" bestFit="1" customWidth="1"/>
    <col min="4" max="4" width="5.85546875" bestFit="1" customWidth="1"/>
    <col min="5" max="5" width="7.7109375" style="1" bestFit="1" customWidth="1"/>
    <col min="6" max="13" width="6" style="1" bestFit="1" customWidth="1"/>
    <col min="14" max="14" width="6" style="1" customWidth="1"/>
    <col min="15" max="15" width="10.5703125" style="1" customWidth="1"/>
    <col min="16" max="16" width="11.140625" style="1" customWidth="1"/>
    <col min="17" max="17" width="6.7109375" style="1" bestFit="1" customWidth="1"/>
    <col min="18" max="18" width="6" style="1" customWidth="1"/>
    <col min="19" max="19" width="9.7109375" style="1" customWidth="1"/>
    <col min="20" max="20" width="8.28515625" style="1" customWidth="1"/>
    <col min="21" max="21" width="8.5703125" style="1" bestFit="1" customWidth="1"/>
    <col min="22" max="22" width="7.7109375" style="1" customWidth="1"/>
    <col min="23" max="23" width="7.5703125" style="1" bestFit="1" customWidth="1"/>
    <col min="24" max="25" width="7.5703125" style="1" customWidth="1"/>
    <col min="26" max="27" width="6" style="1" customWidth="1"/>
    <col min="28" max="28" width="2.42578125" style="10" customWidth="1"/>
    <col min="29" max="29" width="8.5703125" bestFit="1" customWidth="1"/>
    <col min="30" max="30" width="12.140625" style="1" bestFit="1" customWidth="1"/>
    <col min="31" max="31" width="8.28515625" style="1" bestFit="1" customWidth="1"/>
    <col min="32" max="32" width="12.42578125" style="1" bestFit="1" customWidth="1"/>
    <col min="33" max="33" width="12" style="1" bestFit="1" customWidth="1"/>
    <col min="34" max="34" width="10.140625" style="1" customWidth="1"/>
    <col min="35" max="35" width="8" style="1" bestFit="1" customWidth="1"/>
    <col min="36" max="36" width="8.85546875" style="1" bestFit="1" customWidth="1"/>
    <col min="37" max="37" width="4.5703125" style="1" bestFit="1" customWidth="1"/>
  </cols>
  <sheetData>
    <row r="1" spans="1:39" x14ac:dyDescent="0.25">
      <c r="A1" t="s">
        <v>228</v>
      </c>
      <c r="C1" t="s">
        <v>1</v>
      </c>
      <c r="F1" s="47" t="s">
        <v>6</v>
      </c>
      <c r="G1" s="47"/>
      <c r="H1" s="46" t="s">
        <v>7</v>
      </c>
      <c r="I1" s="46"/>
      <c r="J1" s="45" t="s">
        <v>8</v>
      </c>
      <c r="K1" s="45"/>
      <c r="L1" s="46" t="s">
        <v>9</v>
      </c>
      <c r="M1" s="46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1"/>
      <c r="AD1" s="45" t="s">
        <v>28</v>
      </c>
      <c r="AE1" s="45"/>
      <c r="AF1" s="45"/>
      <c r="AG1" s="46" t="s">
        <v>29</v>
      </c>
      <c r="AH1" s="46"/>
      <c r="AI1" s="46"/>
    </row>
    <row r="2" spans="1:39" x14ac:dyDescent="0.25">
      <c r="C2" s="6" t="s">
        <v>2</v>
      </c>
      <c r="D2" s="8" t="s">
        <v>4</v>
      </c>
      <c r="E2" s="3" t="s">
        <v>5</v>
      </c>
      <c r="F2" s="2" t="s">
        <v>10</v>
      </c>
      <c r="G2" s="2" t="s">
        <v>11</v>
      </c>
      <c r="H2" s="3" t="s">
        <v>10</v>
      </c>
      <c r="I2" s="3" t="s">
        <v>11</v>
      </c>
      <c r="J2" s="4" t="s">
        <v>10</v>
      </c>
      <c r="K2" s="4" t="s">
        <v>11</v>
      </c>
      <c r="L2" s="3" t="s">
        <v>10</v>
      </c>
      <c r="M2" s="3" t="s">
        <v>11</v>
      </c>
      <c r="N2" s="13"/>
      <c r="O2" s="13" t="s">
        <v>279</v>
      </c>
      <c r="P2" s="1" t="s">
        <v>281</v>
      </c>
      <c r="Q2" s="13" t="s">
        <v>280</v>
      </c>
      <c r="R2" s="13"/>
      <c r="S2" s="13" t="s">
        <v>282</v>
      </c>
      <c r="T2" s="13"/>
      <c r="U2" s="13"/>
      <c r="V2" s="13"/>
      <c r="W2" s="13"/>
      <c r="X2" s="13"/>
      <c r="Y2" s="13"/>
      <c r="Z2" s="13"/>
      <c r="AA2" s="13"/>
      <c r="AD2" s="4" t="s">
        <v>35</v>
      </c>
      <c r="AE2" s="4" t="s">
        <v>36</v>
      </c>
      <c r="AF2" s="4" t="s">
        <v>37</v>
      </c>
      <c r="AG2" s="3" t="s">
        <v>32</v>
      </c>
      <c r="AH2" s="3" t="s">
        <v>33</v>
      </c>
      <c r="AI2" s="3" t="s">
        <v>34</v>
      </c>
      <c r="AJ2" s="4" t="s">
        <v>31</v>
      </c>
      <c r="AK2" s="3" t="s">
        <v>30</v>
      </c>
    </row>
    <row r="3" spans="1:39" x14ac:dyDescent="0.25">
      <c r="A3" s="1">
        <f>SUM(F3:M3)/8</f>
        <v>1090.875</v>
      </c>
      <c r="B3" t="s">
        <v>0</v>
      </c>
      <c r="C3" t="s">
        <v>3</v>
      </c>
      <c r="D3" s="9"/>
      <c r="E3" s="1" t="s">
        <v>20</v>
      </c>
      <c r="F3" s="1">
        <v>1213</v>
      </c>
      <c r="G3" s="1">
        <v>854</v>
      </c>
      <c r="H3" s="1">
        <v>1286</v>
      </c>
      <c r="I3" s="1">
        <v>918</v>
      </c>
      <c r="J3" s="1">
        <v>1629</v>
      </c>
      <c r="K3" s="1">
        <v>670</v>
      </c>
      <c r="L3" s="1">
        <v>1140</v>
      </c>
      <c r="M3" s="1">
        <v>1017</v>
      </c>
      <c r="N3" s="1">
        <f>COUNTIF(O3:O17,"&gt;1260")</f>
        <v>15</v>
      </c>
      <c r="O3" s="16">
        <f>F3+H3+J3+L3</f>
        <v>5268</v>
      </c>
      <c r="P3" s="14">
        <f>O3/4</f>
        <v>1317</v>
      </c>
      <c r="Q3" s="16">
        <f t="shared" ref="Q3:Q17" si="0">G3+I3+K3+M3</f>
        <v>3459</v>
      </c>
      <c r="R3" s="16">
        <f>COUNTIF(Q3:Q17,"&gt;840")</f>
        <v>15</v>
      </c>
      <c r="S3" s="14">
        <f>Q3/4</f>
        <v>864.75</v>
      </c>
      <c r="T3" s="40">
        <f>(F3+H3+J3+L3)/4</f>
        <v>1317</v>
      </c>
      <c r="U3" s="14">
        <f>(G3+I3+K3+M3)/4</f>
        <v>864.75</v>
      </c>
      <c r="V3" s="1">
        <f>COUNTIF(F3:F17,"&gt;=1260")</f>
        <v>10</v>
      </c>
      <c r="W3" s="1">
        <f>COUNTIF(H3:H17,"&gt;=1260")</f>
        <v>9</v>
      </c>
      <c r="X3" s="1">
        <f>COUNTIF(J3:J17,"&gt;=1260")</f>
        <v>9</v>
      </c>
      <c r="Y3" s="1">
        <f>COUNTIF(L3:M17,"&gt;=1260")</f>
        <v>10</v>
      </c>
      <c r="Z3" s="1">
        <f>V3+W3+X3+Y3</f>
        <v>38</v>
      </c>
      <c r="AA3" s="1">
        <f>(F3+H3+J3+L3)/4</f>
        <v>1317</v>
      </c>
      <c r="AC3" s="5" t="s">
        <v>6</v>
      </c>
      <c r="AD3" s="1">
        <v>70</v>
      </c>
      <c r="AE3" s="1">
        <v>15</v>
      </c>
      <c r="AF3" s="1">
        <v>15</v>
      </c>
      <c r="AG3" s="1">
        <v>14</v>
      </c>
      <c r="AH3" s="1">
        <v>80</v>
      </c>
      <c r="AI3" s="1">
        <v>6</v>
      </c>
      <c r="AJ3" s="1">
        <v>3.6</v>
      </c>
      <c r="AK3" s="1">
        <v>3.6</v>
      </c>
      <c r="AM3" s="1">
        <f>AH3+AI3</f>
        <v>86</v>
      </c>
    </row>
    <row r="4" spans="1:39" x14ac:dyDescent="0.25">
      <c r="A4" s="1">
        <f>SUM(F4:M4)/8</f>
        <v>1110.5</v>
      </c>
      <c r="C4" t="s">
        <v>12</v>
      </c>
      <c r="E4" s="1" t="s">
        <v>21</v>
      </c>
      <c r="F4" s="1">
        <v>1114</v>
      </c>
      <c r="G4" s="1">
        <v>894</v>
      </c>
      <c r="H4" s="1">
        <v>1724</v>
      </c>
      <c r="I4" s="1">
        <v>984</v>
      </c>
      <c r="J4" s="1">
        <v>1034</v>
      </c>
      <c r="K4" s="1">
        <v>632</v>
      </c>
      <c r="L4" s="1">
        <v>1575</v>
      </c>
      <c r="M4" s="1">
        <v>927</v>
      </c>
      <c r="O4" s="16">
        <f t="shared" ref="O4:O17" si="1">F4+H4+J4+L4</f>
        <v>5447</v>
      </c>
      <c r="P4" s="14">
        <f t="shared" ref="P4:P17" si="2">O4/4</f>
        <v>1361.75</v>
      </c>
      <c r="Q4" s="16">
        <f t="shared" si="0"/>
        <v>3437</v>
      </c>
      <c r="R4" s="16"/>
      <c r="S4" s="14">
        <f t="shared" ref="S4:S17" si="3">Q4/4</f>
        <v>859.25</v>
      </c>
      <c r="T4" s="40">
        <f>(F4+H4+J4+L4)/4</f>
        <v>1361.75</v>
      </c>
      <c r="U4" s="14">
        <f>(G4+I4+K4+M4)/4</f>
        <v>859.25</v>
      </c>
      <c r="V4" s="40" t="s">
        <v>267</v>
      </c>
      <c r="W4" s="14" t="s">
        <v>268</v>
      </c>
      <c r="X4" s="1" t="s">
        <v>269</v>
      </c>
      <c r="Y4" s="1" t="s">
        <v>270</v>
      </c>
      <c r="AA4" s="1">
        <f t="shared" ref="AA4:AA17" si="4">(F4+H4+J4+L4)/4</f>
        <v>1361.75</v>
      </c>
      <c r="AC4" s="7" t="s">
        <v>7</v>
      </c>
      <c r="AD4" s="1">
        <v>74</v>
      </c>
      <c r="AE4" s="1">
        <v>16</v>
      </c>
      <c r="AF4" s="1">
        <v>10</v>
      </c>
      <c r="AG4" s="1">
        <v>8</v>
      </c>
      <c r="AH4" s="1">
        <v>82</v>
      </c>
      <c r="AI4" s="1">
        <v>10</v>
      </c>
      <c r="AJ4" s="1">
        <v>3.8</v>
      </c>
      <c r="AK4" s="1">
        <v>3.4</v>
      </c>
      <c r="AM4" s="1">
        <f t="shared" ref="AM4:AM6" si="5">AH4+AI4</f>
        <v>92</v>
      </c>
    </row>
    <row r="5" spans="1:39" x14ac:dyDescent="0.25">
      <c r="A5" s="1">
        <f t="shared" ref="A5:A17" si="6">SUM(F5:M5)/8</f>
        <v>1056.75</v>
      </c>
      <c r="C5" t="s">
        <v>13</v>
      </c>
      <c r="E5" s="1" t="s">
        <v>21</v>
      </c>
      <c r="F5" s="1">
        <v>913</v>
      </c>
      <c r="G5" s="1">
        <v>884</v>
      </c>
      <c r="H5" s="1">
        <v>1021</v>
      </c>
      <c r="I5" s="1">
        <v>887</v>
      </c>
      <c r="J5" s="1">
        <v>1153</v>
      </c>
      <c r="K5" s="1">
        <v>945</v>
      </c>
      <c r="L5" s="1">
        <v>1701</v>
      </c>
      <c r="M5" s="1">
        <v>950</v>
      </c>
      <c r="O5" s="16">
        <f t="shared" si="1"/>
        <v>4788</v>
      </c>
      <c r="P5" s="14">
        <f t="shared" si="2"/>
        <v>1197</v>
      </c>
      <c r="Q5" s="16">
        <f t="shared" si="0"/>
        <v>3666</v>
      </c>
      <c r="R5" s="16"/>
      <c r="S5" s="14">
        <f t="shared" si="3"/>
        <v>916.5</v>
      </c>
      <c r="T5" s="40">
        <f t="shared" ref="T5:T16" si="7">(F5+H5+J5+L5)/4</f>
        <v>1197</v>
      </c>
      <c r="U5" s="14">
        <f t="shared" ref="U5:U17" si="8">(G5+I5+K5+M5)/4</f>
        <v>916.5</v>
      </c>
      <c r="AA5" s="1">
        <f t="shared" si="4"/>
        <v>1197</v>
      </c>
      <c r="AC5" s="5" t="s">
        <v>8</v>
      </c>
      <c r="AD5" s="1">
        <v>78</v>
      </c>
      <c r="AE5" s="1">
        <v>13</v>
      </c>
      <c r="AF5" s="1">
        <v>9</v>
      </c>
      <c r="AG5" s="1">
        <v>17</v>
      </c>
      <c r="AH5" s="1">
        <v>63</v>
      </c>
      <c r="AI5" s="1">
        <v>20</v>
      </c>
      <c r="AJ5" s="1">
        <v>3.8</v>
      </c>
      <c r="AK5" s="1">
        <v>4.3</v>
      </c>
      <c r="AM5" s="1">
        <f t="shared" si="5"/>
        <v>83</v>
      </c>
    </row>
    <row r="6" spans="1:39" x14ac:dyDescent="0.25">
      <c r="A6" s="1">
        <f t="shared" si="6"/>
        <v>1242.875</v>
      </c>
      <c r="C6" t="s">
        <v>14</v>
      </c>
      <c r="E6" s="1" t="s">
        <v>21</v>
      </c>
      <c r="F6" s="1">
        <v>1740</v>
      </c>
      <c r="G6" s="1">
        <v>672</v>
      </c>
      <c r="H6" s="1">
        <v>1784</v>
      </c>
      <c r="I6" s="1">
        <v>1194</v>
      </c>
      <c r="J6" s="1">
        <v>1516</v>
      </c>
      <c r="K6" s="1">
        <v>649</v>
      </c>
      <c r="L6" s="1">
        <v>1316</v>
      </c>
      <c r="M6" s="1">
        <v>1072</v>
      </c>
      <c r="O6" s="16">
        <f t="shared" si="1"/>
        <v>6356</v>
      </c>
      <c r="P6" s="14">
        <f t="shared" si="2"/>
        <v>1589</v>
      </c>
      <c r="Q6" s="16">
        <f t="shared" si="0"/>
        <v>3587</v>
      </c>
      <c r="R6" s="16"/>
      <c r="S6" s="14">
        <f t="shared" si="3"/>
        <v>896.75</v>
      </c>
      <c r="T6" s="40">
        <f t="shared" si="7"/>
        <v>1589</v>
      </c>
      <c r="U6" s="14">
        <f t="shared" si="8"/>
        <v>896.75</v>
      </c>
      <c r="V6" s="1">
        <f>COUNTIF(G3:G17,"&gt;=840")</f>
        <v>10</v>
      </c>
      <c r="W6" s="1">
        <f>COUNTIF(I3:I17,"&gt;=840")</f>
        <v>11</v>
      </c>
      <c r="X6" s="1">
        <f>COUNTIF(K3:K17,"&gt;=840")</f>
        <v>6</v>
      </c>
      <c r="Y6" s="1">
        <f>COUNTIF(M3:M17,"&gt;=840")</f>
        <v>13</v>
      </c>
      <c r="Z6" s="1">
        <f>V6+W6+X6+Y6</f>
        <v>40</v>
      </c>
      <c r="AA6" s="1">
        <f t="shared" si="4"/>
        <v>1589</v>
      </c>
      <c r="AC6" s="7" t="s">
        <v>9</v>
      </c>
      <c r="AD6" s="1">
        <v>78</v>
      </c>
      <c r="AE6" s="1">
        <v>15</v>
      </c>
      <c r="AF6" s="1">
        <v>7</v>
      </c>
      <c r="AG6" s="1">
        <v>10</v>
      </c>
      <c r="AH6" s="1">
        <v>70</v>
      </c>
      <c r="AI6" s="1">
        <v>20</v>
      </c>
      <c r="AJ6" s="1">
        <v>3.2</v>
      </c>
      <c r="AK6" s="1">
        <v>4.8</v>
      </c>
      <c r="AM6" s="1">
        <f t="shared" si="5"/>
        <v>90</v>
      </c>
    </row>
    <row r="7" spans="1:39" x14ac:dyDescent="0.25">
      <c r="A7" s="1">
        <f t="shared" si="6"/>
        <v>1050.375</v>
      </c>
      <c r="C7" t="s">
        <v>15</v>
      </c>
      <c r="E7" s="1" t="s">
        <v>20</v>
      </c>
      <c r="F7" s="1">
        <v>1004</v>
      </c>
      <c r="G7" s="1">
        <v>631</v>
      </c>
      <c r="H7" s="1">
        <v>1102</v>
      </c>
      <c r="I7" s="1">
        <v>1050</v>
      </c>
      <c r="J7" s="1">
        <v>1138</v>
      </c>
      <c r="K7" s="1">
        <v>969</v>
      </c>
      <c r="L7" s="1">
        <v>1638</v>
      </c>
      <c r="M7" s="1">
        <v>871</v>
      </c>
      <c r="O7" s="16">
        <f t="shared" si="1"/>
        <v>4882</v>
      </c>
      <c r="P7" s="14">
        <f t="shared" si="2"/>
        <v>1220.5</v>
      </c>
      <c r="Q7" s="16">
        <f t="shared" si="0"/>
        <v>3521</v>
      </c>
      <c r="R7" s="16"/>
      <c r="S7" s="14">
        <f t="shared" si="3"/>
        <v>880.25</v>
      </c>
      <c r="T7" s="40">
        <f t="shared" si="7"/>
        <v>1220.5</v>
      </c>
      <c r="U7" s="14">
        <f t="shared" si="8"/>
        <v>880.25</v>
      </c>
      <c r="V7" s="1" t="s">
        <v>271</v>
      </c>
      <c r="W7" s="1" t="s">
        <v>272</v>
      </c>
      <c r="X7" s="1" t="s">
        <v>273</v>
      </c>
      <c r="Y7" s="1" t="s">
        <v>274</v>
      </c>
      <c r="AA7" s="1">
        <f t="shared" si="4"/>
        <v>1220.5</v>
      </c>
      <c r="AD7" s="1">
        <f>SUM(AD3:AD6)</f>
        <v>300</v>
      </c>
      <c r="AF7" s="1">
        <f>SUM(AF3:AF6)</f>
        <v>41</v>
      </c>
      <c r="AJ7" s="1">
        <f>SUM(AJ3:AJ6)</f>
        <v>14.399999999999999</v>
      </c>
      <c r="AK7" s="1">
        <f>SUM(AK3:AK6)</f>
        <v>16.100000000000001</v>
      </c>
      <c r="AM7" s="1">
        <f>SUM(AM3:AM6)</f>
        <v>351</v>
      </c>
    </row>
    <row r="8" spans="1:39" x14ac:dyDescent="0.25">
      <c r="A8" s="1">
        <f t="shared" si="6"/>
        <v>1136.375</v>
      </c>
      <c r="C8" t="s">
        <v>16</v>
      </c>
      <c r="E8" s="1" t="s">
        <v>20</v>
      </c>
      <c r="F8" s="1">
        <v>976</v>
      </c>
      <c r="G8" s="1">
        <v>979</v>
      </c>
      <c r="H8" s="1">
        <v>1404</v>
      </c>
      <c r="I8" s="1">
        <v>678</v>
      </c>
      <c r="J8" s="1">
        <v>1427</v>
      </c>
      <c r="K8" s="1">
        <v>825</v>
      </c>
      <c r="L8" s="1">
        <v>1604</v>
      </c>
      <c r="M8" s="1">
        <v>1198</v>
      </c>
      <c r="O8" s="16">
        <f t="shared" si="1"/>
        <v>5411</v>
      </c>
      <c r="P8" s="14">
        <f t="shared" si="2"/>
        <v>1352.75</v>
      </c>
      <c r="Q8" s="16">
        <f t="shared" si="0"/>
        <v>3680</v>
      </c>
      <c r="R8" s="16"/>
      <c r="S8" s="14">
        <f t="shared" si="3"/>
        <v>920</v>
      </c>
      <c r="T8" s="40">
        <f t="shared" si="7"/>
        <v>1352.75</v>
      </c>
      <c r="U8" s="14">
        <f t="shared" si="8"/>
        <v>920</v>
      </c>
      <c r="AA8" s="1">
        <f t="shared" si="4"/>
        <v>1352.75</v>
      </c>
      <c r="AD8" s="39">
        <f>(AD7-AF7)/4</f>
        <v>64.75</v>
      </c>
      <c r="AM8" s="1">
        <f>AM7/4</f>
        <v>87.75</v>
      </c>
    </row>
    <row r="9" spans="1:39" x14ac:dyDescent="0.25">
      <c r="A9" s="1">
        <f t="shared" si="6"/>
        <v>1126.125</v>
      </c>
      <c r="C9" t="s">
        <v>17</v>
      </c>
      <c r="E9" s="1" t="s">
        <v>20</v>
      </c>
      <c r="F9" s="1">
        <v>1371</v>
      </c>
      <c r="G9" s="1">
        <v>712</v>
      </c>
      <c r="H9" s="1">
        <v>936</v>
      </c>
      <c r="I9" s="1">
        <v>1142</v>
      </c>
      <c r="J9" s="1">
        <v>1227</v>
      </c>
      <c r="K9" s="1">
        <v>800</v>
      </c>
      <c r="L9" s="1">
        <v>1791</v>
      </c>
      <c r="M9" s="1">
        <v>1030</v>
      </c>
      <c r="O9" s="16">
        <f t="shared" si="1"/>
        <v>5325</v>
      </c>
      <c r="P9" s="14">
        <f t="shared" si="2"/>
        <v>1331.25</v>
      </c>
      <c r="Q9" s="16">
        <f t="shared" si="0"/>
        <v>3684</v>
      </c>
      <c r="R9" s="16"/>
      <c r="S9" s="14">
        <f t="shared" si="3"/>
        <v>921</v>
      </c>
      <c r="T9" s="40">
        <f t="shared" si="7"/>
        <v>1331.25</v>
      </c>
      <c r="U9" s="14">
        <f t="shared" si="8"/>
        <v>921</v>
      </c>
      <c r="AA9" s="1">
        <f t="shared" si="4"/>
        <v>1331.25</v>
      </c>
      <c r="AJ9" s="1">
        <f>AJ7/4</f>
        <v>3.5999999999999996</v>
      </c>
      <c r="AK9" s="14">
        <f>AK7/4</f>
        <v>4.0250000000000004</v>
      </c>
    </row>
    <row r="10" spans="1:39" x14ac:dyDescent="0.25">
      <c r="A10" s="1">
        <f t="shared" si="6"/>
        <v>1218.25</v>
      </c>
      <c r="C10" t="s">
        <v>18</v>
      </c>
      <c r="E10" s="1" t="s">
        <v>20</v>
      </c>
      <c r="F10" s="1">
        <v>1649</v>
      </c>
      <c r="G10" s="1">
        <v>1094</v>
      </c>
      <c r="H10" s="1">
        <v>1590</v>
      </c>
      <c r="I10" s="1">
        <v>1036</v>
      </c>
      <c r="J10" s="1">
        <v>1438</v>
      </c>
      <c r="K10" s="1">
        <v>1015</v>
      </c>
      <c r="L10" s="1">
        <v>1105</v>
      </c>
      <c r="M10" s="1">
        <v>819</v>
      </c>
      <c r="O10" s="16">
        <f t="shared" si="1"/>
        <v>5782</v>
      </c>
      <c r="P10" s="14">
        <f t="shared" si="2"/>
        <v>1445.5</v>
      </c>
      <c r="Q10" s="16">
        <f t="shared" si="0"/>
        <v>3964</v>
      </c>
      <c r="R10" s="16"/>
      <c r="S10" s="14">
        <f t="shared" si="3"/>
        <v>991</v>
      </c>
      <c r="T10" s="40">
        <f t="shared" si="7"/>
        <v>1445.5</v>
      </c>
      <c r="U10" s="14">
        <f t="shared" si="8"/>
        <v>991</v>
      </c>
      <c r="AA10" s="1">
        <f t="shared" si="4"/>
        <v>1445.5</v>
      </c>
      <c r="AE10" s="1">
        <f>1800*4</f>
        <v>7200</v>
      </c>
      <c r="AF10" s="1">
        <v>100</v>
      </c>
    </row>
    <row r="11" spans="1:39" x14ac:dyDescent="0.25">
      <c r="A11" s="1">
        <f t="shared" si="6"/>
        <v>1007.25</v>
      </c>
      <c r="C11" t="s">
        <v>19</v>
      </c>
      <c r="E11" s="1" t="s">
        <v>21</v>
      </c>
      <c r="F11" s="1">
        <v>1280</v>
      </c>
      <c r="G11" s="1">
        <v>743</v>
      </c>
      <c r="H11" s="1">
        <v>928</v>
      </c>
      <c r="I11" s="1">
        <v>851</v>
      </c>
      <c r="J11" s="1">
        <v>1431</v>
      </c>
      <c r="K11" s="1">
        <v>894</v>
      </c>
      <c r="L11" s="1">
        <v>948</v>
      </c>
      <c r="M11" s="1">
        <v>983</v>
      </c>
      <c r="O11" s="16">
        <f t="shared" si="1"/>
        <v>4587</v>
      </c>
      <c r="P11" s="14">
        <f t="shared" si="2"/>
        <v>1146.75</v>
      </c>
      <c r="Q11" s="16">
        <f t="shared" si="0"/>
        <v>3471</v>
      </c>
      <c r="R11" s="16"/>
      <c r="S11" s="14">
        <f t="shared" si="3"/>
        <v>867.75</v>
      </c>
      <c r="T11" s="40">
        <f t="shared" si="7"/>
        <v>1146.75</v>
      </c>
      <c r="U11" s="14">
        <f t="shared" si="8"/>
        <v>867.75</v>
      </c>
      <c r="AA11" s="1">
        <f t="shared" si="4"/>
        <v>1146.75</v>
      </c>
      <c r="AC11" t="s">
        <v>260</v>
      </c>
      <c r="AD11" s="1">
        <f>COUNTA(E3:E17)</f>
        <v>15</v>
      </c>
      <c r="AE11" s="1">
        <v>1317</v>
      </c>
      <c r="AG11" s="1">
        <f>AE11*AF10/AE10</f>
        <v>18.291666666666668</v>
      </c>
    </row>
    <row r="12" spans="1:39" x14ac:dyDescent="0.25">
      <c r="A12" s="1">
        <f t="shared" si="6"/>
        <v>1089.5</v>
      </c>
      <c r="C12" t="s">
        <v>22</v>
      </c>
      <c r="E12" s="1" t="s">
        <v>20</v>
      </c>
      <c r="F12" s="1">
        <v>1448</v>
      </c>
      <c r="G12" s="1">
        <v>875</v>
      </c>
      <c r="H12" s="1">
        <v>1296</v>
      </c>
      <c r="I12" s="1">
        <v>786</v>
      </c>
      <c r="J12" s="1">
        <v>966</v>
      </c>
      <c r="K12" s="1">
        <v>708</v>
      </c>
      <c r="L12" s="1">
        <v>1439</v>
      </c>
      <c r="M12" s="1">
        <v>1198</v>
      </c>
      <c r="O12" s="16">
        <f t="shared" si="1"/>
        <v>5149</v>
      </c>
      <c r="P12" s="14">
        <f t="shared" si="2"/>
        <v>1287.25</v>
      </c>
      <c r="Q12" s="16">
        <f t="shared" si="0"/>
        <v>3567</v>
      </c>
      <c r="R12" s="16"/>
      <c r="S12" s="14">
        <f t="shared" si="3"/>
        <v>891.75</v>
      </c>
      <c r="T12" s="40">
        <f t="shared" si="7"/>
        <v>1287.25</v>
      </c>
      <c r="U12" s="14">
        <f t="shared" si="8"/>
        <v>891.75</v>
      </c>
      <c r="AA12" s="1">
        <f t="shared" si="4"/>
        <v>1287.25</v>
      </c>
    </row>
    <row r="13" spans="1:39" x14ac:dyDescent="0.25">
      <c r="A13" s="1">
        <f t="shared" si="6"/>
        <v>1196.625</v>
      </c>
      <c r="C13" t="s">
        <v>23</v>
      </c>
      <c r="E13" s="1" t="s">
        <v>21</v>
      </c>
      <c r="F13" s="1">
        <v>1599</v>
      </c>
      <c r="G13" s="1">
        <v>1000</v>
      </c>
      <c r="H13" s="1">
        <v>1225</v>
      </c>
      <c r="I13" s="1">
        <v>834</v>
      </c>
      <c r="J13" s="1">
        <v>1657</v>
      </c>
      <c r="K13" s="1">
        <v>873</v>
      </c>
      <c r="L13" s="1">
        <v>1420</v>
      </c>
      <c r="M13" s="1">
        <v>965</v>
      </c>
      <c r="O13" s="16">
        <f t="shared" si="1"/>
        <v>5901</v>
      </c>
      <c r="P13" s="14">
        <f t="shared" si="2"/>
        <v>1475.25</v>
      </c>
      <c r="Q13" s="16">
        <f t="shared" si="0"/>
        <v>3672</v>
      </c>
      <c r="R13" s="16"/>
      <c r="S13" s="14">
        <f t="shared" si="3"/>
        <v>918</v>
      </c>
      <c r="T13" s="40">
        <f t="shared" si="7"/>
        <v>1475.25</v>
      </c>
      <c r="U13" s="14">
        <f t="shared" si="8"/>
        <v>918</v>
      </c>
      <c r="W13" s="1">
        <f>F3+H3+J3+L3</f>
        <v>5268</v>
      </c>
      <c r="X13" s="1">
        <f>G3+I3+K3+M3</f>
        <v>3459</v>
      </c>
      <c r="AA13" s="1">
        <f t="shared" si="4"/>
        <v>1475.25</v>
      </c>
    </row>
    <row r="14" spans="1:39" x14ac:dyDescent="0.25">
      <c r="A14" s="1">
        <f t="shared" si="6"/>
        <v>1030.75</v>
      </c>
      <c r="C14" t="s">
        <v>24</v>
      </c>
      <c r="E14" s="1" t="s">
        <v>21</v>
      </c>
      <c r="F14" s="1">
        <v>1556</v>
      </c>
      <c r="G14" s="1">
        <v>766</v>
      </c>
      <c r="H14" s="1">
        <v>1730</v>
      </c>
      <c r="I14" s="1">
        <v>658</v>
      </c>
      <c r="J14" s="1">
        <v>1199</v>
      </c>
      <c r="K14" s="1">
        <v>715</v>
      </c>
      <c r="L14" s="1">
        <v>935</v>
      </c>
      <c r="M14" s="1">
        <v>687</v>
      </c>
      <c r="O14" s="16">
        <f t="shared" si="1"/>
        <v>5420</v>
      </c>
      <c r="P14" s="14">
        <f t="shared" si="2"/>
        <v>1355</v>
      </c>
      <c r="Q14" s="16">
        <f t="shared" si="0"/>
        <v>2826</v>
      </c>
      <c r="R14" s="16"/>
      <c r="S14" s="14">
        <f t="shared" si="3"/>
        <v>706.5</v>
      </c>
      <c r="T14" s="40">
        <f t="shared" si="7"/>
        <v>1355</v>
      </c>
      <c r="U14" s="14">
        <f t="shared" si="8"/>
        <v>706.5</v>
      </c>
      <c r="AA14" s="1">
        <f t="shared" si="4"/>
        <v>1355</v>
      </c>
      <c r="AC14" s="1"/>
    </row>
    <row r="15" spans="1:39" x14ac:dyDescent="0.25">
      <c r="A15" s="1">
        <f t="shared" si="6"/>
        <v>1271.125</v>
      </c>
      <c r="C15" t="s">
        <v>25</v>
      </c>
      <c r="E15" s="1" t="s">
        <v>20</v>
      </c>
      <c r="F15" s="1">
        <v>1385</v>
      </c>
      <c r="G15" s="1">
        <v>1098</v>
      </c>
      <c r="H15" s="1">
        <v>1643</v>
      </c>
      <c r="I15" s="1">
        <v>909</v>
      </c>
      <c r="J15" s="1">
        <v>1766</v>
      </c>
      <c r="K15" s="1">
        <v>653</v>
      </c>
      <c r="L15" s="1">
        <v>1611</v>
      </c>
      <c r="M15" s="1">
        <v>1104</v>
      </c>
      <c r="O15" s="16">
        <f t="shared" si="1"/>
        <v>6405</v>
      </c>
      <c r="P15" s="14">
        <f t="shared" si="2"/>
        <v>1601.25</v>
      </c>
      <c r="Q15" s="16">
        <f t="shared" si="0"/>
        <v>3764</v>
      </c>
      <c r="R15" s="16"/>
      <c r="S15" s="14">
        <f t="shared" si="3"/>
        <v>941</v>
      </c>
      <c r="T15" s="40">
        <f t="shared" si="7"/>
        <v>1601.25</v>
      </c>
      <c r="U15" s="14">
        <f t="shared" si="8"/>
        <v>941</v>
      </c>
      <c r="AA15" s="1">
        <f t="shared" si="4"/>
        <v>1601.25</v>
      </c>
      <c r="AC15" t="s">
        <v>261</v>
      </c>
      <c r="AD15" s="23" t="s">
        <v>262</v>
      </c>
      <c r="AE15" t="s">
        <v>263</v>
      </c>
      <c r="AF15" s="37">
        <v>0.7</v>
      </c>
      <c r="AG15" s="1" t="s">
        <v>265</v>
      </c>
      <c r="AH15" s="1" t="s">
        <v>266</v>
      </c>
      <c r="AI15" s="37"/>
    </row>
    <row r="16" spans="1:39" x14ac:dyDescent="0.25">
      <c r="A16" s="1">
        <f t="shared" si="6"/>
        <v>1169.125</v>
      </c>
      <c r="C16" t="s">
        <v>26</v>
      </c>
      <c r="E16" s="1" t="s">
        <v>21</v>
      </c>
      <c r="F16" s="1">
        <v>1767</v>
      </c>
      <c r="G16" s="1">
        <v>972</v>
      </c>
      <c r="H16" s="1">
        <v>1130</v>
      </c>
      <c r="I16" s="1">
        <v>1003</v>
      </c>
      <c r="J16" s="1">
        <v>1566</v>
      </c>
      <c r="K16" s="1">
        <v>742</v>
      </c>
      <c r="L16" s="1">
        <v>1020</v>
      </c>
      <c r="M16" s="1">
        <v>1153</v>
      </c>
      <c r="O16" s="16">
        <f t="shared" si="1"/>
        <v>5483</v>
      </c>
      <c r="P16" s="14">
        <f t="shared" si="2"/>
        <v>1370.75</v>
      </c>
      <c r="Q16" s="16">
        <f t="shared" si="0"/>
        <v>3870</v>
      </c>
      <c r="R16" s="16"/>
      <c r="S16" s="14">
        <f t="shared" si="3"/>
        <v>967.5</v>
      </c>
      <c r="T16" s="40">
        <f t="shared" si="7"/>
        <v>1370.75</v>
      </c>
      <c r="U16" s="14">
        <f t="shared" si="8"/>
        <v>967.5</v>
      </c>
      <c r="AA16" s="1">
        <f t="shared" si="4"/>
        <v>1370.75</v>
      </c>
      <c r="AC16" s="1">
        <v>1800</v>
      </c>
      <c r="AD16" s="1">
        <v>1200</v>
      </c>
      <c r="AE16" s="1">
        <f>(AD16+AC16)/2</f>
        <v>1500</v>
      </c>
      <c r="AF16" s="14">
        <f>AE16*0.7</f>
        <v>1050</v>
      </c>
      <c r="AG16" s="1">
        <f>AC16*0.7</f>
        <v>1260</v>
      </c>
      <c r="AH16" s="1">
        <f>AD16*0.7</f>
        <v>840</v>
      </c>
    </row>
    <row r="17" spans="1:39" x14ac:dyDescent="0.25">
      <c r="A17" s="1">
        <f t="shared" si="6"/>
        <v>1363.75</v>
      </c>
      <c r="C17" t="s">
        <v>27</v>
      </c>
      <c r="E17" s="1" t="s">
        <v>21</v>
      </c>
      <c r="F17" s="1">
        <v>1729</v>
      </c>
      <c r="G17" s="1">
        <v>1028</v>
      </c>
      <c r="H17" s="1">
        <v>1724</v>
      </c>
      <c r="I17" s="1">
        <v>1043</v>
      </c>
      <c r="J17" s="1">
        <v>1537</v>
      </c>
      <c r="K17" s="1">
        <v>1051</v>
      </c>
      <c r="L17" s="1">
        <v>1679</v>
      </c>
      <c r="M17" s="1">
        <v>1119</v>
      </c>
      <c r="O17" s="16">
        <f t="shared" si="1"/>
        <v>6669</v>
      </c>
      <c r="P17" s="14">
        <f t="shared" si="2"/>
        <v>1667.25</v>
      </c>
      <c r="Q17" s="16">
        <f t="shared" si="0"/>
        <v>4241</v>
      </c>
      <c r="R17" s="16"/>
      <c r="S17" s="14">
        <f t="shared" si="3"/>
        <v>1060.25</v>
      </c>
      <c r="T17" s="40">
        <f>(F17+H17+J17+L17)/4</f>
        <v>1667.25</v>
      </c>
      <c r="U17" s="14">
        <f t="shared" si="8"/>
        <v>1060.25</v>
      </c>
      <c r="AA17" s="1">
        <f t="shared" si="4"/>
        <v>1667.25</v>
      </c>
      <c r="AC17" t="s">
        <v>10</v>
      </c>
      <c r="AD17" s="1" t="s">
        <v>11</v>
      </c>
      <c r="AF17" s="1" t="s">
        <v>250</v>
      </c>
      <c r="AG17" s="1" t="s">
        <v>251</v>
      </c>
      <c r="AH17" s="20" t="s">
        <v>252</v>
      </c>
      <c r="AI17" s="20" t="s">
        <v>253</v>
      </c>
    </row>
    <row r="18" spans="1:39" s="15" customFormat="1" x14ac:dyDescent="0.25">
      <c r="E18" s="16"/>
      <c r="F18" s="16">
        <f>SUM(F3:F17)</f>
        <v>20744</v>
      </c>
      <c r="G18" s="16">
        <f t="shared" ref="G18:M18" si="9">SUM(G3:G17)</f>
        <v>13202</v>
      </c>
      <c r="H18" s="16">
        <f t="shared" si="9"/>
        <v>20523</v>
      </c>
      <c r="I18" s="16">
        <f t="shared" si="9"/>
        <v>13973</v>
      </c>
      <c r="J18" s="16">
        <f t="shared" si="9"/>
        <v>20684</v>
      </c>
      <c r="K18" s="16">
        <f t="shared" si="9"/>
        <v>12141</v>
      </c>
      <c r="L18" s="16">
        <f t="shared" si="9"/>
        <v>20922</v>
      </c>
      <c r="M18" s="16">
        <f t="shared" si="9"/>
        <v>15093</v>
      </c>
      <c r="N18" s="16"/>
      <c r="O18" s="16"/>
      <c r="P18" s="16"/>
      <c r="Q18" s="16"/>
      <c r="R18" s="16"/>
      <c r="S18" s="16"/>
      <c r="T18" s="16">
        <f>COUNTIF(T3:T17,"&gt;=1260")</f>
        <v>12</v>
      </c>
      <c r="U18" s="16">
        <f>COUNTIF(U3:U17,"&gt;=840")</f>
        <v>14</v>
      </c>
      <c r="V18" s="16"/>
      <c r="W18" s="16"/>
      <c r="X18" s="16"/>
      <c r="Y18" s="16"/>
      <c r="Z18" s="16"/>
      <c r="AA18" s="16"/>
      <c r="AB18" s="17"/>
      <c r="AC18" s="18">
        <f>AVERAGE(F18,H18,J18,L18)</f>
        <v>20718.25</v>
      </c>
      <c r="AD18" s="15">
        <f>AVERAGE(G18,I18,K18,M18)</f>
        <v>13602.25</v>
      </c>
      <c r="AF18" s="19">
        <f>AC18*0.7</f>
        <v>14502.775</v>
      </c>
      <c r="AG18" s="19">
        <f>AF18*0.7</f>
        <v>10151.942499999999</v>
      </c>
      <c r="AH18" s="21">
        <f>(AF18/15)*4</f>
        <v>3867.4066666666668</v>
      </c>
      <c r="AI18" s="22">
        <f>(AG18/15)*4</f>
        <v>2707.1846666666665</v>
      </c>
      <c r="AJ18" s="16"/>
      <c r="AK18" s="16"/>
    </row>
    <row r="19" spans="1:39" x14ac:dyDescent="0.25">
      <c r="B19" t="s">
        <v>38</v>
      </c>
      <c r="C19" t="s">
        <v>39</v>
      </c>
      <c r="E19" s="1" t="s">
        <v>20</v>
      </c>
      <c r="F19" s="1">
        <v>1146</v>
      </c>
      <c r="G19" s="1">
        <v>1057</v>
      </c>
      <c r="H19" s="1">
        <v>1745</v>
      </c>
      <c r="I19" s="1">
        <v>1059</v>
      </c>
      <c r="J19" s="1">
        <v>1424</v>
      </c>
      <c r="K19" s="1">
        <v>745</v>
      </c>
      <c r="X19" s="1">
        <v>100</v>
      </c>
      <c r="Y19" s="1">
        <v>100</v>
      </c>
      <c r="AC19" s="5" t="s">
        <v>6</v>
      </c>
      <c r="AD19" s="1">
        <v>97</v>
      </c>
      <c r="AE19" s="1">
        <v>3</v>
      </c>
      <c r="AF19" s="1">
        <v>0</v>
      </c>
      <c r="AG19" s="1">
        <v>0</v>
      </c>
      <c r="AH19" s="1">
        <v>80</v>
      </c>
      <c r="AI19" s="1">
        <v>20</v>
      </c>
      <c r="AJ19" s="1">
        <v>4.7</v>
      </c>
      <c r="AK19" s="1">
        <v>4.9000000000000004</v>
      </c>
      <c r="AM19">
        <f>AH19+AI19</f>
        <v>100</v>
      </c>
    </row>
    <row r="20" spans="1:39" x14ac:dyDescent="0.25">
      <c r="C20" t="s">
        <v>40</v>
      </c>
      <c r="E20" s="1" t="s">
        <v>20</v>
      </c>
      <c r="F20" s="1">
        <v>1443</v>
      </c>
      <c r="G20" s="1">
        <v>643</v>
      </c>
      <c r="H20" s="1">
        <v>1769</v>
      </c>
      <c r="I20" s="1">
        <v>612</v>
      </c>
      <c r="J20" s="1">
        <v>1049</v>
      </c>
      <c r="K20" s="1">
        <v>922</v>
      </c>
      <c r="O20" s="44" t="str">
        <f>IF(P3&gt;=1260,"SI","NO")</f>
        <v>SI</v>
      </c>
      <c r="P20" s="44" t="str">
        <f>IF(S3&gt;=840,"SI","NO")</f>
        <v>SI</v>
      </c>
      <c r="Q20" s="48" t="b">
        <f>AND(O20:O34="SI",P20:P34="SI")</f>
        <v>1</v>
      </c>
      <c r="R20" s="1">
        <f>COUNTIF(Q20:Q34,"VERDADERO")</f>
        <v>11</v>
      </c>
      <c r="S20" s="1">
        <f>COUNTIF(Q20:Q34,"FALSO")</f>
        <v>4</v>
      </c>
      <c r="T20" s="1">
        <f>O3/4</f>
        <v>1317</v>
      </c>
      <c r="AC20" s="7" t="s">
        <v>7</v>
      </c>
      <c r="AD20" s="1">
        <v>81</v>
      </c>
      <c r="AE20" s="1">
        <v>17</v>
      </c>
      <c r="AF20" s="1">
        <v>2</v>
      </c>
      <c r="AG20" s="1">
        <v>14</v>
      </c>
      <c r="AH20" s="1">
        <v>83</v>
      </c>
      <c r="AI20" s="1">
        <v>3</v>
      </c>
      <c r="AJ20" s="1">
        <v>4.4000000000000004</v>
      </c>
      <c r="AK20" s="1">
        <v>4.3</v>
      </c>
      <c r="AM20">
        <f>AH20+AI20</f>
        <v>86</v>
      </c>
    </row>
    <row r="21" spans="1:39" x14ac:dyDescent="0.25">
      <c r="C21" t="s">
        <v>41</v>
      </c>
      <c r="E21" s="1" t="s">
        <v>20</v>
      </c>
      <c r="F21" s="1">
        <v>1695</v>
      </c>
      <c r="G21" s="1">
        <v>1020</v>
      </c>
      <c r="H21" s="1">
        <v>1769</v>
      </c>
      <c r="I21" s="1">
        <v>1036</v>
      </c>
      <c r="J21" s="1">
        <v>1185</v>
      </c>
      <c r="K21" s="1">
        <v>903</v>
      </c>
      <c r="O21" s="44" t="str">
        <f t="shared" ref="O21:O34" si="10">IF(P4&gt;=1260,"SI","NO")</f>
        <v>SI</v>
      </c>
      <c r="P21" s="44" t="str">
        <f t="shared" ref="P21:P34" si="11">IF(S4&gt;=840,"SI","NO")</f>
        <v>SI</v>
      </c>
      <c r="Q21" s="48" t="b">
        <f t="shared" ref="Q21:Q34" si="12">AND(O21:O35="SI",P21:P35="SI")</f>
        <v>1</v>
      </c>
      <c r="T21" s="1">
        <f>Q3/4</f>
        <v>864.75</v>
      </c>
      <c r="AC21" s="5" t="s">
        <v>8</v>
      </c>
      <c r="AD21" s="1">
        <v>87</v>
      </c>
      <c r="AE21" s="1">
        <v>15</v>
      </c>
      <c r="AF21" s="1">
        <v>8</v>
      </c>
      <c r="AG21" s="1">
        <v>9</v>
      </c>
      <c r="AH21" s="1">
        <v>72</v>
      </c>
      <c r="AI21" s="1">
        <v>19</v>
      </c>
      <c r="AJ21" s="1">
        <v>3.4</v>
      </c>
      <c r="AK21" s="1">
        <v>4.0999999999999996</v>
      </c>
      <c r="AM21">
        <f>AH21+AI21</f>
        <v>91</v>
      </c>
    </row>
    <row r="22" spans="1:39" x14ac:dyDescent="0.25">
      <c r="C22" t="s">
        <v>42</v>
      </c>
      <c r="E22" s="1" t="s">
        <v>21</v>
      </c>
      <c r="F22" s="1">
        <v>1087</v>
      </c>
      <c r="G22" s="1">
        <v>1141</v>
      </c>
      <c r="H22" s="1">
        <v>1066</v>
      </c>
      <c r="I22" s="1">
        <v>878</v>
      </c>
      <c r="J22" s="1">
        <v>1049</v>
      </c>
      <c r="K22" s="1">
        <v>933</v>
      </c>
      <c r="O22" s="44" t="str">
        <f t="shared" si="10"/>
        <v>NO</v>
      </c>
      <c r="P22" s="44" t="str">
        <f t="shared" si="11"/>
        <v>SI</v>
      </c>
      <c r="Q22" s="48" t="b">
        <f t="shared" si="12"/>
        <v>0</v>
      </c>
      <c r="AC22" s="10"/>
      <c r="AM22" s="1">
        <f>SUM(AM18:AM21)</f>
        <v>277</v>
      </c>
    </row>
    <row r="23" spans="1:39" x14ac:dyDescent="0.25">
      <c r="C23" t="s">
        <v>43</v>
      </c>
      <c r="E23" s="1" t="s">
        <v>20</v>
      </c>
      <c r="F23" s="1">
        <v>1125</v>
      </c>
      <c r="G23" s="1">
        <v>1187</v>
      </c>
      <c r="H23" s="1">
        <v>1466</v>
      </c>
      <c r="I23" s="1">
        <v>1067</v>
      </c>
      <c r="J23" s="1">
        <v>1701</v>
      </c>
      <c r="K23" s="1">
        <v>679</v>
      </c>
      <c r="O23" s="44" t="str">
        <f t="shared" si="10"/>
        <v>SI</v>
      </c>
      <c r="P23" s="44" t="str">
        <f t="shared" si="11"/>
        <v>SI</v>
      </c>
      <c r="Q23" s="48" t="b">
        <f t="shared" si="12"/>
        <v>1</v>
      </c>
      <c r="T23" s="14">
        <f>R20/15*100</f>
        <v>73.333333333333329</v>
      </c>
      <c r="AM23">
        <f>AM22/3</f>
        <v>92.333333333333329</v>
      </c>
    </row>
    <row r="24" spans="1:39" x14ac:dyDescent="0.25">
      <c r="C24" t="s">
        <v>44</v>
      </c>
      <c r="E24" s="1" t="s">
        <v>21</v>
      </c>
      <c r="F24" s="1">
        <v>1094</v>
      </c>
      <c r="G24" s="1">
        <v>725</v>
      </c>
      <c r="H24" s="1">
        <v>1044</v>
      </c>
      <c r="I24" s="1">
        <v>1139</v>
      </c>
      <c r="J24" s="1">
        <v>1412</v>
      </c>
      <c r="K24" s="1">
        <v>713</v>
      </c>
      <c r="O24" s="44" t="str">
        <f t="shared" si="10"/>
        <v>NO</v>
      </c>
      <c r="P24" s="44" t="str">
        <f t="shared" si="11"/>
        <v>SI</v>
      </c>
      <c r="Q24" s="48" t="b">
        <f t="shared" si="12"/>
        <v>0</v>
      </c>
      <c r="T24" s="14">
        <f>S20/15*100</f>
        <v>26.666666666666668</v>
      </c>
    </row>
    <row r="25" spans="1:39" x14ac:dyDescent="0.25">
      <c r="C25" t="s">
        <v>45</v>
      </c>
      <c r="E25" s="1" t="s">
        <v>20</v>
      </c>
      <c r="F25" s="1">
        <v>1343</v>
      </c>
      <c r="G25" s="1">
        <v>1129</v>
      </c>
      <c r="H25" s="1">
        <v>1348</v>
      </c>
      <c r="I25" s="1">
        <v>958</v>
      </c>
      <c r="J25" s="1">
        <v>1068</v>
      </c>
      <c r="K25" s="1">
        <v>640</v>
      </c>
      <c r="O25" s="44" t="str">
        <f t="shared" si="10"/>
        <v>SI</v>
      </c>
      <c r="P25" s="44" t="str">
        <f t="shared" si="11"/>
        <v>SI</v>
      </c>
      <c r="Q25" s="48" t="b">
        <f t="shared" si="12"/>
        <v>1</v>
      </c>
    </row>
    <row r="26" spans="1:39" x14ac:dyDescent="0.25">
      <c r="C26" t="s">
        <v>46</v>
      </c>
      <c r="E26" s="1" t="s">
        <v>20</v>
      </c>
      <c r="F26" s="1">
        <v>1683</v>
      </c>
      <c r="G26" s="1">
        <v>1185</v>
      </c>
      <c r="H26" s="1">
        <v>1621</v>
      </c>
      <c r="I26" s="1">
        <v>1053</v>
      </c>
      <c r="J26" s="1">
        <v>930</v>
      </c>
      <c r="K26" s="1">
        <v>951</v>
      </c>
      <c r="O26" s="44" t="str">
        <f t="shared" si="10"/>
        <v>SI</v>
      </c>
      <c r="P26" s="44" t="str">
        <f t="shared" si="11"/>
        <v>SI</v>
      </c>
      <c r="Q26" s="48" t="b">
        <f t="shared" si="12"/>
        <v>1</v>
      </c>
    </row>
    <row r="27" spans="1:39" x14ac:dyDescent="0.25">
      <c r="C27" t="s">
        <v>47</v>
      </c>
      <c r="E27" s="1" t="s">
        <v>20</v>
      </c>
      <c r="F27" s="1">
        <v>1797</v>
      </c>
      <c r="G27" s="1">
        <v>655</v>
      </c>
      <c r="H27" s="1">
        <v>1396</v>
      </c>
      <c r="I27" s="1">
        <v>772</v>
      </c>
      <c r="J27" s="1">
        <v>1427</v>
      </c>
      <c r="K27" s="1">
        <v>673</v>
      </c>
      <c r="O27" s="44" t="str">
        <f t="shared" si="10"/>
        <v>SI</v>
      </c>
      <c r="P27" s="44" t="str">
        <f t="shared" si="11"/>
        <v>SI</v>
      </c>
      <c r="Q27" s="48" t="b">
        <f t="shared" si="12"/>
        <v>1</v>
      </c>
    </row>
    <row r="28" spans="1:39" x14ac:dyDescent="0.25">
      <c r="C28" t="s">
        <v>48</v>
      </c>
      <c r="E28" s="1" t="s">
        <v>21</v>
      </c>
      <c r="F28" s="1">
        <v>1244</v>
      </c>
      <c r="G28" s="1">
        <v>690</v>
      </c>
      <c r="H28" s="1">
        <v>1748</v>
      </c>
      <c r="I28" s="1">
        <v>717</v>
      </c>
      <c r="J28" s="1">
        <v>1622</v>
      </c>
      <c r="K28" s="1">
        <v>1047</v>
      </c>
      <c r="O28" s="44" t="str">
        <f t="shared" si="10"/>
        <v>NO</v>
      </c>
      <c r="P28" s="44" t="str">
        <f t="shared" si="11"/>
        <v>SI</v>
      </c>
      <c r="Q28" s="48" t="b">
        <f t="shared" si="12"/>
        <v>0</v>
      </c>
    </row>
    <row r="29" spans="1:39" x14ac:dyDescent="0.25">
      <c r="C29" t="s">
        <v>49</v>
      </c>
      <c r="E29" s="1" t="s">
        <v>20</v>
      </c>
      <c r="F29" s="1">
        <v>1630</v>
      </c>
      <c r="G29" s="1">
        <v>949</v>
      </c>
      <c r="H29" s="1">
        <v>1065</v>
      </c>
      <c r="I29" s="1">
        <v>774</v>
      </c>
      <c r="J29" s="1">
        <v>1125</v>
      </c>
      <c r="K29" s="1">
        <v>945</v>
      </c>
      <c r="O29" s="44" t="str">
        <f t="shared" si="10"/>
        <v>SI</v>
      </c>
      <c r="P29" s="44" t="str">
        <f t="shared" si="11"/>
        <v>SI</v>
      </c>
      <c r="Q29" s="48" t="b">
        <f t="shared" si="12"/>
        <v>1</v>
      </c>
    </row>
    <row r="30" spans="1:39" x14ac:dyDescent="0.25">
      <c r="C30" t="s">
        <v>50</v>
      </c>
      <c r="E30" s="1" t="s">
        <v>21</v>
      </c>
      <c r="F30" s="1">
        <v>1562</v>
      </c>
      <c r="G30" s="1">
        <v>979</v>
      </c>
      <c r="H30" s="1">
        <v>994</v>
      </c>
      <c r="I30" s="1">
        <v>901</v>
      </c>
      <c r="J30" s="1">
        <v>1363</v>
      </c>
      <c r="K30" s="1">
        <v>774</v>
      </c>
      <c r="O30" s="44" t="str">
        <f t="shared" si="10"/>
        <v>SI</v>
      </c>
      <c r="P30" s="44" t="str">
        <f t="shared" si="11"/>
        <v>SI</v>
      </c>
      <c r="Q30" s="48" t="b">
        <f t="shared" si="12"/>
        <v>1</v>
      </c>
    </row>
    <row r="31" spans="1:39" x14ac:dyDescent="0.25">
      <c r="C31" t="s">
        <v>51</v>
      </c>
      <c r="E31" s="1" t="s">
        <v>21</v>
      </c>
      <c r="F31" s="1">
        <v>1109</v>
      </c>
      <c r="G31" s="1">
        <v>1096</v>
      </c>
      <c r="H31" s="1">
        <v>1731</v>
      </c>
      <c r="I31" s="1">
        <v>640</v>
      </c>
      <c r="J31" s="1">
        <v>1557</v>
      </c>
      <c r="K31" s="1">
        <v>926</v>
      </c>
      <c r="O31" s="44" t="str">
        <f t="shared" si="10"/>
        <v>SI</v>
      </c>
      <c r="P31" s="44" t="str">
        <f t="shared" si="11"/>
        <v>NO</v>
      </c>
      <c r="Q31" s="48" t="b">
        <f t="shared" si="12"/>
        <v>0</v>
      </c>
    </row>
    <row r="32" spans="1:39" x14ac:dyDescent="0.25">
      <c r="C32" t="s">
        <v>52</v>
      </c>
      <c r="E32" s="1" t="s">
        <v>21</v>
      </c>
      <c r="F32" s="1">
        <v>1264</v>
      </c>
      <c r="G32" s="1">
        <v>880</v>
      </c>
      <c r="H32" s="1">
        <v>1641</v>
      </c>
      <c r="I32" s="1">
        <v>660</v>
      </c>
      <c r="J32" s="1">
        <v>1179</v>
      </c>
      <c r="K32" s="1">
        <v>1080</v>
      </c>
      <c r="O32" s="44" t="str">
        <f t="shared" si="10"/>
        <v>SI</v>
      </c>
      <c r="P32" s="44" t="str">
        <f t="shared" si="11"/>
        <v>SI</v>
      </c>
      <c r="Q32" s="48" t="b">
        <f t="shared" si="12"/>
        <v>1</v>
      </c>
    </row>
    <row r="33" spans="3:37" x14ac:dyDescent="0.25">
      <c r="C33" t="s">
        <v>53</v>
      </c>
      <c r="E33" s="1" t="s">
        <v>21</v>
      </c>
      <c r="F33" s="1">
        <v>994</v>
      </c>
      <c r="G33" s="1">
        <v>994</v>
      </c>
      <c r="H33" s="1">
        <v>1795</v>
      </c>
      <c r="I33" s="1">
        <v>842</v>
      </c>
      <c r="J33" s="1">
        <v>1799</v>
      </c>
      <c r="K33" s="1">
        <v>1173</v>
      </c>
      <c r="O33" s="44" t="str">
        <f t="shared" si="10"/>
        <v>SI</v>
      </c>
      <c r="P33" s="44" t="str">
        <f t="shared" si="11"/>
        <v>SI</v>
      </c>
      <c r="Q33" s="48" t="b">
        <f t="shared" si="12"/>
        <v>1</v>
      </c>
    </row>
    <row r="34" spans="3:37" s="15" customFormat="1" x14ac:dyDescent="0.25">
      <c r="E34" s="16"/>
      <c r="F34" s="16">
        <f t="shared" ref="F34:K34" si="13">SUM(F19:F33)</f>
        <v>20216</v>
      </c>
      <c r="G34" s="16">
        <f t="shared" si="13"/>
        <v>14330</v>
      </c>
      <c r="H34" s="16">
        <f t="shared" si="13"/>
        <v>22198</v>
      </c>
      <c r="I34" s="16">
        <f t="shared" si="13"/>
        <v>13108</v>
      </c>
      <c r="J34" s="16">
        <f t="shared" si="13"/>
        <v>19890</v>
      </c>
      <c r="K34" s="16">
        <f t="shared" si="13"/>
        <v>13104</v>
      </c>
      <c r="L34" s="16"/>
      <c r="M34" s="16"/>
      <c r="N34" s="16"/>
      <c r="O34" s="44" t="str">
        <f t="shared" si="10"/>
        <v>SI</v>
      </c>
      <c r="P34" s="44" t="str">
        <f t="shared" si="11"/>
        <v>SI</v>
      </c>
      <c r="Q34" s="48" t="b">
        <f t="shared" si="12"/>
        <v>1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7"/>
      <c r="AD34" s="16"/>
      <c r="AE34" s="16"/>
      <c r="AF34" s="16"/>
      <c r="AG34" s="16"/>
      <c r="AH34" s="16"/>
      <c r="AI34" s="16"/>
      <c r="AJ34" s="16"/>
      <c r="AK34" s="16"/>
    </row>
  </sheetData>
  <mergeCells count="6">
    <mergeCell ref="AD1:AF1"/>
    <mergeCell ref="AG1:AI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workbookViewId="0">
      <pane xSplit="2" ySplit="2" topLeftCell="D3" activePane="bottomRight" state="frozenSplit"/>
      <selection pane="topRight" activeCell="G1" sqref="G1"/>
      <selection pane="bottomLeft" activeCell="A12" sqref="A12"/>
      <selection pane="bottomRight" activeCell="T15" sqref="T15"/>
    </sheetView>
  </sheetViews>
  <sheetFormatPr baseColWidth="10" defaultRowHeight="15" x14ac:dyDescent="0.25"/>
  <cols>
    <col min="1" max="1" width="12.5703125" bestFit="1" customWidth="1"/>
    <col min="3" max="3" width="26.42578125" bestFit="1" customWidth="1"/>
    <col min="4" max="4" width="5.85546875" bestFit="1" customWidth="1"/>
    <col min="5" max="5" width="7.7109375" style="1" bestFit="1" customWidth="1"/>
    <col min="6" max="6" width="5.42578125" style="1" bestFit="1" customWidth="1"/>
    <col min="7" max="7" width="5" style="1" bestFit="1" customWidth="1"/>
    <col min="8" max="8" width="5.42578125" style="1" bestFit="1" customWidth="1"/>
    <col min="9" max="9" width="5" style="1" bestFit="1" customWidth="1"/>
    <col min="10" max="10" width="5.42578125" style="1" bestFit="1" customWidth="1"/>
    <col min="11" max="11" width="5" style="1" bestFit="1" customWidth="1"/>
    <col min="12" max="12" width="5.42578125" style="1" bestFit="1" customWidth="1"/>
    <col min="13" max="13" width="4.28515625" style="1" bestFit="1" customWidth="1"/>
    <col min="14" max="14" width="2.140625" style="10" customWidth="1"/>
    <col min="15" max="15" width="8.28515625" bestFit="1" customWidth="1"/>
    <col min="16" max="16" width="12.140625" style="1" bestFit="1" customWidth="1"/>
    <col min="17" max="17" width="8.28515625" style="1" bestFit="1" customWidth="1"/>
    <col min="18" max="18" width="12.42578125" style="1" bestFit="1" customWidth="1"/>
    <col min="19" max="19" width="12" style="1" bestFit="1" customWidth="1"/>
    <col min="20" max="20" width="8.42578125" style="1" bestFit="1" customWidth="1"/>
    <col min="21" max="21" width="8" style="1" bestFit="1" customWidth="1"/>
    <col min="22" max="22" width="8.85546875" style="1" bestFit="1" customWidth="1"/>
    <col min="23" max="23" width="4.5703125" style="1" bestFit="1" customWidth="1"/>
  </cols>
  <sheetData>
    <row r="1" spans="1:23" x14ac:dyDescent="0.25">
      <c r="A1" t="s">
        <v>54</v>
      </c>
      <c r="C1" t="s">
        <v>1</v>
      </c>
      <c r="F1" s="47" t="s">
        <v>6</v>
      </c>
      <c r="G1" s="47"/>
      <c r="H1" s="46" t="s">
        <v>7</v>
      </c>
      <c r="I1" s="46"/>
      <c r="J1" s="45" t="s">
        <v>8</v>
      </c>
      <c r="K1" s="45"/>
      <c r="L1" s="46" t="s">
        <v>9</v>
      </c>
      <c r="M1" s="46"/>
      <c r="N1" s="11"/>
      <c r="P1" s="45" t="s">
        <v>28</v>
      </c>
      <c r="Q1" s="45"/>
      <c r="R1" s="45"/>
      <c r="S1" s="46" t="s">
        <v>29</v>
      </c>
      <c r="T1" s="46"/>
      <c r="U1" s="46"/>
    </row>
    <row r="2" spans="1:23" x14ac:dyDescent="0.25">
      <c r="C2" s="6" t="s">
        <v>2</v>
      </c>
      <c r="D2" s="8" t="s">
        <v>4</v>
      </c>
      <c r="E2" s="3" t="s">
        <v>5</v>
      </c>
      <c r="F2" s="2" t="s">
        <v>10</v>
      </c>
      <c r="G2" s="2" t="s">
        <v>11</v>
      </c>
      <c r="H2" s="3" t="s">
        <v>10</v>
      </c>
      <c r="I2" s="3" t="s">
        <v>11</v>
      </c>
      <c r="J2" s="4" t="s">
        <v>10</v>
      </c>
      <c r="K2" s="4" t="s">
        <v>11</v>
      </c>
      <c r="L2" s="3" t="s">
        <v>10</v>
      </c>
      <c r="M2" s="3" t="s">
        <v>11</v>
      </c>
      <c r="P2" s="4" t="s">
        <v>35</v>
      </c>
      <c r="Q2" s="4" t="s">
        <v>36</v>
      </c>
      <c r="R2" s="4" t="s">
        <v>37</v>
      </c>
      <c r="S2" s="3" t="s">
        <v>32</v>
      </c>
      <c r="T2" s="3" t="s">
        <v>33</v>
      </c>
      <c r="U2" s="3" t="s">
        <v>34</v>
      </c>
      <c r="V2" s="4" t="s">
        <v>31</v>
      </c>
      <c r="W2" s="3" t="s">
        <v>30</v>
      </c>
    </row>
    <row r="3" spans="1:23" x14ac:dyDescent="0.25">
      <c r="B3" t="s">
        <v>38</v>
      </c>
      <c r="C3" t="s">
        <v>55</v>
      </c>
      <c r="D3" s="9"/>
      <c r="E3" s="1" t="s">
        <v>21</v>
      </c>
      <c r="F3" s="1">
        <v>1483</v>
      </c>
      <c r="G3" s="1">
        <v>1154</v>
      </c>
      <c r="H3" s="1">
        <v>1335</v>
      </c>
      <c r="I3" s="1">
        <v>1009</v>
      </c>
      <c r="J3" s="1">
        <v>1069</v>
      </c>
      <c r="K3" s="1">
        <v>749</v>
      </c>
      <c r="O3" s="5" t="s">
        <v>6</v>
      </c>
      <c r="P3" s="1">
        <v>90</v>
      </c>
      <c r="Q3" s="1">
        <v>7</v>
      </c>
      <c r="R3" s="1">
        <v>3</v>
      </c>
      <c r="S3" s="1">
        <v>3</v>
      </c>
      <c r="T3" s="1">
        <v>80</v>
      </c>
      <c r="U3" s="1">
        <v>17</v>
      </c>
      <c r="V3" s="1">
        <v>3.7</v>
      </c>
      <c r="W3" s="1">
        <v>4.0999999999999996</v>
      </c>
    </row>
    <row r="4" spans="1:23" x14ac:dyDescent="0.25">
      <c r="C4" t="s">
        <v>56</v>
      </c>
      <c r="E4" s="1" t="s">
        <v>20</v>
      </c>
      <c r="F4" s="1">
        <v>1702</v>
      </c>
      <c r="G4" s="1">
        <v>1155</v>
      </c>
      <c r="H4" s="1">
        <v>1436</v>
      </c>
      <c r="I4" s="1">
        <v>1048</v>
      </c>
      <c r="J4" s="1">
        <v>1002</v>
      </c>
      <c r="K4" s="1">
        <v>1148</v>
      </c>
      <c r="O4" s="7" t="s">
        <v>7</v>
      </c>
      <c r="P4" s="1">
        <v>72</v>
      </c>
      <c r="Q4" s="1">
        <v>18</v>
      </c>
      <c r="R4" s="1">
        <v>10</v>
      </c>
      <c r="S4" s="1">
        <v>14</v>
      </c>
      <c r="T4" s="1">
        <v>80</v>
      </c>
      <c r="U4" s="1">
        <v>6</v>
      </c>
      <c r="V4" s="1">
        <v>3.6</v>
      </c>
      <c r="W4" s="1">
        <v>3.7</v>
      </c>
    </row>
    <row r="5" spans="1:23" x14ac:dyDescent="0.25">
      <c r="C5" t="s">
        <v>57</v>
      </c>
      <c r="E5" s="1" t="s">
        <v>21</v>
      </c>
      <c r="F5" s="1">
        <v>1660</v>
      </c>
      <c r="G5" s="1">
        <v>1165</v>
      </c>
      <c r="H5" s="1">
        <v>1704</v>
      </c>
      <c r="I5" s="1">
        <v>1059</v>
      </c>
      <c r="J5" s="1">
        <v>1674</v>
      </c>
      <c r="K5" s="1">
        <v>1194</v>
      </c>
      <c r="O5" s="5" t="s">
        <v>8</v>
      </c>
      <c r="P5" s="1">
        <v>84</v>
      </c>
      <c r="Q5" s="1">
        <v>16</v>
      </c>
      <c r="R5" s="1">
        <v>0</v>
      </c>
      <c r="S5" s="1">
        <v>13</v>
      </c>
      <c r="T5" s="1">
        <v>69</v>
      </c>
      <c r="U5" s="1">
        <v>18</v>
      </c>
      <c r="V5" s="1">
        <v>4.0999999999999996</v>
      </c>
      <c r="W5" s="1">
        <v>3.8</v>
      </c>
    </row>
    <row r="6" spans="1:23" x14ac:dyDescent="0.25">
      <c r="C6" t="s">
        <v>58</v>
      </c>
      <c r="E6" s="1" t="s">
        <v>21</v>
      </c>
      <c r="F6" s="1">
        <v>1720</v>
      </c>
      <c r="G6" s="1">
        <v>755</v>
      </c>
      <c r="H6" s="1">
        <v>1795</v>
      </c>
      <c r="I6" s="1">
        <v>683</v>
      </c>
      <c r="J6" s="1">
        <v>1203</v>
      </c>
      <c r="K6" s="1">
        <v>1171</v>
      </c>
    </row>
    <row r="7" spans="1:23" x14ac:dyDescent="0.25">
      <c r="C7" t="s">
        <v>59</v>
      </c>
      <c r="E7" s="1" t="s">
        <v>21</v>
      </c>
      <c r="F7" s="1">
        <v>1529</v>
      </c>
      <c r="G7" s="1">
        <v>779</v>
      </c>
      <c r="H7" s="1">
        <v>1285</v>
      </c>
      <c r="I7" s="1">
        <v>730</v>
      </c>
      <c r="J7" s="1">
        <v>1508</v>
      </c>
      <c r="K7" s="1">
        <v>741</v>
      </c>
      <c r="S7" s="1">
        <f>SUM(S3:S5)</f>
        <v>30</v>
      </c>
      <c r="T7" s="1">
        <f>SUM(T3:T6)</f>
        <v>229</v>
      </c>
      <c r="U7" s="1">
        <f>SUM(U3:U6)</f>
        <v>41</v>
      </c>
    </row>
    <row r="8" spans="1:23" x14ac:dyDescent="0.25">
      <c r="C8" t="s">
        <v>60</v>
      </c>
      <c r="E8" s="1" t="s">
        <v>20</v>
      </c>
      <c r="F8" s="1">
        <v>980</v>
      </c>
      <c r="G8" s="1">
        <v>933</v>
      </c>
      <c r="H8" s="1">
        <v>1352</v>
      </c>
      <c r="I8" s="1">
        <v>781</v>
      </c>
      <c r="J8" s="1">
        <v>1751</v>
      </c>
      <c r="K8" s="1">
        <v>874</v>
      </c>
      <c r="T8" s="1">
        <f>T7+U7-S7</f>
        <v>240</v>
      </c>
      <c r="V8" s="1">
        <f>T3+U3+S3</f>
        <v>100</v>
      </c>
    </row>
    <row r="9" spans="1:23" x14ac:dyDescent="0.25">
      <c r="C9" t="s">
        <v>61</v>
      </c>
      <c r="E9" s="1" t="s">
        <v>20</v>
      </c>
      <c r="F9" s="1">
        <v>1472</v>
      </c>
      <c r="G9" s="1">
        <v>1068</v>
      </c>
      <c r="H9" s="1">
        <v>1726</v>
      </c>
      <c r="I9" s="1">
        <v>849</v>
      </c>
      <c r="J9" s="1">
        <v>1337</v>
      </c>
      <c r="K9" s="1">
        <v>661</v>
      </c>
      <c r="V9" s="1">
        <f>S4+T4+U4</f>
        <v>100</v>
      </c>
    </row>
    <row r="10" spans="1:23" x14ac:dyDescent="0.25">
      <c r="C10" t="s">
        <v>62</v>
      </c>
      <c r="E10" s="1" t="s">
        <v>21</v>
      </c>
      <c r="F10" s="1">
        <v>930</v>
      </c>
      <c r="G10" s="1">
        <v>1148</v>
      </c>
      <c r="H10" s="1">
        <v>1799</v>
      </c>
      <c r="I10" s="1">
        <v>865</v>
      </c>
      <c r="J10" s="1">
        <v>1265</v>
      </c>
      <c r="K10" s="1">
        <v>726</v>
      </c>
      <c r="V10" s="1">
        <f>U5+S5+T5</f>
        <v>100</v>
      </c>
    </row>
    <row r="11" spans="1:23" x14ac:dyDescent="0.25">
      <c r="C11" t="s">
        <v>63</v>
      </c>
      <c r="E11" s="1" t="s">
        <v>21</v>
      </c>
      <c r="F11" s="1">
        <v>934</v>
      </c>
      <c r="G11" s="1">
        <v>1100</v>
      </c>
      <c r="H11" s="1">
        <v>1226</v>
      </c>
      <c r="I11" s="1">
        <v>633</v>
      </c>
      <c r="J11" s="1">
        <v>1554</v>
      </c>
      <c r="K11" s="1">
        <v>944</v>
      </c>
    </row>
    <row r="12" spans="1:23" x14ac:dyDescent="0.25">
      <c r="C12" t="s">
        <v>64</v>
      </c>
      <c r="E12" s="1" t="s">
        <v>20</v>
      </c>
      <c r="F12" s="1">
        <v>1475</v>
      </c>
      <c r="G12" s="1">
        <v>672</v>
      </c>
      <c r="H12" s="1">
        <v>1387</v>
      </c>
      <c r="I12" s="1">
        <v>1186</v>
      </c>
      <c r="J12" s="1">
        <v>912</v>
      </c>
      <c r="K12" s="1">
        <v>656</v>
      </c>
      <c r="R12" s="1" t="s">
        <v>277</v>
      </c>
      <c r="T12" s="1">
        <f>T3+U3</f>
        <v>97</v>
      </c>
      <c r="U12" s="37">
        <v>1</v>
      </c>
    </row>
    <row r="13" spans="1:23" x14ac:dyDescent="0.25">
      <c r="C13" t="s">
        <v>65</v>
      </c>
      <c r="E13" s="1" t="s">
        <v>21</v>
      </c>
      <c r="F13" s="1">
        <v>1532</v>
      </c>
      <c r="G13" s="1">
        <v>662</v>
      </c>
      <c r="H13" s="1">
        <v>1424</v>
      </c>
      <c r="I13" s="1">
        <v>631</v>
      </c>
      <c r="J13" s="1">
        <v>975</v>
      </c>
      <c r="K13" s="1">
        <v>687</v>
      </c>
      <c r="R13" s="1">
        <v>97</v>
      </c>
      <c r="S13" s="1" t="s">
        <v>278</v>
      </c>
    </row>
    <row r="14" spans="1:23" x14ac:dyDescent="0.25">
      <c r="C14" t="s">
        <v>66</v>
      </c>
      <c r="E14" s="1" t="s">
        <v>21</v>
      </c>
      <c r="F14" s="1">
        <v>1628</v>
      </c>
      <c r="G14" s="1">
        <v>939</v>
      </c>
      <c r="H14" s="1">
        <v>1282</v>
      </c>
      <c r="I14" s="1">
        <v>727</v>
      </c>
      <c r="J14" s="1">
        <v>1722</v>
      </c>
      <c r="K14" s="1">
        <v>1138</v>
      </c>
    </row>
    <row r="15" spans="1:23" x14ac:dyDescent="0.25">
      <c r="C15" t="s">
        <v>67</v>
      </c>
      <c r="E15" s="1" t="s">
        <v>21</v>
      </c>
      <c r="F15" s="1">
        <v>1301</v>
      </c>
      <c r="G15" s="1">
        <v>660</v>
      </c>
      <c r="H15" s="1">
        <v>1347</v>
      </c>
      <c r="I15" s="1">
        <v>784</v>
      </c>
      <c r="J15" s="1">
        <v>1480</v>
      </c>
      <c r="K15" s="1">
        <v>969</v>
      </c>
      <c r="R15" s="1">
        <f>T12/100*100</f>
        <v>97</v>
      </c>
    </row>
    <row r="16" spans="1:23" x14ac:dyDescent="0.25">
      <c r="C16" t="s">
        <v>68</v>
      </c>
      <c r="E16" s="1" t="s">
        <v>21</v>
      </c>
      <c r="F16" s="1">
        <v>1255</v>
      </c>
      <c r="G16" s="1">
        <v>1116</v>
      </c>
      <c r="H16" s="1">
        <v>1056</v>
      </c>
      <c r="I16" s="1">
        <v>648</v>
      </c>
      <c r="J16" s="1">
        <v>982</v>
      </c>
      <c r="K16" s="1">
        <v>919</v>
      </c>
      <c r="R16" s="1">
        <f>R15*100</f>
        <v>9700</v>
      </c>
    </row>
    <row r="17" spans="2:23" x14ac:dyDescent="0.25">
      <c r="C17" t="s">
        <v>69</v>
      </c>
      <c r="E17" s="1" t="s">
        <v>21</v>
      </c>
      <c r="F17" s="1">
        <v>973</v>
      </c>
      <c r="G17" s="1">
        <v>678</v>
      </c>
      <c r="H17" s="1">
        <v>1411</v>
      </c>
      <c r="I17" s="1">
        <v>1192</v>
      </c>
      <c r="J17" s="1">
        <v>1749</v>
      </c>
      <c r="K17" s="1">
        <v>689</v>
      </c>
    </row>
    <row r="18" spans="2:23" x14ac:dyDescent="0.25">
      <c r="C18" t="s">
        <v>70</v>
      </c>
      <c r="E18" s="1" t="s">
        <v>21</v>
      </c>
      <c r="F18" s="1">
        <v>970</v>
      </c>
      <c r="G18" s="1">
        <v>702</v>
      </c>
      <c r="H18" s="1">
        <v>1331</v>
      </c>
      <c r="I18" s="1">
        <v>986</v>
      </c>
      <c r="J18" s="1">
        <v>950</v>
      </c>
      <c r="K18" s="1">
        <v>1129</v>
      </c>
    </row>
    <row r="19" spans="2:23" x14ac:dyDescent="0.25">
      <c r="C19" t="s">
        <v>71</v>
      </c>
      <c r="E19" s="1" t="s">
        <v>20</v>
      </c>
      <c r="F19" s="1">
        <v>1601</v>
      </c>
      <c r="G19" s="1">
        <v>912</v>
      </c>
      <c r="H19" s="1">
        <v>1586</v>
      </c>
      <c r="I19" s="1">
        <v>830</v>
      </c>
      <c r="J19" s="1">
        <v>1489</v>
      </c>
      <c r="K19" s="1">
        <v>1161</v>
      </c>
    </row>
    <row r="20" spans="2:23" x14ac:dyDescent="0.25">
      <c r="C20" t="s">
        <v>72</v>
      </c>
      <c r="E20" s="1" t="s">
        <v>21</v>
      </c>
      <c r="F20" s="1">
        <v>1136</v>
      </c>
      <c r="G20" s="1">
        <v>1025</v>
      </c>
      <c r="H20" s="1">
        <v>1119</v>
      </c>
      <c r="I20" s="1">
        <v>976</v>
      </c>
      <c r="J20" s="1">
        <v>1526</v>
      </c>
      <c r="K20" s="1">
        <v>676</v>
      </c>
    </row>
    <row r="21" spans="2:23" x14ac:dyDescent="0.25">
      <c r="C21" t="s">
        <v>73</v>
      </c>
      <c r="E21" s="1" t="s">
        <v>21</v>
      </c>
      <c r="F21" s="1">
        <v>1250</v>
      </c>
      <c r="G21" s="1">
        <v>985</v>
      </c>
      <c r="H21" s="1">
        <v>1106</v>
      </c>
      <c r="I21" s="1">
        <v>1065</v>
      </c>
      <c r="J21" s="1">
        <v>1635</v>
      </c>
      <c r="K21" s="1">
        <v>648</v>
      </c>
    </row>
    <row r="22" spans="2:23" x14ac:dyDescent="0.25">
      <c r="C22" t="s">
        <v>74</v>
      </c>
      <c r="E22" s="1" t="s">
        <v>20</v>
      </c>
      <c r="F22" s="1">
        <v>1756</v>
      </c>
      <c r="G22" s="1">
        <v>672</v>
      </c>
      <c r="H22" s="1">
        <v>1556</v>
      </c>
      <c r="I22" s="1">
        <v>919</v>
      </c>
      <c r="J22" s="1">
        <v>1471</v>
      </c>
      <c r="K22" s="1">
        <v>1096</v>
      </c>
    </row>
    <row r="23" spans="2:23" x14ac:dyDescent="0.25">
      <c r="C23" t="s">
        <v>75</v>
      </c>
      <c r="E23" s="1" t="s">
        <v>21</v>
      </c>
      <c r="F23" s="1">
        <v>1149</v>
      </c>
      <c r="G23" s="1">
        <v>876</v>
      </c>
      <c r="H23" s="1">
        <v>1745</v>
      </c>
      <c r="I23" s="1">
        <v>781</v>
      </c>
      <c r="J23" s="1">
        <v>1383</v>
      </c>
      <c r="K23" s="1">
        <v>699</v>
      </c>
    </row>
    <row r="24" spans="2:23" x14ac:dyDescent="0.25">
      <c r="C24" t="s">
        <v>76</v>
      </c>
      <c r="E24" s="1" t="s">
        <v>20</v>
      </c>
      <c r="F24" s="1">
        <v>1240</v>
      </c>
      <c r="G24" s="1">
        <v>682</v>
      </c>
      <c r="H24" s="1">
        <v>1395</v>
      </c>
      <c r="I24" s="1">
        <v>980</v>
      </c>
      <c r="J24" s="1">
        <v>1604</v>
      </c>
      <c r="K24" s="1">
        <v>868</v>
      </c>
    </row>
    <row r="25" spans="2:23" x14ac:dyDescent="0.25">
      <c r="C25" t="s">
        <v>77</v>
      </c>
      <c r="E25" s="1" t="s">
        <v>20</v>
      </c>
      <c r="F25" s="1">
        <v>1551</v>
      </c>
      <c r="G25" s="1">
        <v>619</v>
      </c>
      <c r="H25" s="1">
        <v>1694</v>
      </c>
      <c r="I25" s="1">
        <v>959</v>
      </c>
      <c r="J25" s="1">
        <v>989</v>
      </c>
      <c r="K25" s="1">
        <v>976</v>
      </c>
    </row>
    <row r="26" spans="2:23" x14ac:dyDescent="0.25">
      <c r="C26" t="s">
        <v>78</v>
      </c>
      <c r="E26" s="1" t="s">
        <v>20</v>
      </c>
      <c r="F26" s="1">
        <v>1286</v>
      </c>
      <c r="G26" s="1">
        <v>662</v>
      </c>
      <c r="H26" s="1">
        <v>1592</v>
      </c>
      <c r="I26" s="1">
        <v>891</v>
      </c>
      <c r="J26" s="1">
        <v>969</v>
      </c>
      <c r="K26" s="1">
        <v>886</v>
      </c>
    </row>
    <row r="28" spans="2:23" x14ac:dyDescent="0.25">
      <c r="B28" t="s">
        <v>161</v>
      </c>
      <c r="C28" t="s">
        <v>79</v>
      </c>
      <c r="E28" s="1" t="s">
        <v>21</v>
      </c>
      <c r="O28" s="5" t="s">
        <v>6</v>
      </c>
      <c r="P28" s="1">
        <v>87</v>
      </c>
      <c r="Q28" s="1">
        <v>8</v>
      </c>
      <c r="R28" s="1">
        <v>5</v>
      </c>
      <c r="S28" s="1">
        <v>9</v>
      </c>
      <c r="T28" s="1">
        <v>82</v>
      </c>
      <c r="U28" s="1">
        <v>9</v>
      </c>
      <c r="V28" s="1">
        <v>4.4000000000000004</v>
      </c>
      <c r="W28" s="1">
        <v>4.7</v>
      </c>
    </row>
    <row r="29" spans="2:23" x14ac:dyDescent="0.25">
      <c r="C29" t="s">
        <v>80</v>
      </c>
      <c r="E29" s="1" t="s">
        <v>21</v>
      </c>
      <c r="O29" s="7" t="s">
        <v>7</v>
      </c>
      <c r="P29" s="1">
        <v>97</v>
      </c>
      <c r="Q29" s="1">
        <v>3</v>
      </c>
      <c r="R29" s="1">
        <v>0</v>
      </c>
      <c r="S29" s="1">
        <v>6</v>
      </c>
      <c r="T29" s="1">
        <v>75</v>
      </c>
      <c r="U29" s="1">
        <v>19</v>
      </c>
      <c r="V29" s="1">
        <v>4.0999999999999996</v>
      </c>
      <c r="W29" s="1">
        <v>4.2</v>
      </c>
    </row>
    <row r="30" spans="2:23" x14ac:dyDescent="0.25">
      <c r="C30" t="s">
        <v>81</v>
      </c>
      <c r="E30" s="1" t="s">
        <v>20</v>
      </c>
      <c r="F30" s="1">
        <v>1006</v>
      </c>
      <c r="G30" s="1">
        <v>730</v>
      </c>
      <c r="H30" s="1">
        <v>1015</v>
      </c>
      <c r="I30" s="1">
        <v>1145</v>
      </c>
      <c r="O30" s="10"/>
    </row>
    <row r="31" spans="2:23" x14ac:dyDescent="0.25">
      <c r="C31" t="s">
        <v>82</v>
      </c>
      <c r="E31" s="1" t="s">
        <v>20</v>
      </c>
      <c r="F31" s="1">
        <v>1326</v>
      </c>
      <c r="G31" s="1">
        <v>839</v>
      </c>
      <c r="H31" s="1">
        <v>1503</v>
      </c>
      <c r="I31" s="1">
        <v>1007</v>
      </c>
    </row>
    <row r="32" spans="2:23" x14ac:dyDescent="0.25">
      <c r="C32" t="s">
        <v>83</v>
      </c>
      <c r="E32" s="1" t="s">
        <v>21</v>
      </c>
    </row>
    <row r="33" spans="3:9" x14ac:dyDescent="0.25">
      <c r="C33" t="s">
        <v>84</v>
      </c>
      <c r="E33" s="1" t="s">
        <v>21</v>
      </c>
    </row>
    <row r="34" spans="3:9" x14ac:dyDescent="0.25">
      <c r="C34" t="s">
        <v>85</v>
      </c>
      <c r="E34" s="1" t="s">
        <v>20</v>
      </c>
      <c r="F34" s="1">
        <v>1218</v>
      </c>
      <c r="G34" s="1">
        <v>756</v>
      </c>
      <c r="H34" s="1">
        <v>1261</v>
      </c>
      <c r="I34" s="1">
        <v>849</v>
      </c>
    </row>
    <row r="35" spans="3:9" x14ac:dyDescent="0.25">
      <c r="C35" t="s">
        <v>86</v>
      </c>
      <c r="E35" s="1" t="s">
        <v>21</v>
      </c>
    </row>
    <row r="36" spans="3:9" x14ac:dyDescent="0.25">
      <c r="C36" t="s">
        <v>87</v>
      </c>
      <c r="E36" s="1" t="s">
        <v>21</v>
      </c>
    </row>
    <row r="37" spans="3:9" x14ac:dyDescent="0.25">
      <c r="C37" t="s">
        <v>88</v>
      </c>
      <c r="E37" s="1" t="s">
        <v>20</v>
      </c>
      <c r="F37" s="1">
        <v>1035</v>
      </c>
      <c r="G37" s="1">
        <v>622</v>
      </c>
      <c r="H37" s="1">
        <v>1067</v>
      </c>
      <c r="I37" s="1">
        <v>1097</v>
      </c>
    </row>
    <row r="38" spans="3:9" x14ac:dyDescent="0.25">
      <c r="C38" t="s">
        <v>89</v>
      </c>
      <c r="E38" s="1" t="s">
        <v>21</v>
      </c>
    </row>
    <row r="39" spans="3:9" x14ac:dyDescent="0.25">
      <c r="C39" t="s">
        <v>90</v>
      </c>
      <c r="E39" s="1" t="s">
        <v>20</v>
      </c>
      <c r="F39" s="1">
        <v>1401</v>
      </c>
      <c r="G39" s="1">
        <v>754</v>
      </c>
      <c r="H39" s="1">
        <v>1501</v>
      </c>
      <c r="I39" s="1">
        <v>871</v>
      </c>
    </row>
    <row r="40" spans="3:9" x14ac:dyDescent="0.25">
      <c r="C40" t="s">
        <v>91</v>
      </c>
      <c r="E40" s="1" t="s">
        <v>21</v>
      </c>
    </row>
    <row r="41" spans="3:9" x14ac:dyDescent="0.25">
      <c r="C41" t="s">
        <v>92</v>
      </c>
      <c r="E41" s="1" t="s">
        <v>21</v>
      </c>
    </row>
    <row r="42" spans="3:9" x14ac:dyDescent="0.25">
      <c r="C42" t="s">
        <v>93</v>
      </c>
      <c r="E42" s="1" t="s">
        <v>20</v>
      </c>
      <c r="F42" s="1">
        <v>1206</v>
      </c>
      <c r="G42" s="1">
        <v>849</v>
      </c>
      <c r="H42" s="1">
        <v>1378</v>
      </c>
      <c r="I42" s="1">
        <v>942</v>
      </c>
    </row>
    <row r="43" spans="3:9" x14ac:dyDescent="0.25">
      <c r="C43" t="s">
        <v>94</v>
      </c>
      <c r="E43" s="1" t="s">
        <v>21</v>
      </c>
    </row>
    <row r="44" spans="3:9" x14ac:dyDescent="0.25">
      <c r="C44" t="s">
        <v>95</v>
      </c>
      <c r="E44" s="1" t="s">
        <v>21</v>
      </c>
    </row>
    <row r="45" spans="3:9" x14ac:dyDescent="0.25">
      <c r="C45" t="s">
        <v>96</v>
      </c>
      <c r="E45" s="1" t="s">
        <v>21</v>
      </c>
    </row>
    <row r="46" spans="3:9" x14ac:dyDescent="0.25">
      <c r="C46" t="s">
        <v>97</v>
      </c>
      <c r="E46" s="1" t="s">
        <v>21</v>
      </c>
    </row>
    <row r="47" spans="3:9" x14ac:dyDescent="0.25">
      <c r="C47" t="s">
        <v>98</v>
      </c>
      <c r="E47" s="1" t="s">
        <v>21</v>
      </c>
    </row>
    <row r="48" spans="3:9" x14ac:dyDescent="0.25">
      <c r="C48" t="s">
        <v>99</v>
      </c>
      <c r="E48" s="1" t="s">
        <v>21</v>
      </c>
    </row>
    <row r="49" spans="3:9" x14ac:dyDescent="0.25">
      <c r="C49" t="s">
        <v>100</v>
      </c>
      <c r="E49" s="1" t="s">
        <v>20</v>
      </c>
      <c r="F49" s="1">
        <v>952</v>
      </c>
      <c r="G49" s="1">
        <v>878</v>
      </c>
      <c r="H49" s="1">
        <v>1465</v>
      </c>
      <c r="I49" s="1">
        <v>637</v>
      </c>
    </row>
    <row r="50" spans="3:9" x14ac:dyDescent="0.25">
      <c r="C50" t="s">
        <v>101</v>
      </c>
      <c r="E50" s="1" t="s">
        <v>20</v>
      </c>
      <c r="F50" s="1">
        <v>1197</v>
      </c>
      <c r="G50" s="1">
        <v>1122</v>
      </c>
      <c r="H50" s="1">
        <v>1579</v>
      </c>
      <c r="I50" s="1">
        <v>1083</v>
      </c>
    </row>
    <row r="51" spans="3:9" x14ac:dyDescent="0.25">
      <c r="C51" t="s">
        <v>102</v>
      </c>
      <c r="E51" s="1" t="s">
        <v>20</v>
      </c>
      <c r="F51" s="1">
        <v>1378</v>
      </c>
      <c r="G51" s="1">
        <v>698</v>
      </c>
      <c r="H51" s="1">
        <v>1561</v>
      </c>
      <c r="I51" s="1">
        <v>1031</v>
      </c>
    </row>
    <row r="52" spans="3:9" x14ac:dyDescent="0.25">
      <c r="C52" t="s">
        <v>103</v>
      </c>
      <c r="E52" s="1" t="s">
        <v>20</v>
      </c>
      <c r="F52" s="1">
        <v>1575</v>
      </c>
      <c r="G52" s="1">
        <v>1194</v>
      </c>
      <c r="H52" s="1">
        <v>1529</v>
      </c>
      <c r="I52" s="1">
        <v>856</v>
      </c>
    </row>
    <row r="53" spans="3:9" x14ac:dyDescent="0.25">
      <c r="C53" t="s">
        <v>104</v>
      </c>
      <c r="E53" s="1" t="s">
        <v>20</v>
      </c>
      <c r="F53" s="1">
        <v>1246</v>
      </c>
      <c r="G53" s="1">
        <v>841</v>
      </c>
      <c r="H53" s="1">
        <v>1619</v>
      </c>
      <c r="I53" s="1">
        <v>957</v>
      </c>
    </row>
    <row r="54" spans="3:9" x14ac:dyDescent="0.25">
      <c r="C54" t="s">
        <v>105</v>
      </c>
      <c r="E54" s="1" t="s">
        <v>21</v>
      </c>
    </row>
    <row r="55" spans="3:9" x14ac:dyDescent="0.25">
      <c r="C55" t="s">
        <v>106</v>
      </c>
      <c r="E55" s="1" t="s">
        <v>20</v>
      </c>
      <c r="F55" s="1">
        <v>1050</v>
      </c>
      <c r="G55" s="1">
        <v>764</v>
      </c>
      <c r="H55" s="1">
        <v>1561</v>
      </c>
      <c r="I55" s="1">
        <v>624</v>
      </c>
    </row>
    <row r="56" spans="3:9" x14ac:dyDescent="0.25">
      <c r="C56" t="s">
        <v>107</v>
      </c>
      <c r="E56" s="1" t="s">
        <v>21</v>
      </c>
    </row>
    <row r="57" spans="3:9" x14ac:dyDescent="0.25">
      <c r="C57" t="s">
        <v>108</v>
      </c>
      <c r="E57" s="1" t="s">
        <v>20</v>
      </c>
      <c r="F57" s="1">
        <v>1078</v>
      </c>
      <c r="G57" s="1">
        <v>736</v>
      </c>
      <c r="H57" s="1">
        <v>1076</v>
      </c>
      <c r="I57" s="1">
        <v>1069</v>
      </c>
    </row>
    <row r="58" spans="3:9" x14ac:dyDescent="0.25">
      <c r="C58" t="s">
        <v>109</v>
      </c>
      <c r="E58" s="1" t="s">
        <v>21</v>
      </c>
    </row>
    <row r="59" spans="3:9" x14ac:dyDescent="0.25">
      <c r="C59" t="s">
        <v>110</v>
      </c>
      <c r="E59" s="1" t="s">
        <v>21</v>
      </c>
    </row>
    <row r="60" spans="3:9" x14ac:dyDescent="0.25">
      <c r="C60" t="s">
        <v>111</v>
      </c>
      <c r="E60" s="1" t="s">
        <v>20</v>
      </c>
      <c r="F60" s="1">
        <v>1782</v>
      </c>
      <c r="G60" s="1">
        <v>1113</v>
      </c>
      <c r="H60" s="1">
        <v>996</v>
      </c>
      <c r="I60" s="1">
        <v>932</v>
      </c>
    </row>
    <row r="61" spans="3:9" x14ac:dyDescent="0.25">
      <c r="C61" t="s">
        <v>112</v>
      </c>
      <c r="E61" s="1" t="s">
        <v>20</v>
      </c>
      <c r="F61" s="1">
        <v>1213</v>
      </c>
      <c r="G61" s="1">
        <v>875</v>
      </c>
      <c r="H61" s="1">
        <v>901</v>
      </c>
      <c r="I61" s="1">
        <v>747</v>
      </c>
    </row>
    <row r="62" spans="3:9" x14ac:dyDescent="0.25">
      <c r="C62" t="s">
        <v>113</v>
      </c>
      <c r="E62" s="1" t="s">
        <v>20</v>
      </c>
      <c r="F62" s="1">
        <v>968</v>
      </c>
      <c r="G62" s="1">
        <v>879</v>
      </c>
      <c r="H62" s="1">
        <v>1137</v>
      </c>
      <c r="I62" s="1">
        <v>718</v>
      </c>
    </row>
    <row r="63" spans="3:9" x14ac:dyDescent="0.25">
      <c r="C63" t="s">
        <v>114</v>
      </c>
      <c r="E63" s="1" t="s">
        <v>21</v>
      </c>
    </row>
    <row r="64" spans="3:9" x14ac:dyDescent="0.25">
      <c r="C64" t="s">
        <v>115</v>
      </c>
      <c r="E64" s="1" t="s">
        <v>20</v>
      </c>
      <c r="F64" s="1">
        <v>1533</v>
      </c>
      <c r="G64" s="1">
        <v>932</v>
      </c>
      <c r="H64" s="1">
        <v>1349</v>
      </c>
      <c r="I64" s="1">
        <v>904</v>
      </c>
    </row>
    <row r="65" spans="3:9" x14ac:dyDescent="0.25">
      <c r="C65" t="s">
        <v>116</v>
      </c>
      <c r="E65" s="1" t="s">
        <v>20</v>
      </c>
      <c r="F65" s="1">
        <v>1274</v>
      </c>
      <c r="G65" s="1">
        <v>824</v>
      </c>
      <c r="H65" s="1">
        <v>1064</v>
      </c>
      <c r="I65" s="1">
        <v>698</v>
      </c>
    </row>
    <row r="66" spans="3:9" x14ac:dyDescent="0.25">
      <c r="C66" t="s">
        <v>117</v>
      </c>
      <c r="E66" s="1" t="s">
        <v>21</v>
      </c>
    </row>
    <row r="67" spans="3:9" x14ac:dyDescent="0.25">
      <c r="C67" t="s">
        <v>118</v>
      </c>
      <c r="E67" s="1" t="s">
        <v>20</v>
      </c>
      <c r="F67" s="1">
        <v>1297</v>
      </c>
      <c r="G67" s="1">
        <v>805</v>
      </c>
      <c r="H67" s="1">
        <v>1534</v>
      </c>
      <c r="I67" s="1">
        <v>605</v>
      </c>
    </row>
    <row r="68" spans="3:9" x14ac:dyDescent="0.25">
      <c r="C68" t="s">
        <v>119</v>
      </c>
      <c r="E68" s="1" t="s">
        <v>21</v>
      </c>
    </row>
    <row r="69" spans="3:9" x14ac:dyDescent="0.25">
      <c r="C69" t="s">
        <v>120</v>
      </c>
      <c r="E69" s="1" t="s">
        <v>20</v>
      </c>
      <c r="F69" s="1">
        <v>1122</v>
      </c>
      <c r="G69" s="1">
        <v>870</v>
      </c>
      <c r="H69" s="1">
        <v>1427</v>
      </c>
      <c r="I69" s="1">
        <v>763</v>
      </c>
    </row>
    <row r="70" spans="3:9" x14ac:dyDescent="0.25">
      <c r="C70" t="s">
        <v>121</v>
      </c>
      <c r="E70" s="1" t="s">
        <v>21</v>
      </c>
    </row>
    <row r="71" spans="3:9" x14ac:dyDescent="0.25">
      <c r="C71" t="s">
        <v>122</v>
      </c>
      <c r="E71" s="1" t="s">
        <v>21</v>
      </c>
    </row>
    <row r="72" spans="3:9" x14ac:dyDescent="0.25">
      <c r="C72" t="s">
        <v>123</v>
      </c>
      <c r="E72" s="1" t="s">
        <v>20</v>
      </c>
      <c r="F72" s="1">
        <v>942</v>
      </c>
      <c r="G72" s="1">
        <v>770</v>
      </c>
      <c r="H72" s="1">
        <v>1542</v>
      </c>
      <c r="I72" s="1">
        <v>801</v>
      </c>
    </row>
    <row r="73" spans="3:9" x14ac:dyDescent="0.25">
      <c r="C73" t="s">
        <v>124</v>
      </c>
      <c r="E73" s="1" t="s">
        <v>21</v>
      </c>
    </row>
  </sheetData>
  <mergeCells count="6">
    <mergeCell ref="S1:U1"/>
    <mergeCell ref="F1:G1"/>
    <mergeCell ref="H1:I1"/>
    <mergeCell ref="J1:K1"/>
    <mergeCell ref="L1:M1"/>
    <mergeCell ref="P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workbookViewId="0">
      <pane xSplit="2" ySplit="2" topLeftCell="C31" activePane="bottomRight" state="frozenSplit"/>
      <selection pane="topRight" activeCell="F1" sqref="F1"/>
      <selection pane="bottomLeft" activeCell="A6" sqref="A6"/>
      <selection pane="bottomRight" activeCell="B51" sqref="B51"/>
    </sheetView>
  </sheetViews>
  <sheetFormatPr baseColWidth="10" defaultRowHeight="15" x14ac:dyDescent="0.25"/>
  <cols>
    <col min="1" max="1" width="12.5703125" bestFit="1" customWidth="1"/>
    <col min="3" max="3" width="21.7109375" bestFit="1" customWidth="1"/>
    <col min="4" max="4" width="5.85546875" bestFit="1" customWidth="1"/>
    <col min="5" max="5" width="7.7109375" style="1" bestFit="1" customWidth="1"/>
    <col min="6" max="6" width="5.42578125" style="1" bestFit="1" customWidth="1"/>
    <col min="7" max="7" width="5" style="1" bestFit="1" customWidth="1"/>
    <col min="8" max="8" width="5.42578125" style="1" bestFit="1" customWidth="1"/>
    <col min="9" max="9" width="5" style="1" bestFit="1" customWidth="1"/>
    <col min="10" max="10" width="5.42578125" style="1" bestFit="1" customWidth="1"/>
    <col min="11" max="11" width="5" style="1" bestFit="1" customWidth="1"/>
    <col min="12" max="12" width="5.42578125" style="1" bestFit="1" customWidth="1"/>
    <col min="13" max="13" width="5" style="1" bestFit="1" customWidth="1"/>
    <col min="14" max="14" width="2.140625" style="10" customWidth="1"/>
    <col min="15" max="15" width="8.28515625" bestFit="1" customWidth="1"/>
    <col min="16" max="16" width="12.140625" style="1" bestFit="1" customWidth="1"/>
    <col min="17" max="17" width="8.28515625" style="1" bestFit="1" customWidth="1"/>
    <col min="18" max="18" width="12.42578125" style="1" bestFit="1" customWidth="1"/>
    <col min="19" max="19" width="12" style="1" bestFit="1" customWidth="1"/>
    <col min="20" max="20" width="8.42578125" style="1" bestFit="1" customWidth="1"/>
    <col min="21" max="21" width="8" style="1" bestFit="1" customWidth="1"/>
    <col min="22" max="22" width="8.85546875" style="1" bestFit="1" customWidth="1"/>
    <col min="23" max="23" width="4.5703125" style="1" bestFit="1" customWidth="1"/>
  </cols>
  <sheetData>
    <row r="1" spans="1:23" x14ac:dyDescent="0.25">
      <c r="A1" t="s">
        <v>125</v>
      </c>
      <c r="C1" t="s">
        <v>1</v>
      </c>
      <c r="F1" s="47" t="s">
        <v>6</v>
      </c>
      <c r="G1" s="47"/>
      <c r="H1" s="46" t="s">
        <v>7</v>
      </c>
      <c r="I1" s="46"/>
      <c r="J1" s="45" t="s">
        <v>8</v>
      </c>
      <c r="K1" s="45"/>
      <c r="L1" s="46" t="s">
        <v>9</v>
      </c>
      <c r="M1" s="46"/>
      <c r="N1" s="11"/>
      <c r="P1" s="45" t="s">
        <v>28</v>
      </c>
      <c r="Q1" s="45"/>
      <c r="R1" s="45"/>
      <c r="S1" s="46" t="s">
        <v>29</v>
      </c>
      <c r="T1" s="46"/>
      <c r="U1" s="46"/>
    </row>
    <row r="2" spans="1:23" x14ac:dyDescent="0.25">
      <c r="C2" s="6" t="s">
        <v>2</v>
      </c>
      <c r="D2" s="8" t="s">
        <v>4</v>
      </c>
      <c r="E2" s="3" t="s">
        <v>5</v>
      </c>
      <c r="F2" s="2" t="s">
        <v>10</v>
      </c>
      <c r="G2" s="2" t="s">
        <v>11</v>
      </c>
      <c r="H2" s="3" t="s">
        <v>10</v>
      </c>
      <c r="I2" s="3" t="s">
        <v>11</v>
      </c>
      <c r="J2" s="4" t="s">
        <v>10</v>
      </c>
      <c r="K2" s="4" t="s">
        <v>11</v>
      </c>
      <c r="L2" s="3" t="s">
        <v>10</v>
      </c>
      <c r="M2" s="3" t="s">
        <v>11</v>
      </c>
      <c r="P2" s="4" t="s">
        <v>35</v>
      </c>
      <c r="Q2" s="4" t="s">
        <v>36</v>
      </c>
      <c r="R2" s="4" t="s">
        <v>37</v>
      </c>
      <c r="S2" s="3" t="s">
        <v>32</v>
      </c>
      <c r="T2" s="3" t="s">
        <v>33</v>
      </c>
      <c r="U2" s="3" t="s">
        <v>34</v>
      </c>
      <c r="V2" s="4" t="s">
        <v>31</v>
      </c>
      <c r="W2" s="3" t="s">
        <v>30</v>
      </c>
    </row>
    <row r="3" spans="1:23" x14ac:dyDescent="0.25">
      <c r="B3" t="s">
        <v>0</v>
      </c>
      <c r="C3" t="s">
        <v>126</v>
      </c>
      <c r="D3" s="9"/>
      <c r="E3" s="1" t="s">
        <v>20</v>
      </c>
      <c r="F3" s="1">
        <v>1127</v>
      </c>
      <c r="G3" s="1">
        <v>615</v>
      </c>
      <c r="H3" s="1">
        <v>1611</v>
      </c>
      <c r="I3" s="1">
        <v>1157</v>
      </c>
      <c r="O3" s="5" t="s">
        <v>6</v>
      </c>
      <c r="P3" s="1">
        <v>88</v>
      </c>
      <c r="Q3" s="1">
        <v>6</v>
      </c>
      <c r="R3" s="1">
        <v>6</v>
      </c>
      <c r="S3" s="1">
        <v>15</v>
      </c>
      <c r="T3" s="1">
        <v>80</v>
      </c>
      <c r="U3" s="1">
        <v>5</v>
      </c>
      <c r="V3" s="12">
        <v>4</v>
      </c>
      <c r="W3" s="1">
        <v>4.5999999999999996</v>
      </c>
    </row>
    <row r="4" spans="1:23" x14ac:dyDescent="0.25">
      <c r="C4" t="s">
        <v>127</v>
      </c>
      <c r="E4" s="1" t="s">
        <v>21</v>
      </c>
      <c r="O4" s="7" t="s">
        <v>7</v>
      </c>
      <c r="P4" s="1">
        <v>84</v>
      </c>
      <c r="Q4" s="1">
        <v>8</v>
      </c>
      <c r="R4" s="1">
        <v>8</v>
      </c>
      <c r="S4" s="1">
        <v>16</v>
      </c>
      <c r="T4" s="1">
        <v>67</v>
      </c>
      <c r="U4" s="1">
        <v>17</v>
      </c>
      <c r="V4" s="12">
        <v>4.2</v>
      </c>
      <c r="W4" s="1">
        <v>4.8</v>
      </c>
    </row>
    <row r="5" spans="1:23" x14ac:dyDescent="0.25">
      <c r="C5" t="s">
        <v>128</v>
      </c>
      <c r="E5" s="1" t="s">
        <v>21</v>
      </c>
      <c r="V5" s="12"/>
    </row>
    <row r="6" spans="1:23" x14ac:dyDescent="0.25">
      <c r="C6" t="s">
        <v>129</v>
      </c>
      <c r="E6" s="1" t="s">
        <v>21</v>
      </c>
      <c r="V6" s="12"/>
    </row>
    <row r="7" spans="1:23" x14ac:dyDescent="0.25">
      <c r="C7" t="s">
        <v>130</v>
      </c>
      <c r="E7" s="1" t="s">
        <v>21</v>
      </c>
      <c r="V7" s="12"/>
    </row>
    <row r="8" spans="1:23" x14ac:dyDescent="0.25">
      <c r="C8" t="s">
        <v>131</v>
      </c>
      <c r="E8" s="1" t="s">
        <v>20</v>
      </c>
      <c r="F8" s="1">
        <v>908</v>
      </c>
      <c r="G8" s="1">
        <v>1068</v>
      </c>
      <c r="H8" s="1">
        <v>1782</v>
      </c>
      <c r="I8" s="1">
        <v>1174</v>
      </c>
      <c r="V8" s="12"/>
    </row>
    <row r="9" spans="1:23" x14ac:dyDescent="0.25">
      <c r="C9" t="s">
        <v>132</v>
      </c>
      <c r="E9" s="1" t="s">
        <v>20</v>
      </c>
      <c r="F9" s="1">
        <v>1599</v>
      </c>
      <c r="G9" s="1">
        <v>1194</v>
      </c>
      <c r="H9" s="1">
        <v>1611</v>
      </c>
      <c r="I9" s="1">
        <v>1104</v>
      </c>
      <c r="V9" s="12"/>
    </row>
    <row r="10" spans="1:23" x14ac:dyDescent="0.25">
      <c r="C10" t="s">
        <v>133</v>
      </c>
      <c r="E10" s="1" t="s">
        <v>20</v>
      </c>
      <c r="F10" s="1">
        <v>915</v>
      </c>
      <c r="G10" s="1">
        <v>862</v>
      </c>
      <c r="H10" s="1">
        <v>1235</v>
      </c>
      <c r="I10" s="1">
        <v>1132</v>
      </c>
      <c r="V10" s="12"/>
    </row>
    <row r="11" spans="1:23" x14ac:dyDescent="0.25">
      <c r="C11" t="s">
        <v>134</v>
      </c>
      <c r="E11" s="1" t="s">
        <v>21</v>
      </c>
      <c r="V11" s="12"/>
    </row>
    <row r="12" spans="1:23" x14ac:dyDescent="0.25">
      <c r="C12" t="s">
        <v>135</v>
      </c>
      <c r="E12" s="1" t="s">
        <v>20</v>
      </c>
      <c r="F12" s="1">
        <v>1349</v>
      </c>
      <c r="G12" s="1">
        <v>1126</v>
      </c>
      <c r="H12" s="1">
        <v>1043</v>
      </c>
      <c r="I12" s="1">
        <v>1054</v>
      </c>
      <c r="V12" s="12"/>
    </row>
    <row r="13" spans="1:23" x14ac:dyDescent="0.25">
      <c r="C13" t="s">
        <v>136</v>
      </c>
      <c r="E13" s="1" t="s">
        <v>20</v>
      </c>
      <c r="F13" s="1">
        <v>1728</v>
      </c>
      <c r="G13" s="1">
        <v>980</v>
      </c>
      <c r="H13" s="1">
        <v>1526</v>
      </c>
      <c r="I13" s="1">
        <v>1028</v>
      </c>
      <c r="V13" s="12"/>
    </row>
    <row r="14" spans="1:23" x14ac:dyDescent="0.25">
      <c r="C14" t="s">
        <v>137</v>
      </c>
      <c r="E14" s="1" t="s">
        <v>21</v>
      </c>
      <c r="V14" s="12"/>
    </row>
    <row r="15" spans="1:23" x14ac:dyDescent="0.25">
      <c r="C15" t="s">
        <v>138</v>
      </c>
      <c r="E15" s="1" t="s">
        <v>21</v>
      </c>
      <c r="V15" s="12"/>
    </row>
    <row r="16" spans="1:23" x14ac:dyDescent="0.25">
      <c r="C16" t="s">
        <v>139</v>
      </c>
      <c r="E16" s="1" t="s">
        <v>21</v>
      </c>
      <c r="V16" s="12"/>
    </row>
    <row r="17" spans="3:22" x14ac:dyDescent="0.25">
      <c r="C17" t="s">
        <v>140</v>
      </c>
      <c r="E17" s="1" t="s">
        <v>20</v>
      </c>
      <c r="F17" s="1">
        <v>1084</v>
      </c>
      <c r="G17" s="1">
        <v>755</v>
      </c>
      <c r="H17" s="1">
        <v>982</v>
      </c>
      <c r="I17" s="1">
        <v>604</v>
      </c>
      <c r="V17" s="12"/>
    </row>
    <row r="18" spans="3:22" x14ac:dyDescent="0.25">
      <c r="C18" t="s">
        <v>141</v>
      </c>
      <c r="E18" s="1" t="s">
        <v>20</v>
      </c>
      <c r="F18" s="1">
        <v>1237</v>
      </c>
      <c r="G18" s="1">
        <v>838</v>
      </c>
      <c r="H18" s="1">
        <v>1514</v>
      </c>
      <c r="I18" s="1">
        <v>739</v>
      </c>
      <c r="V18" s="12"/>
    </row>
    <row r="19" spans="3:22" x14ac:dyDescent="0.25">
      <c r="C19" t="s">
        <v>142</v>
      </c>
      <c r="E19" s="1" t="s">
        <v>21</v>
      </c>
      <c r="V19" s="12"/>
    </row>
    <row r="20" spans="3:22" x14ac:dyDescent="0.25">
      <c r="C20" t="s">
        <v>143</v>
      </c>
      <c r="E20" s="1" t="s">
        <v>21</v>
      </c>
      <c r="V20" s="12"/>
    </row>
    <row r="21" spans="3:22" x14ac:dyDescent="0.25">
      <c r="C21" t="s">
        <v>144</v>
      </c>
      <c r="E21" s="1" t="s">
        <v>20</v>
      </c>
      <c r="F21" s="1">
        <v>970</v>
      </c>
      <c r="G21" s="1">
        <v>925</v>
      </c>
      <c r="H21" s="1">
        <v>1117</v>
      </c>
      <c r="I21" s="1">
        <v>936</v>
      </c>
      <c r="V21" s="12"/>
    </row>
    <row r="22" spans="3:22" x14ac:dyDescent="0.25">
      <c r="C22" t="s">
        <v>145</v>
      </c>
      <c r="E22" s="1" t="s">
        <v>21</v>
      </c>
      <c r="V22" s="12"/>
    </row>
    <row r="23" spans="3:22" x14ac:dyDescent="0.25">
      <c r="C23" t="s">
        <v>146</v>
      </c>
      <c r="E23" s="1" t="s">
        <v>21</v>
      </c>
      <c r="V23" s="12"/>
    </row>
    <row r="24" spans="3:22" x14ac:dyDescent="0.25">
      <c r="C24" t="s">
        <v>147</v>
      </c>
      <c r="E24" s="1" t="s">
        <v>21</v>
      </c>
      <c r="V24" s="12"/>
    </row>
    <row r="25" spans="3:22" x14ac:dyDescent="0.25">
      <c r="C25" t="s">
        <v>148</v>
      </c>
      <c r="E25" s="1" t="s">
        <v>20</v>
      </c>
      <c r="F25" s="1">
        <v>1482</v>
      </c>
      <c r="G25" s="1">
        <v>610</v>
      </c>
      <c r="H25" s="1">
        <v>1758</v>
      </c>
      <c r="I25" s="1">
        <v>1061</v>
      </c>
      <c r="V25" s="12"/>
    </row>
    <row r="26" spans="3:22" x14ac:dyDescent="0.25">
      <c r="C26" t="s">
        <v>149</v>
      </c>
      <c r="E26" s="1" t="s">
        <v>20</v>
      </c>
      <c r="F26" s="1">
        <v>1670</v>
      </c>
      <c r="G26" s="1">
        <v>1038</v>
      </c>
      <c r="H26" s="1">
        <v>1425</v>
      </c>
      <c r="I26" s="1">
        <v>776</v>
      </c>
      <c r="V26" s="12"/>
    </row>
    <row r="27" spans="3:22" x14ac:dyDescent="0.25">
      <c r="C27" t="s">
        <v>150</v>
      </c>
      <c r="E27" s="1" t="s">
        <v>20</v>
      </c>
      <c r="F27" s="1">
        <v>1776</v>
      </c>
      <c r="G27" s="1">
        <v>1075</v>
      </c>
      <c r="H27" s="1">
        <v>1034</v>
      </c>
      <c r="I27" s="1">
        <v>953</v>
      </c>
      <c r="V27" s="12"/>
    </row>
    <row r="28" spans="3:22" x14ac:dyDescent="0.25">
      <c r="C28" t="s">
        <v>151</v>
      </c>
      <c r="E28" s="1" t="s">
        <v>21</v>
      </c>
    </row>
    <row r="29" spans="3:22" x14ac:dyDescent="0.25">
      <c r="C29" t="s">
        <v>152</v>
      </c>
      <c r="E29" s="1" t="s">
        <v>21</v>
      </c>
    </row>
    <row r="30" spans="3:22" x14ac:dyDescent="0.25">
      <c r="C30" t="s">
        <v>153</v>
      </c>
      <c r="E30" s="1" t="s">
        <v>20</v>
      </c>
      <c r="F30" s="1">
        <v>903</v>
      </c>
      <c r="G30" s="1">
        <v>801</v>
      </c>
      <c r="H30" s="1">
        <v>1123</v>
      </c>
      <c r="I30" s="1">
        <v>600</v>
      </c>
      <c r="O30" s="10"/>
    </row>
    <row r="31" spans="3:22" x14ac:dyDescent="0.25">
      <c r="C31" t="s">
        <v>154</v>
      </c>
      <c r="E31" s="1" t="s">
        <v>20</v>
      </c>
      <c r="F31" s="1">
        <v>1213</v>
      </c>
      <c r="G31" s="1">
        <v>1068</v>
      </c>
      <c r="H31" s="1">
        <v>1560</v>
      </c>
      <c r="I31" s="1">
        <v>1180</v>
      </c>
    </row>
    <row r="32" spans="3:22" x14ac:dyDescent="0.25">
      <c r="C32" t="s">
        <v>155</v>
      </c>
      <c r="E32" s="1" t="s">
        <v>21</v>
      </c>
    </row>
    <row r="33" spans="2:23" x14ac:dyDescent="0.25">
      <c r="C33" t="s">
        <v>156</v>
      </c>
      <c r="E33" s="1" t="s">
        <v>21</v>
      </c>
    </row>
    <row r="34" spans="2:23" x14ac:dyDescent="0.25">
      <c r="C34" t="s">
        <v>157</v>
      </c>
      <c r="E34" s="1" t="s">
        <v>20</v>
      </c>
      <c r="F34" s="1">
        <v>1740</v>
      </c>
      <c r="G34" s="1">
        <v>708</v>
      </c>
      <c r="H34" s="1">
        <v>1406</v>
      </c>
      <c r="I34" s="1">
        <v>846</v>
      </c>
    </row>
    <row r="35" spans="2:23" x14ac:dyDescent="0.25">
      <c r="C35" t="s">
        <v>158</v>
      </c>
      <c r="E35" s="1" t="s">
        <v>21</v>
      </c>
    </row>
    <row r="36" spans="2:23" x14ac:dyDescent="0.25">
      <c r="C36" t="s">
        <v>159</v>
      </c>
      <c r="E36" s="1" t="s">
        <v>20</v>
      </c>
      <c r="F36" s="1">
        <v>1766</v>
      </c>
      <c r="G36" s="1">
        <v>652</v>
      </c>
      <c r="H36" s="1">
        <v>1377</v>
      </c>
      <c r="I36" s="1">
        <v>790</v>
      </c>
    </row>
    <row r="37" spans="2:23" x14ac:dyDescent="0.25">
      <c r="C37" t="s">
        <v>160</v>
      </c>
      <c r="E37" s="1" t="s">
        <v>21</v>
      </c>
    </row>
    <row r="39" spans="2:23" x14ac:dyDescent="0.25">
      <c r="B39" t="s">
        <v>38</v>
      </c>
      <c r="C39" t="s">
        <v>162</v>
      </c>
      <c r="E39" s="1" t="s">
        <v>20</v>
      </c>
      <c r="F39" s="1">
        <v>1175</v>
      </c>
      <c r="G39" s="1">
        <v>623</v>
      </c>
      <c r="H39" s="1">
        <v>1316</v>
      </c>
      <c r="I39" s="1">
        <v>1056</v>
      </c>
      <c r="J39" s="1">
        <v>1719</v>
      </c>
      <c r="K39" s="1">
        <v>819</v>
      </c>
      <c r="L39" s="1">
        <v>1667</v>
      </c>
      <c r="M39" s="1">
        <v>810</v>
      </c>
      <c r="O39" s="5" t="s">
        <v>6</v>
      </c>
      <c r="P39" s="1">
        <v>74</v>
      </c>
      <c r="Q39" s="1">
        <v>16</v>
      </c>
      <c r="R39" s="1">
        <v>10</v>
      </c>
      <c r="S39" s="1">
        <v>13</v>
      </c>
      <c r="T39" s="1">
        <v>78</v>
      </c>
      <c r="U39" s="1">
        <v>9</v>
      </c>
      <c r="V39" s="1">
        <v>4</v>
      </c>
      <c r="W39" s="1">
        <v>4.5999999999999996</v>
      </c>
    </row>
    <row r="40" spans="2:23" x14ac:dyDescent="0.25">
      <c r="C40" t="s">
        <v>163</v>
      </c>
      <c r="E40" s="1" t="s">
        <v>21</v>
      </c>
      <c r="O40" s="7" t="s">
        <v>7</v>
      </c>
      <c r="P40" s="1">
        <v>78</v>
      </c>
      <c r="Q40" s="1">
        <v>14</v>
      </c>
      <c r="R40" s="1">
        <v>8</v>
      </c>
      <c r="S40" s="1">
        <v>13</v>
      </c>
      <c r="T40" s="1">
        <v>81</v>
      </c>
      <c r="U40" s="1">
        <v>6</v>
      </c>
      <c r="V40" s="12">
        <v>3.7</v>
      </c>
      <c r="W40" s="1">
        <v>3.5</v>
      </c>
    </row>
    <row r="41" spans="2:23" x14ac:dyDescent="0.25">
      <c r="C41" t="s">
        <v>164</v>
      </c>
      <c r="E41" s="1" t="s">
        <v>20</v>
      </c>
      <c r="F41" s="1">
        <v>1288</v>
      </c>
      <c r="G41" s="1">
        <v>735</v>
      </c>
      <c r="H41" s="1">
        <v>1101</v>
      </c>
      <c r="I41" s="1">
        <v>915</v>
      </c>
      <c r="J41" s="1">
        <v>1676</v>
      </c>
      <c r="K41" s="1">
        <v>866</v>
      </c>
      <c r="L41" s="1">
        <v>1535</v>
      </c>
      <c r="M41" s="1">
        <v>1066</v>
      </c>
      <c r="O41" s="5" t="s">
        <v>6</v>
      </c>
      <c r="P41" s="1">
        <v>79</v>
      </c>
      <c r="Q41" s="1">
        <v>15</v>
      </c>
      <c r="R41" s="1">
        <v>6</v>
      </c>
      <c r="S41" s="1">
        <v>9</v>
      </c>
      <c r="T41" s="1">
        <v>83</v>
      </c>
      <c r="U41" s="1">
        <v>8</v>
      </c>
      <c r="V41" s="1">
        <v>4</v>
      </c>
      <c r="W41" s="1">
        <v>4.3</v>
      </c>
    </row>
    <row r="42" spans="2:23" x14ac:dyDescent="0.25">
      <c r="C42" t="s">
        <v>165</v>
      </c>
      <c r="E42" s="1" t="s">
        <v>21</v>
      </c>
      <c r="O42" s="7" t="s">
        <v>7</v>
      </c>
      <c r="P42" s="1">
        <v>70</v>
      </c>
      <c r="Q42" s="1">
        <v>25</v>
      </c>
      <c r="R42" s="1">
        <v>5</v>
      </c>
      <c r="S42" s="1">
        <v>20</v>
      </c>
      <c r="T42" s="1">
        <v>70</v>
      </c>
      <c r="U42" s="1">
        <v>10</v>
      </c>
      <c r="V42" s="1">
        <v>3.5</v>
      </c>
      <c r="W42" s="1">
        <v>4.2</v>
      </c>
    </row>
    <row r="43" spans="2:23" x14ac:dyDescent="0.25">
      <c r="C43" t="s">
        <v>166</v>
      </c>
      <c r="E43" s="1" t="s">
        <v>20</v>
      </c>
      <c r="F43" s="1">
        <v>1712</v>
      </c>
      <c r="G43" s="1">
        <v>683</v>
      </c>
      <c r="H43" s="1">
        <v>966</v>
      </c>
      <c r="I43" s="1">
        <v>990</v>
      </c>
      <c r="J43" s="1">
        <v>1198</v>
      </c>
      <c r="K43" s="1">
        <v>1041</v>
      </c>
      <c r="L43" s="1">
        <v>1408</v>
      </c>
      <c r="M43" s="1">
        <v>693</v>
      </c>
    </row>
    <row r="44" spans="2:23" x14ac:dyDescent="0.25">
      <c r="C44" t="s">
        <v>167</v>
      </c>
      <c r="E44" s="1" t="s">
        <v>20</v>
      </c>
      <c r="F44" s="1">
        <v>1157</v>
      </c>
      <c r="G44" s="1">
        <v>1007</v>
      </c>
      <c r="H44" s="1">
        <v>1686</v>
      </c>
      <c r="I44" s="1">
        <v>875</v>
      </c>
      <c r="J44" s="1">
        <v>1215</v>
      </c>
      <c r="K44" s="1">
        <v>988</v>
      </c>
      <c r="L44" s="1">
        <v>1022</v>
      </c>
      <c r="M44" s="1">
        <v>978</v>
      </c>
    </row>
    <row r="45" spans="2:23" x14ac:dyDescent="0.25">
      <c r="C45" t="s">
        <v>168</v>
      </c>
      <c r="E45" s="1" t="s">
        <v>20</v>
      </c>
      <c r="F45" s="1">
        <v>1139</v>
      </c>
      <c r="G45" s="1">
        <v>714</v>
      </c>
      <c r="H45" s="1">
        <v>968</v>
      </c>
      <c r="I45" s="1">
        <v>1060</v>
      </c>
      <c r="J45" s="1">
        <v>1008</v>
      </c>
      <c r="K45" s="1">
        <v>919</v>
      </c>
      <c r="L45" s="1">
        <v>1497</v>
      </c>
      <c r="M45" s="1">
        <v>703</v>
      </c>
    </row>
    <row r="46" spans="2:23" x14ac:dyDescent="0.25">
      <c r="C46" t="s">
        <v>169</v>
      </c>
      <c r="E46" s="1" t="s">
        <v>20</v>
      </c>
      <c r="F46" s="1">
        <v>1290</v>
      </c>
      <c r="G46" s="1">
        <v>1117</v>
      </c>
      <c r="H46" s="1">
        <v>1223</v>
      </c>
      <c r="I46" s="1">
        <v>1181</v>
      </c>
      <c r="J46" s="1">
        <v>1735</v>
      </c>
      <c r="K46" s="1">
        <v>1031</v>
      </c>
      <c r="L46" s="1">
        <v>984</v>
      </c>
      <c r="M46" s="1">
        <v>1038</v>
      </c>
    </row>
    <row r="47" spans="2:23" x14ac:dyDescent="0.25">
      <c r="C47" t="s">
        <v>170</v>
      </c>
      <c r="E47" s="1" t="s">
        <v>20</v>
      </c>
      <c r="F47" s="1">
        <v>1076</v>
      </c>
      <c r="G47" s="1">
        <v>995</v>
      </c>
      <c r="H47" s="1">
        <v>1695</v>
      </c>
      <c r="I47" s="1">
        <v>682</v>
      </c>
      <c r="J47" s="1">
        <v>906</v>
      </c>
      <c r="K47" s="1">
        <v>706</v>
      </c>
      <c r="L47" s="1">
        <v>1179</v>
      </c>
      <c r="M47" s="1">
        <v>1173</v>
      </c>
    </row>
    <row r="48" spans="2:23" x14ac:dyDescent="0.25">
      <c r="C48" t="s">
        <v>171</v>
      </c>
      <c r="E48" s="1" t="s">
        <v>20</v>
      </c>
      <c r="F48" s="1">
        <v>1403</v>
      </c>
      <c r="G48" s="1">
        <v>662</v>
      </c>
      <c r="H48" s="1">
        <v>943</v>
      </c>
      <c r="I48" s="1">
        <v>948</v>
      </c>
      <c r="J48" s="1">
        <v>1191</v>
      </c>
      <c r="K48" s="1">
        <v>721</v>
      </c>
      <c r="L48" s="1">
        <v>1243</v>
      </c>
      <c r="M48" s="1">
        <v>618</v>
      </c>
    </row>
    <row r="49" spans="2:23" x14ac:dyDescent="0.25">
      <c r="C49" t="s">
        <v>172</v>
      </c>
      <c r="E49" s="1" t="s">
        <v>20</v>
      </c>
      <c r="F49" s="1">
        <v>1480</v>
      </c>
      <c r="G49" s="1">
        <v>1000</v>
      </c>
      <c r="H49" s="1">
        <v>1297</v>
      </c>
      <c r="I49" s="1">
        <v>1185</v>
      </c>
      <c r="J49" s="1">
        <v>1678</v>
      </c>
      <c r="K49" s="1">
        <v>825</v>
      </c>
      <c r="L49" s="1">
        <v>1226</v>
      </c>
      <c r="M49" s="1">
        <v>1014</v>
      </c>
    </row>
    <row r="50" spans="2:23" x14ac:dyDescent="0.25">
      <c r="C50" t="s">
        <v>173</v>
      </c>
      <c r="E50" s="1" t="s">
        <v>20</v>
      </c>
      <c r="F50" s="1">
        <v>997</v>
      </c>
      <c r="G50" s="1">
        <v>631</v>
      </c>
      <c r="H50" s="1">
        <v>1034</v>
      </c>
      <c r="I50" s="1">
        <v>712</v>
      </c>
      <c r="J50" s="1">
        <v>1370</v>
      </c>
      <c r="K50" s="1">
        <v>711</v>
      </c>
      <c r="L50" s="1">
        <v>1607</v>
      </c>
      <c r="M50" s="1">
        <v>911</v>
      </c>
    </row>
    <row r="51" spans="2:23" x14ac:dyDescent="0.25">
      <c r="C51" t="s">
        <v>174</v>
      </c>
      <c r="E51" s="1" t="s">
        <v>20</v>
      </c>
      <c r="F51" s="1">
        <v>1648</v>
      </c>
      <c r="G51" s="1">
        <v>959</v>
      </c>
      <c r="H51" s="1">
        <v>1351</v>
      </c>
      <c r="I51" s="1">
        <v>1059</v>
      </c>
      <c r="J51" s="1">
        <v>1103</v>
      </c>
      <c r="K51" s="1">
        <v>945</v>
      </c>
      <c r="L51" s="1">
        <v>1274</v>
      </c>
      <c r="M51" s="1">
        <v>814</v>
      </c>
    </row>
    <row r="52" spans="2:23" x14ac:dyDescent="0.25">
      <c r="C52" t="s">
        <v>175</v>
      </c>
      <c r="E52" s="1" t="s">
        <v>21</v>
      </c>
    </row>
    <row r="53" spans="2:23" x14ac:dyDescent="0.25">
      <c r="C53" t="s">
        <v>176</v>
      </c>
      <c r="E53" s="1" t="s">
        <v>21</v>
      </c>
    </row>
    <row r="54" spans="2:23" x14ac:dyDescent="0.25">
      <c r="C54" t="s">
        <v>177</v>
      </c>
      <c r="E54" s="1" t="s">
        <v>20</v>
      </c>
      <c r="F54" s="1">
        <v>1713</v>
      </c>
      <c r="G54" s="1">
        <v>918</v>
      </c>
      <c r="H54" s="1">
        <v>1023</v>
      </c>
      <c r="I54" s="1">
        <v>949</v>
      </c>
      <c r="J54" s="1">
        <v>1160</v>
      </c>
      <c r="K54" s="1">
        <v>1021</v>
      </c>
      <c r="L54" s="1">
        <v>1788</v>
      </c>
      <c r="M54" s="1">
        <v>1170</v>
      </c>
    </row>
    <row r="55" spans="2:23" x14ac:dyDescent="0.25">
      <c r="C55" t="s">
        <v>178</v>
      </c>
      <c r="E55" s="1" t="s">
        <v>21</v>
      </c>
    </row>
    <row r="57" spans="2:23" x14ac:dyDescent="0.25">
      <c r="B57" t="s">
        <v>161</v>
      </c>
      <c r="C57" t="s">
        <v>179</v>
      </c>
      <c r="E57" s="1" t="s">
        <v>21</v>
      </c>
      <c r="O57" s="5" t="s">
        <v>6</v>
      </c>
      <c r="P57" s="1">
        <v>94</v>
      </c>
      <c r="Q57" s="1">
        <v>6</v>
      </c>
      <c r="R57" s="1">
        <v>0</v>
      </c>
      <c r="S57" s="1">
        <v>15</v>
      </c>
      <c r="T57" s="1">
        <v>70</v>
      </c>
      <c r="U57" s="1">
        <v>15</v>
      </c>
      <c r="V57" s="1">
        <v>4.8</v>
      </c>
      <c r="W57" s="1">
        <v>4.3</v>
      </c>
    </row>
    <row r="58" spans="2:23" x14ac:dyDescent="0.25">
      <c r="C58" t="s">
        <v>180</v>
      </c>
      <c r="E58" s="1" t="s">
        <v>20</v>
      </c>
      <c r="F58" s="1">
        <v>1131</v>
      </c>
      <c r="G58" s="1">
        <v>651</v>
      </c>
      <c r="H58" s="1">
        <v>1750</v>
      </c>
      <c r="I58" s="1">
        <v>989</v>
      </c>
      <c r="O58" s="7" t="s">
        <v>7</v>
      </c>
      <c r="P58" s="1">
        <v>71</v>
      </c>
      <c r="Q58" s="1">
        <v>13</v>
      </c>
      <c r="R58" s="1">
        <v>16</v>
      </c>
      <c r="S58" s="1">
        <v>6</v>
      </c>
      <c r="T58" s="1">
        <v>90</v>
      </c>
      <c r="U58" s="1">
        <v>4</v>
      </c>
      <c r="V58" s="1">
        <v>3.2</v>
      </c>
      <c r="W58" s="1">
        <v>4.7</v>
      </c>
    </row>
    <row r="59" spans="2:23" x14ac:dyDescent="0.25">
      <c r="C59" t="s">
        <v>181</v>
      </c>
      <c r="E59" s="1" t="s">
        <v>21</v>
      </c>
    </row>
    <row r="60" spans="2:23" x14ac:dyDescent="0.25">
      <c r="C60" t="s">
        <v>182</v>
      </c>
      <c r="E60" s="1" t="s">
        <v>21</v>
      </c>
    </row>
    <row r="61" spans="2:23" x14ac:dyDescent="0.25">
      <c r="C61" t="s">
        <v>183</v>
      </c>
      <c r="E61" s="1" t="s">
        <v>20</v>
      </c>
      <c r="F61" s="1">
        <v>1359</v>
      </c>
      <c r="G61" s="1">
        <v>963</v>
      </c>
      <c r="H61" s="1">
        <v>1398</v>
      </c>
      <c r="I61" s="1">
        <v>618</v>
      </c>
    </row>
    <row r="62" spans="2:23" x14ac:dyDescent="0.25">
      <c r="C62" t="s">
        <v>184</v>
      </c>
      <c r="E62" s="1" t="s">
        <v>20</v>
      </c>
      <c r="F62" s="1">
        <v>1282</v>
      </c>
      <c r="G62" s="1">
        <v>1014</v>
      </c>
      <c r="H62" s="1">
        <v>1627</v>
      </c>
      <c r="I62" s="1">
        <v>919</v>
      </c>
    </row>
    <row r="63" spans="2:23" x14ac:dyDescent="0.25">
      <c r="C63" t="s">
        <v>185</v>
      </c>
      <c r="E63" s="1" t="s">
        <v>21</v>
      </c>
    </row>
    <row r="64" spans="2:23" x14ac:dyDescent="0.25">
      <c r="C64" t="s">
        <v>186</v>
      </c>
      <c r="E64" s="1" t="s">
        <v>21</v>
      </c>
    </row>
    <row r="65" spans="3:9" x14ac:dyDescent="0.25">
      <c r="C65" t="s">
        <v>187</v>
      </c>
      <c r="E65" s="1" t="s">
        <v>20</v>
      </c>
      <c r="F65" s="1">
        <v>1692</v>
      </c>
      <c r="G65" s="1">
        <v>927</v>
      </c>
      <c r="H65" s="1">
        <v>1214</v>
      </c>
      <c r="I65" s="1">
        <v>779</v>
      </c>
    </row>
    <row r="66" spans="3:9" x14ac:dyDescent="0.25">
      <c r="C66" t="s">
        <v>188</v>
      </c>
      <c r="E66" s="1" t="s">
        <v>20</v>
      </c>
      <c r="F66" s="1">
        <v>1080</v>
      </c>
      <c r="G66" s="1">
        <v>650</v>
      </c>
      <c r="H66" s="1">
        <v>1241</v>
      </c>
      <c r="I66" s="1">
        <v>712</v>
      </c>
    </row>
    <row r="67" spans="3:9" x14ac:dyDescent="0.25">
      <c r="C67" t="s">
        <v>189</v>
      </c>
      <c r="E67" s="1" t="s">
        <v>21</v>
      </c>
    </row>
    <row r="68" spans="3:9" x14ac:dyDescent="0.25">
      <c r="C68" t="s">
        <v>190</v>
      </c>
      <c r="E68" s="1" t="s">
        <v>21</v>
      </c>
    </row>
    <row r="69" spans="3:9" x14ac:dyDescent="0.25">
      <c r="C69" t="s">
        <v>191</v>
      </c>
      <c r="E69" s="1" t="s">
        <v>21</v>
      </c>
    </row>
    <row r="70" spans="3:9" x14ac:dyDescent="0.25">
      <c r="C70" t="s">
        <v>192</v>
      </c>
      <c r="E70" s="1" t="s">
        <v>20</v>
      </c>
      <c r="F70" s="1">
        <v>1663</v>
      </c>
      <c r="G70" s="1">
        <v>975</v>
      </c>
      <c r="H70" s="1">
        <v>1622</v>
      </c>
      <c r="I70" s="1">
        <v>754</v>
      </c>
    </row>
  </sheetData>
  <mergeCells count="6">
    <mergeCell ref="S1:U1"/>
    <mergeCell ref="F1:G1"/>
    <mergeCell ref="H1:I1"/>
    <mergeCell ref="J1:K1"/>
    <mergeCell ref="L1:M1"/>
    <mergeCell ref="P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workbookViewId="0">
      <pane xSplit="2" ySplit="2" topLeftCell="C3" activePane="bottomRight" state="frozenSplit"/>
      <selection pane="topRight" activeCell="C1" sqref="C1"/>
      <selection pane="bottomLeft" activeCell="A3" sqref="A3"/>
      <selection pane="bottomRight" activeCell="A4" sqref="A4"/>
    </sheetView>
  </sheetViews>
  <sheetFormatPr baseColWidth="10" defaultRowHeight="15" x14ac:dyDescent="0.25"/>
  <cols>
    <col min="1" max="1" width="12.5703125" bestFit="1" customWidth="1"/>
    <col min="3" max="3" width="20.28515625" bestFit="1" customWidth="1"/>
    <col min="4" max="4" width="5.85546875" bestFit="1" customWidth="1"/>
    <col min="5" max="5" width="7.7109375" style="1" bestFit="1" customWidth="1"/>
    <col min="6" max="6" width="5.42578125" style="1" bestFit="1" customWidth="1"/>
    <col min="7" max="7" width="5" style="1" bestFit="1" customWidth="1"/>
    <col min="8" max="8" width="5.42578125" style="1" bestFit="1" customWidth="1"/>
    <col min="9" max="9" width="5" style="1" bestFit="1" customWidth="1"/>
    <col min="10" max="10" width="5.42578125" style="1" bestFit="1" customWidth="1"/>
    <col min="11" max="11" width="5" style="1" bestFit="1" customWidth="1"/>
    <col min="12" max="12" width="5.42578125" style="1" bestFit="1" customWidth="1"/>
    <col min="13" max="13" width="4.28515625" style="1" bestFit="1" customWidth="1"/>
    <col min="14" max="14" width="4.28515625" style="1" customWidth="1"/>
    <col min="15" max="15" width="5" style="1" bestFit="1" customWidth="1"/>
    <col min="16" max="17" width="4.28515625" style="1" customWidth="1"/>
    <col min="18" max="18" width="9.42578125" style="1" bestFit="1" customWidth="1"/>
    <col min="19" max="19" width="8.42578125" style="1" bestFit="1" customWidth="1"/>
    <col min="20" max="20" width="9" style="1" customWidth="1"/>
    <col min="21" max="21" width="4.28515625" style="1" customWidth="1"/>
    <col min="22" max="22" width="3.85546875" customWidth="1"/>
    <col min="23" max="23" width="8.28515625" bestFit="1" customWidth="1"/>
    <col min="24" max="24" width="12.140625" style="1" bestFit="1" customWidth="1"/>
    <col min="25" max="25" width="8.28515625" style="1" bestFit="1" customWidth="1"/>
    <col min="26" max="26" width="12.42578125" style="1" bestFit="1" customWidth="1"/>
    <col min="27" max="27" width="12" style="1" bestFit="1" customWidth="1"/>
    <col min="28" max="28" width="8.42578125" style="1" bestFit="1" customWidth="1"/>
    <col min="29" max="29" width="8" style="1" bestFit="1" customWidth="1"/>
    <col min="30" max="30" width="8.85546875" style="12" bestFit="1" customWidth="1"/>
    <col min="31" max="31" width="4.5703125" style="1" bestFit="1" customWidth="1"/>
  </cols>
  <sheetData>
    <row r="1" spans="1:33" x14ac:dyDescent="0.25">
      <c r="A1" t="s">
        <v>193</v>
      </c>
      <c r="C1" t="s">
        <v>1</v>
      </c>
      <c r="F1" s="47" t="s">
        <v>6</v>
      </c>
      <c r="G1" s="47"/>
      <c r="H1" s="46" t="s">
        <v>7</v>
      </c>
      <c r="I1" s="46"/>
      <c r="J1" s="45" t="s">
        <v>8</v>
      </c>
      <c r="K1" s="45"/>
      <c r="L1" s="46" t="s">
        <v>9</v>
      </c>
      <c r="M1" s="46"/>
      <c r="N1" s="13"/>
      <c r="O1" s="13"/>
      <c r="P1" s="13"/>
      <c r="Q1" s="13"/>
      <c r="R1" s="13"/>
      <c r="S1" s="13"/>
      <c r="T1" s="13"/>
      <c r="U1" s="13"/>
      <c r="X1" s="45" t="s">
        <v>28</v>
      </c>
      <c r="Y1" s="45"/>
      <c r="Z1" s="45"/>
      <c r="AA1" s="46" t="s">
        <v>29</v>
      </c>
      <c r="AB1" s="46"/>
      <c r="AC1" s="46"/>
      <c r="AD1" s="1"/>
    </row>
    <row r="2" spans="1:33" x14ac:dyDescent="0.25">
      <c r="B2" t="s">
        <v>0</v>
      </c>
      <c r="C2" s="6" t="s">
        <v>2</v>
      </c>
      <c r="D2" s="8" t="s">
        <v>4</v>
      </c>
      <c r="E2" s="3" t="s">
        <v>5</v>
      </c>
      <c r="F2" s="2" t="s">
        <v>10</v>
      </c>
      <c r="G2" s="2" t="s">
        <v>11</v>
      </c>
      <c r="H2" s="3" t="s">
        <v>10</v>
      </c>
      <c r="I2" s="3" t="s">
        <v>11</v>
      </c>
      <c r="J2" s="4" t="s">
        <v>10</v>
      </c>
      <c r="K2" s="4" t="s">
        <v>11</v>
      </c>
      <c r="L2" s="3" t="s">
        <v>10</v>
      </c>
      <c r="M2" s="3" t="s">
        <v>11</v>
      </c>
      <c r="N2" s="13"/>
      <c r="O2" s="13"/>
      <c r="P2" s="13"/>
      <c r="Q2" s="13"/>
      <c r="R2" s="13"/>
      <c r="S2" s="13"/>
      <c r="T2" s="13"/>
      <c r="U2" s="13"/>
      <c r="X2" s="4" t="s">
        <v>35</v>
      </c>
      <c r="Y2" s="4" t="s">
        <v>36</v>
      </c>
      <c r="Z2" s="4" t="s">
        <v>37</v>
      </c>
      <c r="AA2" s="3" t="s">
        <v>32</v>
      </c>
      <c r="AB2" s="3" t="s">
        <v>33</v>
      </c>
      <c r="AC2" s="3" t="s">
        <v>34</v>
      </c>
      <c r="AD2" s="4" t="s">
        <v>31</v>
      </c>
      <c r="AE2" s="3" t="s">
        <v>30</v>
      </c>
    </row>
    <row r="3" spans="1:33" x14ac:dyDescent="0.25">
      <c r="A3">
        <f>COUNTA(E3:E98)</f>
        <v>93</v>
      </c>
      <c r="B3" t="s">
        <v>276</v>
      </c>
      <c r="C3" t="s">
        <v>194</v>
      </c>
      <c r="D3" s="9"/>
      <c r="E3" s="1" t="s">
        <v>21</v>
      </c>
      <c r="R3" s="1" t="e">
        <f>AVERAGE(F3,H3,J3,L3)</f>
        <v>#DIV/0!</v>
      </c>
      <c r="S3" s="1" t="e">
        <f>AVERAGE(G3,I3,K3,M3)</f>
        <v>#DIV/0!</v>
      </c>
      <c r="W3" s="5" t="s">
        <v>6</v>
      </c>
      <c r="X3" s="1">
        <v>81</v>
      </c>
      <c r="Y3" s="1">
        <v>10</v>
      </c>
      <c r="Z3" s="1">
        <v>9</v>
      </c>
      <c r="AA3" s="1">
        <v>0</v>
      </c>
      <c r="AB3" s="1">
        <v>90</v>
      </c>
      <c r="AC3" s="1">
        <v>10</v>
      </c>
      <c r="AD3" s="12">
        <v>4.4000000000000004</v>
      </c>
      <c r="AE3" s="1">
        <v>4.5</v>
      </c>
    </row>
    <row r="4" spans="1:33" x14ac:dyDescent="0.25">
      <c r="A4">
        <f>COUNTIF(E3:E98,"T")</f>
        <v>43</v>
      </c>
      <c r="B4" t="s">
        <v>275</v>
      </c>
      <c r="C4" t="s">
        <v>195</v>
      </c>
      <c r="E4" s="1" t="s">
        <v>21</v>
      </c>
      <c r="R4" s="1" t="e">
        <f t="shared" ref="R4:R13" si="0">AVERAGE(F4,H4,J4,L4)</f>
        <v>#DIV/0!</v>
      </c>
      <c r="S4" s="1" t="e">
        <f t="shared" ref="S4:S13" si="1">AVERAGE(G4,I4,K4,M4)</f>
        <v>#DIV/0!</v>
      </c>
      <c r="W4" s="7" t="s">
        <v>7</v>
      </c>
      <c r="X4" s="1">
        <v>97</v>
      </c>
      <c r="Y4" s="1">
        <v>3</v>
      </c>
      <c r="Z4" s="1">
        <v>0</v>
      </c>
      <c r="AA4" s="1">
        <v>17</v>
      </c>
      <c r="AB4" s="1">
        <v>80</v>
      </c>
      <c r="AC4" s="1">
        <v>3</v>
      </c>
      <c r="AD4" s="12">
        <v>4.5</v>
      </c>
      <c r="AE4" s="1">
        <v>4</v>
      </c>
    </row>
    <row r="5" spans="1:33" x14ac:dyDescent="0.25">
      <c r="A5">
        <f>COUNTA(E3:E13)</f>
        <v>11</v>
      </c>
      <c r="B5" t="s">
        <v>0</v>
      </c>
      <c r="C5" t="s">
        <v>196</v>
      </c>
      <c r="E5" s="1" t="s">
        <v>21</v>
      </c>
      <c r="R5" s="1" t="e">
        <f t="shared" si="0"/>
        <v>#DIV/0!</v>
      </c>
      <c r="S5" s="1" t="e">
        <f t="shared" si="1"/>
        <v>#DIV/0!</v>
      </c>
      <c r="W5" s="5" t="s">
        <v>8</v>
      </c>
      <c r="X5" s="1">
        <v>77</v>
      </c>
      <c r="Y5" s="1">
        <v>12</v>
      </c>
      <c r="Z5" s="1">
        <v>1</v>
      </c>
      <c r="AA5" s="1">
        <v>8</v>
      </c>
      <c r="AB5" s="1">
        <v>80</v>
      </c>
      <c r="AC5" s="1">
        <v>2</v>
      </c>
      <c r="AD5" s="12">
        <v>3.7</v>
      </c>
      <c r="AE5" s="1">
        <v>4.2</v>
      </c>
    </row>
    <row r="6" spans="1:33" x14ac:dyDescent="0.25">
      <c r="A6">
        <f>COUNTA(E15:E37)</f>
        <v>23</v>
      </c>
      <c r="B6" t="s">
        <v>38</v>
      </c>
      <c r="C6" t="s">
        <v>197</v>
      </c>
      <c r="E6" s="1" t="s">
        <v>21</v>
      </c>
      <c r="R6" s="1" t="e">
        <f t="shared" si="0"/>
        <v>#DIV/0!</v>
      </c>
      <c r="S6" s="1" t="e">
        <f t="shared" si="1"/>
        <v>#DIV/0!</v>
      </c>
      <c r="W6" s="7" t="s">
        <v>9</v>
      </c>
      <c r="X6" s="1">
        <v>87</v>
      </c>
      <c r="Y6" s="1">
        <v>8</v>
      </c>
      <c r="Z6" s="1">
        <v>5</v>
      </c>
      <c r="AA6" s="1">
        <v>15</v>
      </c>
      <c r="AB6" s="1">
        <v>50</v>
      </c>
      <c r="AC6" s="1">
        <v>35</v>
      </c>
      <c r="AD6" s="12">
        <v>3.7</v>
      </c>
      <c r="AE6" s="1">
        <v>4.5</v>
      </c>
      <c r="AF6" s="41"/>
    </row>
    <row r="7" spans="1:33" x14ac:dyDescent="0.25">
      <c r="A7">
        <f>COUNTA(E40:E98)</f>
        <v>59</v>
      </c>
      <c r="B7" t="s">
        <v>161</v>
      </c>
      <c r="C7" t="s">
        <v>198</v>
      </c>
      <c r="E7" s="1" t="s">
        <v>21</v>
      </c>
      <c r="R7" s="1" t="e">
        <f t="shared" si="0"/>
        <v>#DIV/0!</v>
      </c>
      <c r="S7" s="1" t="e">
        <f t="shared" si="1"/>
        <v>#DIV/0!</v>
      </c>
      <c r="AF7" s="12">
        <f>SUM(AD3:AD6)</f>
        <v>16.3</v>
      </c>
      <c r="AG7" s="1">
        <f>AF7/4</f>
        <v>4.0750000000000002</v>
      </c>
    </row>
    <row r="8" spans="1:33" x14ac:dyDescent="0.25">
      <c r="C8" t="s">
        <v>199</v>
      </c>
      <c r="E8" s="1" t="s">
        <v>20</v>
      </c>
      <c r="F8" s="1">
        <v>1548</v>
      </c>
      <c r="G8" s="1">
        <v>659</v>
      </c>
      <c r="H8" s="1">
        <v>1466</v>
      </c>
      <c r="I8" s="1">
        <v>805</v>
      </c>
      <c r="J8" s="1">
        <v>1059</v>
      </c>
      <c r="K8" s="1">
        <v>1134</v>
      </c>
      <c r="L8" s="1">
        <v>1581</v>
      </c>
      <c r="M8" s="1">
        <v>758</v>
      </c>
      <c r="R8" s="1">
        <f t="shared" si="0"/>
        <v>1413.5</v>
      </c>
      <c r="S8" s="1">
        <f t="shared" si="1"/>
        <v>839</v>
      </c>
      <c r="X8" s="1">
        <f>SUM(X3:X7)</f>
        <v>342</v>
      </c>
      <c r="Z8" s="1">
        <f>SUM(Z3:Z7)</f>
        <v>15</v>
      </c>
      <c r="AA8" s="1">
        <f>AA6+AB6+AC6</f>
        <v>100</v>
      </c>
      <c r="AB8" s="1">
        <f>AB6+AC6</f>
        <v>85</v>
      </c>
      <c r="AF8">
        <f>AD10/4</f>
        <v>87.5</v>
      </c>
    </row>
    <row r="9" spans="1:33" x14ac:dyDescent="0.25">
      <c r="A9">
        <f>COUNTIF(E40:E98,"T")</f>
        <v>26</v>
      </c>
      <c r="C9" t="s">
        <v>200</v>
      </c>
      <c r="E9" s="1" t="s">
        <v>21</v>
      </c>
      <c r="R9" s="1" t="e">
        <f t="shared" si="0"/>
        <v>#DIV/0!</v>
      </c>
      <c r="S9" s="1" t="e">
        <f t="shared" si="1"/>
        <v>#DIV/0!</v>
      </c>
      <c r="X9" s="1">
        <f>X8-Z8</f>
        <v>327</v>
      </c>
    </row>
    <row r="10" spans="1:33" x14ac:dyDescent="0.25">
      <c r="C10" t="s">
        <v>201</v>
      </c>
      <c r="E10" s="1" t="s">
        <v>20</v>
      </c>
      <c r="F10" s="1">
        <v>1104</v>
      </c>
      <c r="G10" s="1">
        <v>1092</v>
      </c>
      <c r="H10" s="1">
        <v>1342</v>
      </c>
      <c r="I10" s="1">
        <v>637</v>
      </c>
      <c r="J10" s="1">
        <v>1233</v>
      </c>
      <c r="K10" s="1">
        <v>1034</v>
      </c>
      <c r="L10" s="1">
        <v>1051</v>
      </c>
      <c r="M10" s="1">
        <v>967</v>
      </c>
      <c r="R10" s="1">
        <f t="shared" si="0"/>
        <v>1182.5</v>
      </c>
      <c r="S10" s="1">
        <f t="shared" si="1"/>
        <v>932.5</v>
      </c>
      <c r="X10" s="1">
        <f>X9/4</f>
        <v>81.75</v>
      </c>
      <c r="AB10" s="1">
        <f>SUM(AB3:AB7)</f>
        <v>300</v>
      </c>
      <c r="AC10" s="1">
        <f>SUM(AC3:AC7)</f>
        <v>50</v>
      </c>
      <c r="AD10" s="12">
        <f>AB10+AC10</f>
        <v>350</v>
      </c>
    </row>
    <row r="11" spans="1:33" x14ac:dyDescent="0.25">
      <c r="C11" t="s">
        <v>202</v>
      </c>
      <c r="E11" s="1" t="s">
        <v>21</v>
      </c>
      <c r="R11" s="1" t="e">
        <f t="shared" si="0"/>
        <v>#DIV/0!</v>
      </c>
      <c r="S11" s="1" t="e">
        <f t="shared" si="1"/>
        <v>#DIV/0!</v>
      </c>
    </row>
    <row r="12" spans="1:33" x14ac:dyDescent="0.25">
      <c r="C12" t="s">
        <v>203</v>
      </c>
      <c r="E12" s="1" t="s">
        <v>21</v>
      </c>
      <c r="R12" s="1" t="e">
        <f t="shared" si="0"/>
        <v>#DIV/0!</v>
      </c>
      <c r="S12" s="1" t="e">
        <f t="shared" si="1"/>
        <v>#DIV/0!</v>
      </c>
    </row>
    <row r="13" spans="1:33" x14ac:dyDescent="0.25">
      <c r="C13" t="s">
        <v>204</v>
      </c>
      <c r="E13" s="1" t="s">
        <v>20</v>
      </c>
      <c r="F13" s="1">
        <v>919</v>
      </c>
      <c r="G13" s="1">
        <v>833</v>
      </c>
      <c r="H13" s="1">
        <v>1774</v>
      </c>
      <c r="I13" s="1">
        <v>663</v>
      </c>
      <c r="J13" s="1">
        <v>1116</v>
      </c>
      <c r="K13" s="1">
        <v>825</v>
      </c>
      <c r="L13" s="1">
        <v>962</v>
      </c>
      <c r="M13" s="1">
        <v>823</v>
      </c>
      <c r="R13" s="1">
        <f t="shared" si="0"/>
        <v>1192.75</v>
      </c>
      <c r="S13" s="1">
        <f t="shared" si="1"/>
        <v>786</v>
      </c>
    </row>
    <row r="15" spans="1:33" x14ac:dyDescent="0.25">
      <c r="A15">
        <f>COUNTIF(F40:F98,"&gt;=1260")</f>
        <v>15</v>
      </c>
      <c r="B15" t="s">
        <v>38</v>
      </c>
      <c r="C15" t="s">
        <v>205</v>
      </c>
      <c r="E15" s="1" t="s">
        <v>21</v>
      </c>
      <c r="O15" s="1">
        <f>(F15+H15+J15)/3</f>
        <v>0</v>
      </c>
      <c r="P15" s="1">
        <f>(G15+I15+K15)/3</f>
        <v>0</v>
      </c>
      <c r="R15" s="1" t="e">
        <f>IF(R3&gt;=1260,"si","no")</f>
        <v>#DIV/0!</v>
      </c>
      <c r="S15" s="1" t="e">
        <f>IF(S3&gt;=840,"si","no")</f>
        <v>#DIV/0!</v>
      </c>
      <c r="T15" s="1" t="e">
        <f>AND(R15:R25="si",S15:S25="si")</f>
        <v>#DIV/0!</v>
      </c>
      <c r="U15" s="1">
        <f>COUNTIF(T15:T24,"verdadero")</f>
        <v>0</v>
      </c>
      <c r="W15" s="5" t="s">
        <v>6</v>
      </c>
      <c r="X15" s="1">
        <v>87</v>
      </c>
      <c r="Y15" s="1">
        <v>13</v>
      </c>
      <c r="Z15" s="1">
        <v>0</v>
      </c>
      <c r="AA15" s="1">
        <v>15</v>
      </c>
      <c r="AB15" s="1">
        <v>80</v>
      </c>
      <c r="AC15" s="1">
        <v>5</v>
      </c>
      <c r="AD15" s="12">
        <v>4.2</v>
      </c>
      <c r="AE15" s="1">
        <v>4.5999999999999996</v>
      </c>
    </row>
    <row r="16" spans="1:33" x14ac:dyDescent="0.25">
      <c r="C16" t="s">
        <v>206</v>
      </c>
      <c r="E16" s="1" t="s">
        <v>20</v>
      </c>
      <c r="F16" s="1">
        <v>1555</v>
      </c>
      <c r="G16" s="1">
        <v>992</v>
      </c>
      <c r="H16" s="1">
        <v>1207</v>
      </c>
      <c r="I16" s="1">
        <v>723</v>
      </c>
      <c r="J16" s="1">
        <v>1482</v>
      </c>
      <c r="K16" s="1">
        <v>931</v>
      </c>
      <c r="O16" s="1">
        <f t="shared" ref="O16:O37" si="2">(F16+H16+J16)/3</f>
        <v>1414.6666666666667</v>
      </c>
      <c r="P16" s="1">
        <f t="shared" ref="P16:P37" si="3">(G16+I16+K16)/3</f>
        <v>882</v>
      </c>
      <c r="R16" s="1" t="e">
        <f t="shared" ref="R16:R26" si="4">IF(R4&gt;=1260,"si","no")</f>
        <v>#DIV/0!</v>
      </c>
      <c r="S16" s="1" t="e">
        <f t="shared" ref="S16:S25" si="5">IF(S4&gt;=840,"si","no")</f>
        <v>#DIV/0!</v>
      </c>
      <c r="T16" s="1" t="e">
        <f t="shared" ref="T16:T24" si="6">AND(R16:R26="si",S16:S26="si")</f>
        <v>#DIV/0!</v>
      </c>
      <c r="W16" s="7" t="s">
        <v>7</v>
      </c>
      <c r="X16" s="1">
        <v>94</v>
      </c>
      <c r="Y16" s="1">
        <v>5</v>
      </c>
      <c r="Z16" s="1">
        <v>1</v>
      </c>
      <c r="AA16" s="1">
        <v>19</v>
      </c>
      <c r="AB16" s="1">
        <v>42</v>
      </c>
      <c r="AC16" s="1">
        <v>39</v>
      </c>
      <c r="AD16" s="12">
        <v>4.5999999999999996</v>
      </c>
      <c r="AE16" s="1">
        <v>4.4000000000000004</v>
      </c>
    </row>
    <row r="17" spans="3:31" x14ac:dyDescent="0.25">
      <c r="C17" t="s">
        <v>207</v>
      </c>
      <c r="E17" s="1" t="s">
        <v>20</v>
      </c>
      <c r="F17" s="1">
        <v>1207</v>
      </c>
      <c r="G17" s="1">
        <v>819</v>
      </c>
      <c r="H17" s="1">
        <v>1353</v>
      </c>
      <c r="I17" s="1">
        <v>926</v>
      </c>
      <c r="J17" s="1">
        <v>1761</v>
      </c>
      <c r="K17" s="1">
        <v>711</v>
      </c>
      <c r="O17" s="1">
        <f t="shared" si="2"/>
        <v>1440.3333333333333</v>
      </c>
      <c r="P17" s="1">
        <f t="shared" si="3"/>
        <v>818.66666666666663</v>
      </c>
      <c r="R17" s="1" t="e">
        <f t="shared" si="4"/>
        <v>#DIV/0!</v>
      </c>
      <c r="S17" s="1" t="e">
        <f t="shared" si="5"/>
        <v>#DIV/0!</v>
      </c>
      <c r="T17" s="1" t="e">
        <f t="shared" si="6"/>
        <v>#DIV/0!</v>
      </c>
      <c r="W17" s="5" t="s">
        <v>8</v>
      </c>
      <c r="X17" s="1">
        <v>94</v>
      </c>
      <c r="Y17" s="1">
        <v>4</v>
      </c>
      <c r="Z17" s="1">
        <v>2</v>
      </c>
      <c r="AA17" s="1">
        <v>11</v>
      </c>
      <c r="AB17" s="1">
        <v>73</v>
      </c>
      <c r="AC17" s="1">
        <v>16</v>
      </c>
      <c r="AD17" s="12">
        <v>4.5999999999999996</v>
      </c>
      <c r="AE17" s="1">
        <v>4.0999999999999996</v>
      </c>
    </row>
    <row r="18" spans="3:31" x14ac:dyDescent="0.25">
      <c r="C18" t="s">
        <v>208</v>
      </c>
      <c r="E18" s="1" t="s">
        <v>20</v>
      </c>
      <c r="F18" s="1">
        <v>1114</v>
      </c>
      <c r="G18" s="1">
        <v>1054</v>
      </c>
      <c r="H18" s="1">
        <v>945</v>
      </c>
      <c r="I18" s="1">
        <v>957</v>
      </c>
      <c r="J18" s="1">
        <v>1345</v>
      </c>
      <c r="K18" s="1">
        <v>943</v>
      </c>
      <c r="O18" s="1">
        <f t="shared" si="2"/>
        <v>1134.6666666666667</v>
      </c>
      <c r="P18" s="1">
        <f>(G18+I18+K18)/3</f>
        <v>984.66666666666663</v>
      </c>
      <c r="R18" s="1" t="e">
        <f t="shared" si="4"/>
        <v>#DIV/0!</v>
      </c>
      <c r="S18" s="1" t="e">
        <f t="shared" si="5"/>
        <v>#DIV/0!</v>
      </c>
      <c r="T18" s="1" t="e">
        <f t="shared" si="6"/>
        <v>#DIV/0!</v>
      </c>
      <c r="AB18" s="1">
        <f>SUM(AB15:AB17)</f>
        <v>195</v>
      </c>
      <c r="AC18" s="1">
        <f>SUM(AC15:AC17)</f>
        <v>60</v>
      </c>
    </row>
    <row r="19" spans="3:31" x14ac:dyDescent="0.25">
      <c r="C19" t="s">
        <v>209</v>
      </c>
      <c r="E19" s="1" t="s">
        <v>20</v>
      </c>
      <c r="F19" s="1">
        <v>1750</v>
      </c>
      <c r="G19" s="1">
        <v>794</v>
      </c>
      <c r="H19" s="1">
        <v>1263</v>
      </c>
      <c r="I19" s="1">
        <v>810</v>
      </c>
      <c r="J19" s="1">
        <v>1498</v>
      </c>
      <c r="K19" s="1">
        <v>1090</v>
      </c>
      <c r="O19" s="1">
        <f t="shared" si="2"/>
        <v>1503.6666666666667</v>
      </c>
      <c r="P19" s="1">
        <f t="shared" si="3"/>
        <v>898</v>
      </c>
      <c r="R19" s="1" t="e">
        <f t="shared" si="4"/>
        <v>#DIV/0!</v>
      </c>
      <c r="S19" s="1" t="e">
        <f t="shared" si="5"/>
        <v>#DIV/0!</v>
      </c>
      <c r="T19" s="1" t="e">
        <f t="shared" si="6"/>
        <v>#DIV/0!</v>
      </c>
      <c r="X19" s="1">
        <f>SUM(X15:X18)</f>
        <v>275</v>
      </c>
      <c r="Z19" s="1">
        <f>SUM(Z15:Z18)</f>
        <v>3</v>
      </c>
      <c r="AB19" s="1">
        <f>AB18+AC18</f>
        <v>255</v>
      </c>
    </row>
    <row r="20" spans="3:31" x14ac:dyDescent="0.25">
      <c r="C20" t="s">
        <v>210</v>
      </c>
      <c r="E20" s="1" t="s">
        <v>21</v>
      </c>
      <c r="O20" s="1">
        <f t="shared" si="2"/>
        <v>0</v>
      </c>
      <c r="P20" s="1">
        <f t="shared" si="3"/>
        <v>0</v>
      </c>
      <c r="R20" s="1" t="str">
        <f t="shared" si="4"/>
        <v>si</v>
      </c>
      <c r="S20" s="1" t="str">
        <f t="shared" si="5"/>
        <v>no</v>
      </c>
      <c r="T20" s="1" t="b">
        <f t="shared" si="6"/>
        <v>0</v>
      </c>
      <c r="X20" s="1">
        <f>X19-Z19</f>
        <v>272</v>
      </c>
      <c r="AB20" s="1">
        <f>AB19/3</f>
        <v>85</v>
      </c>
    </row>
    <row r="21" spans="3:31" x14ac:dyDescent="0.25">
      <c r="C21" t="s">
        <v>211</v>
      </c>
      <c r="E21" s="1" t="s">
        <v>20</v>
      </c>
      <c r="F21" s="1">
        <v>1143</v>
      </c>
      <c r="G21" s="1">
        <v>863</v>
      </c>
      <c r="H21" s="1">
        <v>1381</v>
      </c>
      <c r="I21" s="1">
        <v>994</v>
      </c>
      <c r="J21" s="1">
        <v>1759</v>
      </c>
      <c r="K21" s="1">
        <v>884</v>
      </c>
      <c r="O21" s="1">
        <f t="shared" si="2"/>
        <v>1427.6666666666667</v>
      </c>
      <c r="P21" s="1">
        <f>(G21+I21+K21)/3</f>
        <v>913.66666666666663</v>
      </c>
      <c r="R21" s="1" t="e">
        <f t="shared" si="4"/>
        <v>#DIV/0!</v>
      </c>
      <c r="S21" s="1" t="e">
        <f t="shared" si="5"/>
        <v>#DIV/0!</v>
      </c>
      <c r="T21" s="1" t="e">
        <f t="shared" si="6"/>
        <v>#DIV/0!</v>
      </c>
      <c r="X21" s="1">
        <f>X20/3</f>
        <v>90.666666666666671</v>
      </c>
    </row>
    <row r="22" spans="3:31" x14ac:dyDescent="0.25">
      <c r="C22" t="s">
        <v>212</v>
      </c>
      <c r="E22" s="1" t="s">
        <v>21</v>
      </c>
      <c r="O22" s="1">
        <f t="shared" si="2"/>
        <v>0</v>
      </c>
      <c r="P22" s="1">
        <f t="shared" si="3"/>
        <v>0</v>
      </c>
      <c r="R22" s="1" t="str">
        <f t="shared" si="4"/>
        <v>no</v>
      </c>
      <c r="S22" s="1" t="str">
        <f t="shared" si="5"/>
        <v>si</v>
      </c>
      <c r="T22" s="1" t="b">
        <f t="shared" si="6"/>
        <v>0</v>
      </c>
    </row>
    <row r="23" spans="3:31" x14ac:dyDescent="0.25">
      <c r="C23" t="s">
        <v>213</v>
      </c>
      <c r="E23" s="1" t="s">
        <v>21</v>
      </c>
      <c r="O23" s="1">
        <f t="shared" si="2"/>
        <v>0</v>
      </c>
      <c r="P23" s="1">
        <f t="shared" si="3"/>
        <v>0</v>
      </c>
      <c r="R23" s="1" t="e">
        <f t="shared" si="4"/>
        <v>#DIV/0!</v>
      </c>
      <c r="S23" s="1" t="e">
        <f t="shared" si="5"/>
        <v>#DIV/0!</v>
      </c>
      <c r="T23" s="1" t="e">
        <f t="shared" si="6"/>
        <v>#DIV/0!</v>
      </c>
    </row>
    <row r="24" spans="3:31" x14ac:dyDescent="0.25">
      <c r="C24" t="s">
        <v>214</v>
      </c>
      <c r="E24" s="1" t="s">
        <v>20</v>
      </c>
      <c r="F24" s="1">
        <v>1612</v>
      </c>
      <c r="G24" s="1">
        <v>1081</v>
      </c>
      <c r="H24" s="1">
        <v>1286</v>
      </c>
      <c r="I24" s="1">
        <v>755</v>
      </c>
      <c r="J24" s="1">
        <v>1570</v>
      </c>
      <c r="K24" s="1">
        <v>1182</v>
      </c>
      <c r="O24" s="1">
        <f t="shared" si="2"/>
        <v>1489.3333333333333</v>
      </c>
      <c r="P24" s="1">
        <f t="shared" si="3"/>
        <v>1006</v>
      </c>
      <c r="R24" s="1" t="e">
        <f t="shared" si="4"/>
        <v>#DIV/0!</v>
      </c>
      <c r="S24" s="1" t="e">
        <f t="shared" si="5"/>
        <v>#DIV/0!</v>
      </c>
      <c r="T24" s="1" t="e">
        <f t="shared" si="6"/>
        <v>#DIV/0!</v>
      </c>
    </row>
    <row r="25" spans="3:31" x14ac:dyDescent="0.25">
      <c r="C25" t="s">
        <v>215</v>
      </c>
      <c r="E25" s="1" t="s">
        <v>20</v>
      </c>
      <c r="F25" s="1">
        <v>1565</v>
      </c>
      <c r="G25" s="1">
        <v>818</v>
      </c>
      <c r="H25" s="1">
        <v>928</v>
      </c>
      <c r="I25" s="1">
        <v>1113</v>
      </c>
      <c r="J25" s="1">
        <v>1620</v>
      </c>
      <c r="K25" s="1">
        <v>633</v>
      </c>
      <c r="O25" s="1">
        <f t="shared" si="2"/>
        <v>1371</v>
      </c>
      <c r="P25" s="1">
        <f>(G25+I25+K25)/3</f>
        <v>854.66666666666663</v>
      </c>
      <c r="R25" s="1" t="str">
        <f t="shared" si="4"/>
        <v>no</v>
      </c>
      <c r="S25" s="1" t="str">
        <f t="shared" si="5"/>
        <v>no</v>
      </c>
    </row>
    <row r="26" spans="3:31" x14ac:dyDescent="0.25">
      <c r="C26" t="s">
        <v>216</v>
      </c>
      <c r="E26" s="1" t="s">
        <v>20</v>
      </c>
      <c r="F26" s="1">
        <v>1398</v>
      </c>
      <c r="G26" s="1">
        <v>675</v>
      </c>
      <c r="H26" s="1">
        <v>975</v>
      </c>
      <c r="I26" s="1">
        <v>690</v>
      </c>
      <c r="J26" s="1">
        <v>1104</v>
      </c>
      <c r="K26" s="1">
        <v>694</v>
      </c>
      <c r="O26" s="1">
        <f t="shared" si="2"/>
        <v>1159</v>
      </c>
      <c r="P26" s="1">
        <f t="shared" si="3"/>
        <v>686.33333333333337</v>
      </c>
    </row>
    <row r="27" spans="3:31" x14ac:dyDescent="0.25">
      <c r="C27" t="s">
        <v>217</v>
      </c>
      <c r="E27" s="1" t="s">
        <v>21</v>
      </c>
      <c r="O27" s="1">
        <f t="shared" si="2"/>
        <v>0</v>
      </c>
      <c r="P27" s="1">
        <f t="shared" si="3"/>
        <v>0</v>
      </c>
    </row>
    <row r="28" spans="3:31" x14ac:dyDescent="0.25">
      <c r="C28" t="s">
        <v>218</v>
      </c>
      <c r="E28" s="1" t="s">
        <v>21</v>
      </c>
      <c r="O28" s="1">
        <f t="shared" si="2"/>
        <v>0</v>
      </c>
      <c r="P28" s="1">
        <f t="shared" si="3"/>
        <v>0</v>
      </c>
    </row>
    <row r="29" spans="3:31" x14ac:dyDescent="0.25">
      <c r="C29" t="s">
        <v>219</v>
      </c>
      <c r="E29" s="1" t="s">
        <v>20</v>
      </c>
      <c r="F29" s="1">
        <v>1208</v>
      </c>
      <c r="G29" s="1">
        <v>794</v>
      </c>
      <c r="H29" s="1">
        <v>905</v>
      </c>
      <c r="I29" s="1">
        <v>1128</v>
      </c>
      <c r="J29" s="1">
        <v>1364</v>
      </c>
      <c r="K29" s="1">
        <v>839</v>
      </c>
      <c r="O29" s="1">
        <f t="shared" si="2"/>
        <v>1159</v>
      </c>
      <c r="P29" s="1">
        <f>(G29+I29+K29)/3</f>
        <v>920.33333333333337</v>
      </c>
    </row>
    <row r="30" spans="3:31" x14ac:dyDescent="0.25">
      <c r="C30" t="s">
        <v>220</v>
      </c>
      <c r="E30" s="1" t="s">
        <v>20</v>
      </c>
      <c r="F30" s="1">
        <v>1254</v>
      </c>
      <c r="G30" s="1">
        <v>858</v>
      </c>
      <c r="H30" s="1">
        <v>1522</v>
      </c>
      <c r="I30" s="1">
        <v>967</v>
      </c>
      <c r="J30" s="1">
        <v>1248</v>
      </c>
      <c r="K30" s="1">
        <v>685</v>
      </c>
      <c r="O30" s="1">
        <f t="shared" si="2"/>
        <v>1341.3333333333333</v>
      </c>
      <c r="P30" s="1">
        <f t="shared" si="3"/>
        <v>836.66666666666663</v>
      </c>
      <c r="W30" s="10"/>
    </row>
    <row r="31" spans="3:31" x14ac:dyDescent="0.25">
      <c r="C31" t="s">
        <v>221</v>
      </c>
      <c r="E31" s="1" t="s">
        <v>21</v>
      </c>
      <c r="O31" s="1">
        <f t="shared" si="2"/>
        <v>0</v>
      </c>
      <c r="P31" s="1">
        <f t="shared" si="3"/>
        <v>0</v>
      </c>
    </row>
    <row r="32" spans="3:31" x14ac:dyDescent="0.25">
      <c r="C32" t="s">
        <v>222</v>
      </c>
      <c r="E32" s="1" t="s">
        <v>21</v>
      </c>
      <c r="O32" s="1">
        <f t="shared" si="2"/>
        <v>0</v>
      </c>
      <c r="P32" s="1">
        <f t="shared" si="3"/>
        <v>0</v>
      </c>
    </row>
    <row r="33" spans="2:31" x14ac:dyDescent="0.25">
      <c r="C33" t="s">
        <v>223</v>
      </c>
      <c r="E33" s="1" t="s">
        <v>20</v>
      </c>
      <c r="F33" s="1">
        <v>1228</v>
      </c>
      <c r="G33" s="1">
        <v>837</v>
      </c>
      <c r="H33" s="1">
        <v>1323</v>
      </c>
      <c r="I33" s="1">
        <v>602</v>
      </c>
      <c r="J33" s="1">
        <v>1245</v>
      </c>
      <c r="K33" s="1">
        <v>1167</v>
      </c>
      <c r="O33" s="1">
        <f t="shared" si="2"/>
        <v>1265.3333333333333</v>
      </c>
      <c r="P33" s="1">
        <f>(G33+I33+K33)/3</f>
        <v>868.66666666666663</v>
      </c>
    </row>
    <row r="34" spans="2:31" x14ac:dyDescent="0.25">
      <c r="C34" t="s">
        <v>224</v>
      </c>
      <c r="E34" s="1" t="s">
        <v>20</v>
      </c>
      <c r="F34" s="1">
        <v>1553</v>
      </c>
      <c r="G34" s="1">
        <v>626</v>
      </c>
      <c r="H34" s="1">
        <v>1288</v>
      </c>
      <c r="I34" s="1">
        <v>1082</v>
      </c>
      <c r="J34" s="1">
        <v>1505</v>
      </c>
      <c r="K34" s="1">
        <v>779</v>
      </c>
      <c r="O34" s="1">
        <f t="shared" si="2"/>
        <v>1448.6666666666667</v>
      </c>
      <c r="P34" s="1">
        <f t="shared" si="3"/>
        <v>829</v>
      </c>
    </row>
    <row r="35" spans="2:31" x14ac:dyDescent="0.25">
      <c r="C35" t="s">
        <v>225</v>
      </c>
      <c r="E35" s="1" t="s">
        <v>20</v>
      </c>
      <c r="F35" s="1">
        <v>1039</v>
      </c>
      <c r="G35" s="1">
        <v>851</v>
      </c>
      <c r="H35" s="1">
        <v>1783</v>
      </c>
      <c r="I35" s="1">
        <v>1083</v>
      </c>
      <c r="J35" s="1">
        <v>1517</v>
      </c>
      <c r="K35" s="1">
        <v>1051</v>
      </c>
      <c r="O35" s="1">
        <f t="shared" si="2"/>
        <v>1446.3333333333333</v>
      </c>
      <c r="P35" s="1">
        <f t="shared" si="3"/>
        <v>995</v>
      </c>
    </row>
    <row r="36" spans="2:31" x14ac:dyDescent="0.25">
      <c r="C36" t="s">
        <v>226</v>
      </c>
      <c r="E36" s="1" t="s">
        <v>21</v>
      </c>
      <c r="O36" s="1">
        <f t="shared" si="2"/>
        <v>0</v>
      </c>
      <c r="P36" s="1">
        <f t="shared" si="3"/>
        <v>0</v>
      </c>
    </row>
    <row r="37" spans="2:31" x14ac:dyDescent="0.25">
      <c r="C37" t="s">
        <v>227</v>
      </c>
      <c r="E37" s="1" t="s">
        <v>20</v>
      </c>
      <c r="F37" s="1">
        <v>1510</v>
      </c>
      <c r="G37" s="1">
        <v>1046</v>
      </c>
      <c r="H37" s="1">
        <v>1269</v>
      </c>
      <c r="I37" s="1">
        <v>1134</v>
      </c>
      <c r="J37" s="1">
        <v>1368</v>
      </c>
      <c r="K37" s="1">
        <v>638</v>
      </c>
      <c r="O37" s="1">
        <f t="shared" si="2"/>
        <v>1382.3333333333333</v>
      </c>
      <c r="P37" s="1">
        <f t="shared" si="3"/>
        <v>939.33333333333337</v>
      </c>
    </row>
    <row r="38" spans="2:31" x14ac:dyDescent="0.25">
      <c r="O38" s="16">
        <f>COUNTIF(O15:O37,"&gt;=1260")</f>
        <v>11</v>
      </c>
      <c r="P38" s="16">
        <f>COUNTIF(P15:P37,"&gt;=840")</f>
        <v>10</v>
      </c>
    </row>
    <row r="39" spans="2:31" x14ac:dyDescent="0.25">
      <c r="O39" s="16"/>
    </row>
    <row r="40" spans="2:31" x14ac:dyDescent="0.25">
      <c r="B40" t="s">
        <v>161</v>
      </c>
      <c r="C40" t="s">
        <v>3</v>
      </c>
      <c r="E40" s="1" t="s">
        <v>20</v>
      </c>
      <c r="F40" s="1">
        <v>1759</v>
      </c>
      <c r="G40" s="1">
        <v>1006</v>
      </c>
      <c r="H40" s="1">
        <v>1143</v>
      </c>
      <c r="I40" s="1">
        <v>764</v>
      </c>
      <c r="O40" s="1">
        <f>(F40+H40)/2</f>
        <v>1451</v>
      </c>
      <c r="P40" s="1">
        <f>(G40+I40)/2</f>
        <v>885</v>
      </c>
      <c r="W40" s="5" t="s">
        <v>6</v>
      </c>
      <c r="X40" s="1">
        <v>80</v>
      </c>
      <c r="Y40" s="1">
        <v>16</v>
      </c>
      <c r="Z40" s="1">
        <v>4</v>
      </c>
      <c r="AA40" s="1">
        <v>3</v>
      </c>
      <c r="AB40" s="1">
        <v>90</v>
      </c>
      <c r="AC40" s="1">
        <v>7</v>
      </c>
      <c r="AD40" s="12">
        <v>4</v>
      </c>
      <c r="AE40" s="1">
        <v>4.8</v>
      </c>
    </row>
    <row r="41" spans="2:31" x14ac:dyDescent="0.25">
      <c r="C41" t="s">
        <v>12</v>
      </c>
      <c r="E41" s="1" t="s">
        <v>21</v>
      </c>
      <c r="O41" s="1">
        <f t="shared" ref="O41:O98" si="7">(F41+H41)/2</f>
        <v>0</v>
      </c>
      <c r="P41" s="1">
        <f t="shared" ref="P41:P98" si="8">(G41+I41)/2</f>
        <v>0</v>
      </c>
      <c r="W41" s="7" t="s">
        <v>7</v>
      </c>
      <c r="X41" s="1">
        <v>93</v>
      </c>
      <c r="Y41" s="1">
        <v>2</v>
      </c>
      <c r="Z41" s="1">
        <v>5</v>
      </c>
      <c r="AA41" s="1">
        <v>2</v>
      </c>
      <c r="AB41" s="1">
        <v>65</v>
      </c>
      <c r="AC41" s="1">
        <v>33</v>
      </c>
      <c r="AD41" s="12">
        <v>3.9</v>
      </c>
      <c r="AE41" s="1">
        <v>4.3</v>
      </c>
    </row>
    <row r="42" spans="2:31" x14ac:dyDescent="0.25">
      <c r="C42" t="s">
        <v>13</v>
      </c>
      <c r="E42" s="1" t="s">
        <v>21</v>
      </c>
      <c r="O42" s="1">
        <f t="shared" si="7"/>
        <v>0</v>
      </c>
      <c r="P42" s="1">
        <f t="shared" si="8"/>
        <v>0</v>
      </c>
      <c r="X42" s="1">
        <f>SUM(X40:X41)</f>
        <v>173</v>
      </c>
      <c r="Z42" s="1">
        <f>SUM(Z40:Z41)</f>
        <v>9</v>
      </c>
      <c r="AB42" s="1">
        <f>SUM(AB40:AB41)</f>
        <v>155</v>
      </c>
      <c r="AC42" s="1">
        <f>SUM(AC40:AC41)</f>
        <v>40</v>
      </c>
    </row>
    <row r="43" spans="2:31" x14ac:dyDescent="0.25">
      <c r="C43" t="s">
        <v>14</v>
      </c>
      <c r="E43" s="1" t="s">
        <v>21</v>
      </c>
      <c r="O43" s="1">
        <f t="shared" si="7"/>
        <v>0</v>
      </c>
      <c r="P43" s="1">
        <f t="shared" si="8"/>
        <v>0</v>
      </c>
      <c r="X43" s="1">
        <f>X42-Z42</f>
        <v>164</v>
      </c>
      <c r="AB43" s="1">
        <f>AB42+AC42</f>
        <v>195</v>
      </c>
      <c r="AD43" s="12">
        <f>AD40+AD41</f>
        <v>7.9</v>
      </c>
      <c r="AE43" s="42">
        <f>AE40+AE41</f>
        <v>9.1</v>
      </c>
    </row>
    <row r="44" spans="2:31" x14ac:dyDescent="0.25">
      <c r="C44" t="s">
        <v>15</v>
      </c>
      <c r="E44" s="1" t="s">
        <v>20</v>
      </c>
      <c r="F44" s="1">
        <v>905</v>
      </c>
      <c r="G44" s="1">
        <v>622</v>
      </c>
      <c r="H44" s="1">
        <v>1689</v>
      </c>
      <c r="I44" s="1">
        <v>1153</v>
      </c>
      <c r="O44" s="1">
        <f t="shared" si="7"/>
        <v>1297</v>
      </c>
      <c r="P44" s="1">
        <f t="shared" si="8"/>
        <v>887.5</v>
      </c>
      <c r="X44" s="1">
        <f>X43/2</f>
        <v>82</v>
      </c>
      <c r="AB44" s="1">
        <f>AB43/2</f>
        <v>97.5</v>
      </c>
      <c r="AD44" s="14">
        <f>AD43/2</f>
        <v>3.95</v>
      </c>
      <c r="AE44" s="43">
        <f>AE43/2</f>
        <v>4.55</v>
      </c>
    </row>
    <row r="45" spans="2:31" x14ac:dyDescent="0.25">
      <c r="C45" t="s">
        <v>16</v>
      </c>
      <c r="E45" s="1" t="s">
        <v>20</v>
      </c>
      <c r="F45" s="1">
        <v>1293</v>
      </c>
      <c r="G45" s="1">
        <v>1015</v>
      </c>
      <c r="H45" s="1">
        <v>1701</v>
      </c>
      <c r="I45" s="1">
        <v>1004</v>
      </c>
      <c r="O45" s="1">
        <f t="shared" si="7"/>
        <v>1497</v>
      </c>
      <c r="P45" s="1">
        <f t="shared" si="8"/>
        <v>1009.5</v>
      </c>
    </row>
    <row r="46" spans="2:31" x14ac:dyDescent="0.25">
      <c r="C46" t="s">
        <v>17</v>
      </c>
      <c r="E46" s="1" t="s">
        <v>20</v>
      </c>
      <c r="F46" s="1">
        <v>1130</v>
      </c>
      <c r="G46" s="1">
        <v>914</v>
      </c>
      <c r="H46" s="1">
        <v>1400</v>
      </c>
      <c r="I46" s="1">
        <v>648</v>
      </c>
      <c r="O46" s="1">
        <f t="shared" si="7"/>
        <v>1265</v>
      </c>
      <c r="P46" s="1">
        <f t="shared" si="8"/>
        <v>781</v>
      </c>
    </row>
    <row r="47" spans="2:31" x14ac:dyDescent="0.25">
      <c r="C47" t="s">
        <v>18</v>
      </c>
      <c r="E47" s="1" t="s">
        <v>20</v>
      </c>
      <c r="F47" s="1">
        <v>1203</v>
      </c>
      <c r="G47" s="1">
        <v>742</v>
      </c>
      <c r="H47" s="1">
        <v>1113</v>
      </c>
      <c r="I47" s="1">
        <v>1068</v>
      </c>
      <c r="O47" s="1">
        <f t="shared" si="7"/>
        <v>1158</v>
      </c>
      <c r="P47" s="1">
        <f t="shared" si="8"/>
        <v>905</v>
      </c>
    </row>
    <row r="48" spans="2:31" x14ac:dyDescent="0.25">
      <c r="C48" t="s">
        <v>19</v>
      </c>
      <c r="E48" s="1" t="s">
        <v>21</v>
      </c>
      <c r="O48" s="1">
        <f t="shared" si="7"/>
        <v>0</v>
      </c>
      <c r="P48" s="1">
        <f t="shared" si="8"/>
        <v>0</v>
      </c>
    </row>
    <row r="49" spans="3:16" x14ac:dyDescent="0.25">
      <c r="C49" t="s">
        <v>22</v>
      </c>
      <c r="E49" s="1" t="s">
        <v>20</v>
      </c>
      <c r="F49" s="1">
        <v>1157</v>
      </c>
      <c r="G49" s="1">
        <v>1146</v>
      </c>
      <c r="H49" s="1">
        <v>1030</v>
      </c>
      <c r="I49" s="1">
        <v>939</v>
      </c>
      <c r="O49" s="1">
        <f t="shared" si="7"/>
        <v>1093.5</v>
      </c>
      <c r="P49" s="1">
        <f t="shared" si="8"/>
        <v>1042.5</v>
      </c>
    </row>
    <row r="50" spans="3:16" x14ac:dyDescent="0.25">
      <c r="C50" t="s">
        <v>23</v>
      </c>
      <c r="E50" s="1" t="s">
        <v>21</v>
      </c>
      <c r="O50" s="1">
        <f t="shared" si="7"/>
        <v>0</v>
      </c>
      <c r="P50" s="1">
        <f t="shared" si="8"/>
        <v>0</v>
      </c>
    </row>
    <row r="51" spans="3:16" x14ac:dyDescent="0.25">
      <c r="C51" t="s">
        <v>24</v>
      </c>
      <c r="E51" s="1" t="s">
        <v>21</v>
      </c>
      <c r="O51" s="1">
        <f t="shared" si="7"/>
        <v>0</v>
      </c>
      <c r="P51" s="1">
        <f t="shared" si="8"/>
        <v>0</v>
      </c>
    </row>
    <row r="52" spans="3:16" x14ac:dyDescent="0.25">
      <c r="C52" t="s">
        <v>25</v>
      </c>
      <c r="E52" s="1" t="s">
        <v>20</v>
      </c>
      <c r="F52" s="1">
        <v>1578</v>
      </c>
      <c r="G52" s="1">
        <v>779</v>
      </c>
      <c r="H52" s="1">
        <v>995</v>
      </c>
      <c r="I52" s="1">
        <v>823</v>
      </c>
      <c r="O52" s="1">
        <f t="shared" si="7"/>
        <v>1286.5</v>
      </c>
      <c r="P52" s="1">
        <f t="shared" si="8"/>
        <v>801</v>
      </c>
    </row>
    <row r="53" spans="3:16" x14ac:dyDescent="0.25">
      <c r="C53" t="s">
        <v>26</v>
      </c>
      <c r="E53" s="1" t="s">
        <v>21</v>
      </c>
      <c r="O53" s="1">
        <f t="shared" si="7"/>
        <v>0</v>
      </c>
      <c r="P53" s="1">
        <f t="shared" si="8"/>
        <v>0</v>
      </c>
    </row>
    <row r="54" spans="3:16" x14ac:dyDescent="0.25">
      <c r="C54" t="s">
        <v>27</v>
      </c>
      <c r="E54" s="1" t="s">
        <v>21</v>
      </c>
      <c r="O54" s="1">
        <f t="shared" si="7"/>
        <v>0</v>
      </c>
      <c r="P54" s="1">
        <f t="shared" si="8"/>
        <v>0</v>
      </c>
    </row>
    <row r="55" spans="3:16" x14ac:dyDescent="0.25">
      <c r="C55" t="s">
        <v>39</v>
      </c>
      <c r="E55" s="1" t="s">
        <v>20</v>
      </c>
      <c r="F55" s="1">
        <v>1617</v>
      </c>
      <c r="G55" s="1">
        <v>894</v>
      </c>
      <c r="H55" s="1">
        <v>1409</v>
      </c>
      <c r="I55" s="1">
        <v>884</v>
      </c>
      <c r="O55" s="1">
        <f t="shared" si="7"/>
        <v>1513</v>
      </c>
      <c r="P55" s="1">
        <f t="shared" si="8"/>
        <v>889</v>
      </c>
    </row>
    <row r="56" spans="3:16" x14ac:dyDescent="0.25">
      <c r="C56" t="s">
        <v>40</v>
      </c>
      <c r="E56" s="1" t="s">
        <v>20</v>
      </c>
      <c r="F56" s="1">
        <v>1695</v>
      </c>
      <c r="G56" s="1">
        <v>915</v>
      </c>
      <c r="H56" s="1">
        <v>1204</v>
      </c>
      <c r="I56" s="1">
        <v>1099</v>
      </c>
      <c r="O56" s="1">
        <f t="shared" si="7"/>
        <v>1449.5</v>
      </c>
      <c r="P56" s="1">
        <f t="shared" si="8"/>
        <v>1007</v>
      </c>
    </row>
    <row r="57" spans="3:16" x14ac:dyDescent="0.25">
      <c r="C57" t="s">
        <v>41</v>
      </c>
      <c r="E57" s="1" t="s">
        <v>20</v>
      </c>
      <c r="F57" s="1">
        <v>1533</v>
      </c>
      <c r="G57" s="1">
        <v>789</v>
      </c>
      <c r="H57" s="1">
        <v>987</v>
      </c>
      <c r="I57" s="1">
        <v>671</v>
      </c>
      <c r="O57" s="1">
        <f t="shared" si="7"/>
        <v>1260</v>
      </c>
      <c r="P57" s="1">
        <f t="shared" si="8"/>
        <v>730</v>
      </c>
    </row>
    <row r="58" spans="3:16" x14ac:dyDescent="0.25">
      <c r="C58" t="s">
        <v>42</v>
      </c>
      <c r="E58" s="1" t="s">
        <v>21</v>
      </c>
      <c r="O58" s="1">
        <f t="shared" si="7"/>
        <v>0</v>
      </c>
      <c r="P58" s="1">
        <f t="shared" si="8"/>
        <v>0</v>
      </c>
    </row>
    <row r="59" spans="3:16" x14ac:dyDescent="0.25">
      <c r="C59" t="s">
        <v>43</v>
      </c>
      <c r="E59" s="1" t="s">
        <v>20</v>
      </c>
      <c r="F59" s="1">
        <v>1519</v>
      </c>
      <c r="G59" s="1">
        <v>689</v>
      </c>
      <c r="H59" s="1">
        <v>1640</v>
      </c>
      <c r="I59" s="1">
        <v>1036</v>
      </c>
      <c r="O59" s="1">
        <f t="shared" si="7"/>
        <v>1579.5</v>
      </c>
      <c r="P59" s="1">
        <f t="shared" si="8"/>
        <v>862.5</v>
      </c>
    </row>
    <row r="60" spans="3:16" x14ac:dyDescent="0.25">
      <c r="C60" t="s">
        <v>44</v>
      </c>
      <c r="E60" s="1" t="s">
        <v>21</v>
      </c>
      <c r="O60" s="1">
        <f t="shared" si="7"/>
        <v>0</v>
      </c>
      <c r="P60" s="1">
        <f t="shared" si="8"/>
        <v>0</v>
      </c>
    </row>
    <row r="61" spans="3:16" x14ac:dyDescent="0.25">
      <c r="C61" t="s">
        <v>45</v>
      </c>
      <c r="E61" s="1" t="s">
        <v>20</v>
      </c>
      <c r="F61" s="1">
        <v>993</v>
      </c>
      <c r="G61" s="1">
        <v>1081</v>
      </c>
      <c r="H61" s="1">
        <v>1790</v>
      </c>
      <c r="I61" s="1">
        <v>927</v>
      </c>
      <c r="O61" s="1">
        <f t="shared" si="7"/>
        <v>1391.5</v>
      </c>
      <c r="P61" s="1">
        <f t="shared" si="8"/>
        <v>1004</v>
      </c>
    </row>
    <row r="62" spans="3:16" x14ac:dyDescent="0.25">
      <c r="C62" t="s">
        <v>46</v>
      </c>
      <c r="E62" s="1" t="s">
        <v>20</v>
      </c>
      <c r="F62" s="1">
        <v>1048</v>
      </c>
      <c r="G62" s="1">
        <v>930</v>
      </c>
      <c r="H62" s="1">
        <v>1525</v>
      </c>
      <c r="I62" s="1">
        <v>1154</v>
      </c>
      <c r="O62" s="1">
        <f t="shared" si="7"/>
        <v>1286.5</v>
      </c>
      <c r="P62" s="1">
        <f t="shared" si="8"/>
        <v>1042</v>
      </c>
    </row>
    <row r="63" spans="3:16" x14ac:dyDescent="0.25">
      <c r="C63" t="s">
        <v>47</v>
      </c>
      <c r="E63" s="1" t="s">
        <v>20</v>
      </c>
      <c r="F63" s="1">
        <v>1299</v>
      </c>
      <c r="G63" s="1">
        <v>966</v>
      </c>
      <c r="H63" s="1">
        <v>1569</v>
      </c>
      <c r="I63" s="1">
        <v>1029</v>
      </c>
      <c r="O63" s="1">
        <f t="shared" si="7"/>
        <v>1434</v>
      </c>
      <c r="P63" s="1">
        <f t="shared" si="8"/>
        <v>997.5</v>
      </c>
    </row>
    <row r="64" spans="3:16" x14ac:dyDescent="0.25">
      <c r="C64" t="s">
        <v>48</v>
      </c>
      <c r="E64" s="1" t="s">
        <v>21</v>
      </c>
      <c r="O64" s="1">
        <f t="shared" si="7"/>
        <v>0</v>
      </c>
      <c r="P64" s="1">
        <f t="shared" si="8"/>
        <v>0</v>
      </c>
    </row>
    <row r="65" spans="3:16" x14ac:dyDescent="0.25">
      <c r="C65" t="s">
        <v>49</v>
      </c>
      <c r="E65" s="1" t="s">
        <v>20</v>
      </c>
      <c r="F65" s="1">
        <v>1347</v>
      </c>
      <c r="G65" s="1">
        <v>936</v>
      </c>
      <c r="H65" s="1">
        <v>1436</v>
      </c>
      <c r="I65" s="1">
        <v>631</v>
      </c>
      <c r="O65" s="1">
        <f t="shared" si="7"/>
        <v>1391.5</v>
      </c>
      <c r="P65" s="1">
        <f t="shared" si="8"/>
        <v>783.5</v>
      </c>
    </row>
    <row r="66" spans="3:16" x14ac:dyDescent="0.25">
      <c r="C66" t="s">
        <v>50</v>
      </c>
      <c r="E66" s="1" t="s">
        <v>21</v>
      </c>
      <c r="O66" s="1">
        <f t="shared" si="7"/>
        <v>0</v>
      </c>
      <c r="P66" s="1">
        <f t="shared" si="8"/>
        <v>0</v>
      </c>
    </row>
    <row r="67" spans="3:16" x14ac:dyDescent="0.25">
      <c r="C67" t="s">
        <v>51</v>
      </c>
      <c r="E67" s="1" t="s">
        <v>21</v>
      </c>
      <c r="O67" s="1">
        <f t="shared" si="7"/>
        <v>0</v>
      </c>
      <c r="P67" s="1">
        <f t="shared" si="8"/>
        <v>0</v>
      </c>
    </row>
    <row r="68" spans="3:16" x14ac:dyDescent="0.25">
      <c r="C68" t="s">
        <v>52</v>
      </c>
      <c r="E68" s="1" t="s">
        <v>21</v>
      </c>
      <c r="O68" s="1">
        <f t="shared" si="7"/>
        <v>0</v>
      </c>
      <c r="P68" s="1">
        <f t="shared" si="8"/>
        <v>0</v>
      </c>
    </row>
    <row r="69" spans="3:16" x14ac:dyDescent="0.25">
      <c r="C69" t="s">
        <v>55</v>
      </c>
      <c r="E69" s="1" t="s">
        <v>21</v>
      </c>
      <c r="O69" s="1">
        <f t="shared" si="7"/>
        <v>0</v>
      </c>
      <c r="P69" s="1">
        <f t="shared" si="8"/>
        <v>0</v>
      </c>
    </row>
    <row r="70" spans="3:16" x14ac:dyDescent="0.25">
      <c r="C70" t="s">
        <v>56</v>
      </c>
      <c r="E70" s="1" t="s">
        <v>20</v>
      </c>
      <c r="F70" s="1">
        <v>1219</v>
      </c>
      <c r="G70" s="1">
        <v>766</v>
      </c>
      <c r="H70" s="1">
        <v>1158</v>
      </c>
      <c r="I70" s="1">
        <v>1088</v>
      </c>
      <c r="O70" s="1">
        <f t="shared" si="7"/>
        <v>1188.5</v>
      </c>
      <c r="P70" s="1">
        <f t="shared" si="8"/>
        <v>927</v>
      </c>
    </row>
    <row r="71" spans="3:16" x14ac:dyDescent="0.25">
      <c r="C71" t="s">
        <v>57</v>
      </c>
      <c r="E71" s="1" t="s">
        <v>21</v>
      </c>
      <c r="O71" s="1">
        <f t="shared" si="7"/>
        <v>0</v>
      </c>
      <c r="P71" s="1">
        <f t="shared" si="8"/>
        <v>0</v>
      </c>
    </row>
    <row r="72" spans="3:16" x14ac:dyDescent="0.25">
      <c r="C72" t="s">
        <v>58</v>
      </c>
      <c r="E72" s="1" t="s">
        <v>21</v>
      </c>
      <c r="O72" s="1">
        <f t="shared" si="7"/>
        <v>0</v>
      </c>
      <c r="P72" s="1">
        <f t="shared" si="8"/>
        <v>0</v>
      </c>
    </row>
    <row r="73" spans="3:16" x14ac:dyDescent="0.25">
      <c r="C73" t="s">
        <v>59</v>
      </c>
      <c r="E73" s="1" t="s">
        <v>21</v>
      </c>
      <c r="O73" s="1">
        <f t="shared" si="7"/>
        <v>0</v>
      </c>
      <c r="P73" s="1">
        <f t="shared" si="8"/>
        <v>0</v>
      </c>
    </row>
    <row r="74" spans="3:16" x14ac:dyDescent="0.25">
      <c r="C74" t="s">
        <v>60</v>
      </c>
      <c r="E74" s="1" t="s">
        <v>20</v>
      </c>
      <c r="F74" s="1">
        <v>1052</v>
      </c>
      <c r="G74" s="1">
        <v>771</v>
      </c>
      <c r="H74" s="1">
        <v>1227</v>
      </c>
      <c r="I74" s="1">
        <v>1093</v>
      </c>
      <c r="O74" s="1">
        <f t="shared" si="7"/>
        <v>1139.5</v>
      </c>
      <c r="P74" s="1">
        <f t="shared" si="8"/>
        <v>932</v>
      </c>
    </row>
    <row r="75" spans="3:16" x14ac:dyDescent="0.25">
      <c r="C75" t="s">
        <v>61</v>
      </c>
      <c r="E75" s="1" t="s">
        <v>20</v>
      </c>
      <c r="F75" s="1">
        <v>1665</v>
      </c>
      <c r="G75" s="1">
        <v>927</v>
      </c>
      <c r="H75" s="1">
        <v>1602</v>
      </c>
      <c r="I75" s="1">
        <v>924</v>
      </c>
      <c r="O75" s="1">
        <f t="shared" si="7"/>
        <v>1633.5</v>
      </c>
      <c r="P75" s="1">
        <f t="shared" si="8"/>
        <v>925.5</v>
      </c>
    </row>
    <row r="76" spans="3:16" x14ac:dyDescent="0.25">
      <c r="C76" t="s">
        <v>62</v>
      </c>
      <c r="E76" s="1" t="s">
        <v>21</v>
      </c>
      <c r="O76" s="1">
        <f t="shared" si="7"/>
        <v>0</v>
      </c>
      <c r="P76" s="1">
        <f t="shared" si="8"/>
        <v>0</v>
      </c>
    </row>
    <row r="77" spans="3:16" x14ac:dyDescent="0.25">
      <c r="C77" t="s">
        <v>63</v>
      </c>
      <c r="E77" s="1" t="s">
        <v>21</v>
      </c>
      <c r="O77" s="1">
        <f t="shared" si="7"/>
        <v>0</v>
      </c>
      <c r="P77" s="1">
        <f t="shared" si="8"/>
        <v>0</v>
      </c>
    </row>
    <row r="78" spans="3:16" x14ac:dyDescent="0.25">
      <c r="C78" t="s">
        <v>64</v>
      </c>
      <c r="E78" s="1" t="s">
        <v>20</v>
      </c>
      <c r="F78" s="1">
        <v>1561</v>
      </c>
      <c r="G78" s="1">
        <v>823</v>
      </c>
      <c r="H78" s="1">
        <v>1160</v>
      </c>
      <c r="I78" s="1">
        <v>676</v>
      </c>
      <c r="O78" s="1">
        <f t="shared" si="7"/>
        <v>1360.5</v>
      </c>
      <c r="P78" s="1">
        <f t="shared" si="8"/>
        <v>749.5</v>
      </c>
    </row>
    <row r="79" spans="3:16" x14ac:dyDescent="0.25">
      <c r="C79" t="s">
        <v>65</v>
      </c>
      <c r="E79" s="1" t="s">
        <v>21</v>
      </c>
      <c r="O79" s="1">
        <f t="shared" si="7"/>
        <v>0</v>
      </c>
      <c r="P79" s="1">
        <f t="shared" si="8"/>
        <v>0</v>
      </c>
    </row>
    <row r="80" spans="3:16" x14ac:dyDescent="0.25">
      <c r="C80" t="s">
        <v>66</v>
      </c>
      <c r="E80" s="1" t="s">
        <v>21</v>
      </c>
      <c r="O80" s="1">
        <f t="shared" si="7"/>
        <v>0</v>
      </c>
      <c r="P80" s="1">
        <f t="shared" si="8"/>
        <v>0</v>
      </c>
    </row>
    <row r="81" spans="3:16" x14ac:dyDescent="0.25">
      <c r="C81" t="s">
        <v>67</v>
      </c>
      <c r="E81" s="1" t="s">
        <v>21</v>
      </c>
      <c r="O81" s="1">
        <f t="shared" si="7"/>
        <v>0</v>
      </c>
      <c r="P81" s="1">
        <f t="shared" si="8"/>
        <v>0</v>
      </c>
    </row>
    <row r="82" spans="3:16" x14ac:dyDescent="0.25">
      <c r="C82" t="s">
        <v>68</v>
      </c>
      <c r="E82" s="1" t="s">
        <v>21</v>
      </c>
      <c r="O82" s="1">
        <f t="shared" si="7"/>
        <v>0</v>
      </c>
      <c r="P82" s="1">
        <f t="shared" si="8"/>
        <v>0</v>
      </c>
    </row>
    <row r="83" spans="3:16" x14ac:dyDescent="0.25">
      <c r="C83" t="s">
        <v>69</v>
      </c>
      <c r="E83" s="1" t="s">
        <v>21</v>
      </c>
      <c r="O83" s="1">
        <f t="shared" si="7"/>
        <v>0</v>
      </c>
      <c r="P83" s="1">
        <f t="shared" si="8"/>
        <v>0</v>
      </c>
    </row>
    <row r="84" spans="3:16" x14ac:dyDescent="0.25">
      <c r="C84" t="s">
        <v>70</v>
      </c>
      <c r="E84" s="1" t="s">
        <v>21</v>
      </c>
      <c r="O84" s="1">
        <f t="shared" si="7"/>
        <v>0</v>
      </c>
      <c r="P84" s="1">
        <f t="shared" si="8"/>
        <v>0</v>
      </c>
    </row>
    <row r="85" spans="3:16" x14ac:dyDescent="0.25">
      <c r="C85" t="s">
        <v>71</v>
      </c>
      <c r="E85" s="1" t="s">
        <v>20</v>
      </c>
      <c r="F85" s="1">
        <v>1579</v>
      </c>
      <c r="G85" s="1">
        <v>1123</v>
      </c>
      <c r="H85" s="1">
        <v>1346</v>
      </c>
      <c r="I85" s="1">
        <v>1032</v>
      </c>
      <c r="O85" s="1">
        <f t="shared" si="7"/>
        <v>1462.5</v>
      </c>
      <c r="P85" s="1">
        <f t="shared" si="8"/>
        <v>1077.5</v>
      </c>
    </row>
    <row r="86" spans="3:16" x14ac:dyDescent="0.25">
      <c r="C86" t="s">
        <v>72</v>
      </c>
      <c r="E86" s="1" t="s">
        <v>21</v>
      </c>
      <c r="O86" s="1">
        <f t="shared" si="7"/>
        <v>0</v>
      </c>
      <c r="P86" s="1">
        <f t="shared" si="8"/>
        <v>0</v>
      </c>
    </row>
    <row r="87" spans="3:16" x14ac:dyDescent="0.25">
      <c r="C87" t="s">
        <v>73</v>
      </c>
      <c r="E87" s="1" t="s">
        <v>21</v>
      </c>
      <c r="O87" s="1">
        <f t="shared" si="7"/>
        <v>0</v>
      </c>
      <c r="P87" s="1">
        <f t="shared" si="8"/>
        <v>0</v>
      </c>
    </row>
    <row r="88" spans="3:16" x14ac:dyDescent="0.25">
      <c r="C88" t="s">
        <v>74</v>
      </c>
      <c r="E88" s="1" t="s">
        <v>20</v>
      </c>
      <c r="F88" s="1">
        <v>1791</v>
      </c>
      <c r="G88" s="1">
        <v>711</v>
      </c>
      <c r="H88" s="1">
        <v>1483</v>
      </c>
      <c r="I88" s="1">
        <v>1197</v>
      </c>
      <c r="O88" s="1">
        <f t="shared" si="7"/>
        <v>1637</v>
      </c>
      <c r="P88" s="1">
        <f t="shared" si="8"/>
        <v>954</v>
      </c>
    </row>
    <row r="89" spans="3:16" x14ac:dyDescent="0.25">
      <c r="C89" t="s">
        <v>75</v>
      </c>
      <c r="E89" s="1" t="s">
        <v>21</v>
      </c>
      <c r="O89" s="1">
        <f t="shared" si="7"/>
        <v>0</v>
      </c>
      <c r="P89" s="1">
        <f t="shared" si="8"/>
        <v>0</v>
      </c>
    </row>
    <row r="90" spans="3:16" x14ac:dyDescent="0.25">
      <c r="C90" t="s">
        <v>76</v>
      </c>
      <c r="E90" s="1" t="s">
        <v>20</v>
      </c>
      <c r="F90" s="1">
        <v>1146</v>
      </c>
      <c r="G90" s="1">
        <v>937</v>
      </c>
      <c r="H90" s="1">
        <v>910</v>
      </c>
      <c r="I90" s="1">
        <v>800</v>
      </c>
      <c r="O90" s="1">
        <f t="shared" si="7"/>
        <v>1028</v>
      </c>
      <c r="P90" s="1">
        <f t="shared" si="8"/>
        <v>868.5</v>
      </c>
    </row>
    <row r="91" spans="3:16" x14ac:dyDescent="0.25">
      <c r="C91" t="s">
        <v>77</v>
      </c>
      <c r="E91" s="1" t="s">
        <v>20</v>
      </c>
      <c r="F91" s="1">
        <v>961</v>
      </c>
      <c r="G91" s="1">
        <v>714</v>
      </c>
      <c r="H91" s="1">
        <v>1502</v>
      </c>
      <c r="I91" s="1">
        <v>649</v>
      </c>
      <c r="O91" s="1">
        <f t="shared" si="7"/>
        <v>1231.5</v>
      </c>
      <c r="P91" s="1">
        <f t="shared" si="8"/>
        <v>681.5</v>
      </c>
    </row>
    <row r="92" spans="3:16" x14ac:dyDescent="0.25">
      <c r="C92" t="s">
        <v>79</v>
      </c>
      <c r="E92" s="1" t="s">
        <v>21</v>
      </c>
      <c r="O92" s="1">
        <f t="shared" si="7"/>
        <v>0</v>
      </c>
      <c r="P92" s="1">
        <f t="shared" si="8"/>
        <v>0</v>
      </c>
    </row>
    <row r="93" spans="3:16" x14ac:dyDescent="0.25">
      <c r="C93" t="s">
        <v>80</v>
      </c>
      <c r="E93" s="1" t="s">
        <v>21</v>
      </c>
      <c r="O93" s="1">
        <f t="shared" si="7"/>
        <v>0</v>
      </c>
      <c r="P93" s="1">
        <f t="shared" si="8"/>
        <v>0</v>
      </c>
    </row>
    <row r="94" spans="3:16" x14ac:dyDescent="0.25">
      <c r="C94" t="s">
        <v>81</v>
      </c>
      <c r="E94" s="1" t="s">
        <v>20</v>
      </c>
      <c r="F94" s="1">
        <v>1721</v>
      </c>
      <c r="G94" s="1">
        <v>907</v>
      </c>
      <c r="H94" s="1">
        <v>1768</v>
      </c>
      <c r="I94" s="1">
        <v>836</v>
      </c>
      <c r="O94" s="1">
        <f t="shared" si="7"/>
        <v>1744.5</v>
      </c>
      <c r="P94" s="1">
        <f t="shared" si="8"/>
        <v>871.5</v>
      </c>
    </row>
    <row r="95" spans="3:16" x14ac:dyDescent="0.25">
      <c r="C95" t="s">
        <v>82</v>
      </c>
      <c r="E95" s="1" t="s">
        <v>20</v>
      </c>
      <c r="F95" s="1">
        <v>1240</v>
      </c>
      <c r="G95" s="1">
        <v>652</v>
      </c>
      <c r="H95" s="1">
        <v>1591</v>
      </c>
      <c r="I95" s="1">
        <v>834</v>
      </c>
      <c r="O95" s="1">
        <f t="shared" si="7"/>
        <v>1415.5</v>
      </c>
      <c r="P95" s="1">
        <f t="shared" si="8"/>
        <v>743</v>
      </c>
    </row>
    <row r="96" spans="3:16" x14ac:dyDescent="0.25">
      <c r="C96" t="s">
        <v>83</v>
      </c>
      <c r="E96" s="1" t="s">
        <v>21</v>
      </c>
      <c r="O96" s="1">
        <f t="shared" si="7"/>
        <v>0</v>
      </c>
      <c r="P96" s="1">
        <f t="shared" si="8"/>
        <v>0</v>
      </c>
    </row>
    <row r="97" spans="3:16" x14ac:dyDescent="0.25">
      <c r="C97" t="s">
        <v>84</v>
      </c>
      <c r="E97" s="1" t="s">
        <v>21</v>
      </c>
      <c r="O97" s="1">
        <f t="shared" si="7"/>
        <v>0</v>
      </c>
      <c r="P97" s="1">
        <f t="shared" si="8"/>
        <v>0</v>
      </c>
    </row>
    <row r="98" spans="3:16" x14ac:dyDescent="0.25">
      <c r="C98" t="s">
        <v>85</v>
      </c>
      <c r="E98" s="1" t="s">
        <v>20</v>
      </c>
      <c r="F98" s="1">
        <v>1498</v>
      </c>
      <c r="G98" s="1">
        <v>972</v>
      </c>
      <c r="H98" s="1">
        <v>1790</v>
      </c>
      <c r="I98" s="1">
        <v>859</v>
      </c>
      <c r="O98" s="1">
        <f t="shared" si="7"/>
        <v>1644</v>
      </c>
      <c r="P98" s="1">
        <f t="shared" si="8"/>
        <v>915.5</v>
      </c>
    </row>
    <row r="99" spans="3:16" x14ac:dyDescent="0.25">
      <c r="O99" s="16">
        <f>COUNTIF(O40:O98,"&gt;=1260")</f>
        <v>20</v>
      </c>
      <c r="P99" s="16">
        <f>COUNTIF(P40:P98,"&gt;=840")</f>
        <v>19</v>
      </c>
    </row>
    <row r="100" spans="3:16" x14ac:dyDescent="0.25">
      <c r="P100" s="38"/>
    </row>
  </sheetData>
  <mergeCells count="6">
    <mergeCell ref="AA1:AC1"/>
    <mergeCell ref="F1:G1"/>
    <mergeCell ref="H1:I1"/>
    <mergeCell ref="J1:K1"/>
    <mergeCell ref="L1:M1"/>
    <mergeCell ref="X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/>
  </sheetViews>
  <sheetFormatPr baseColWidth="10" defaultRowHeight="12" x14ac:dyDescent="0.2"/>
  <cols>
    <col min="1" max="1" width="11.7109375" style="24" bestFit="1" customWidth="1"/>
    <col min="2" max="5" width="11.42578125" style="24"/>
    <col min="6" max="6" width="12.5703125" style="24" customWidth="1"/>
    <col min="7" max="8" width="11.42578125" style="24"/>
    <col min="9" max="9" width="12.85546875" style="24" customWidth="1"/>
    <col min="10" max="11" width="11.42578125" style="24"/>
    <col min="12" max="12" width="13.85546875" style="24" customWidth="1"/>
    <col min="13" max="16384" width="11.42578125" style="24"/>
  </cols>
  <sheetData>
    <row r="1" spans="1:14" x14ac:dyDescent="0.2">
      <c r="A1" s="25" t="s">
        <v>234</v>
      </c>
      <c r="F1" s="25" t="s">
        <v>233</v>
      </c>
    </row>
    <row r="2" spans="1:14" x14ac:dyDescent="0.2">
      <c r="A2" s="26" t="s">
        <v>235</v>
      </c>
      <c r="B2" s="26" t="s">
        <v>243</v>
      </c>
      <c r="C2" s="26"/>
      <c r="D2" s="26"/>
      <c r="E2" s="26"/>
      <c r="F2" s="26" t="s">
        <v>236</v>
      </c>
      <c r="G2" s="26" t="s">
        <v>243</v>
      </c>
      <c r="H2" s="26"/>
      <c r="I2" s="26" t="s">
        <v>236</v>
      </c>
      <c r="J2" s="26" t="s">
        <v>243</v>
      </c>
      <c r="K2" s="26"/>
      <c r="L2" s="26" t="s">
        <v>236</v>
      </c>
      <c r="M2" s="26" t="s">
        <v>243</v>
      </c>
    </row>
    <row r="3" spans="1:14" x14ac:dyDescent="0.2">
      <c r="A3" s="27" t="s">
        <v>228</v>
      </c>
      <c r="B3" s="28">
        <f>A10</f>
        <v>15</v>
      </c>
      <c r="C3" s="28"/>
      <c r="D3" s="28"/>
      <c r="E3" s="28"/>
      <c r="F3" s="28" t="s">
        <v>0</v>
      </c>
      <c r="G3" s="28">
        <f>A11</f>
        <v>7</v>
      </c>
      <c r="H3" s="28"/>
      <c r="I3" s="28" t="s">
        <v>38</v>
      </c>
      <c r="J3" s="28">
        <f>A12</f>
        <v>8</v>
      </c>
      <c r="K3" s="28"/>
      <c r="L3" s="28" t="s">
        <v>237</v>
      </c>
      <c r="M3" s="28">
        <v>0</v>
      </c>
    </row>
    <row r="4" spans="1:14" x14ac:dyDescent="0.2">
      <c r="A4" s="27" t="s">
        <v>54</v>
      </c>
      <c r="B4" s="28">
        <f>E10</f>
        <v>30</v>
      </c>
      <c r="C4" s="28"/>
      <c r="D4" s="28"/>
      <c r="E4" s="28"/>
      <c r="F4" s="28" t="s">
        <v>237</v>
      </c>
      <c r="G4" s="28">
        <v>0</v>
      </c>
      <c r="H4" s="28"/>
      <c r="I4" s="28" t="s">
        <v>38</v>
      </c>
      <c r="J4" s="28">
        <f>E11</f>
        <v>9</v>
      </c>
      <c r="K4" s="28"/>
      <c r="L4" s="28" t="s">
        <v>161</v>
      </c>
      <c r="M4" s="28">
        <f>E12</f>
        <v>21</v>
      </c>
    </row>
    <row r="5" spans="1:14" x14ac:dyDescent="0.2">
      <c r="A5" s="27" t="s">
        <v>125</v>
      </c>
      <c r="B5" s="28">
        <f>I10</f>
        <v>34</v>
      </c>
      <c r="C5" s="28"/>
      <c r="D5" s="28"/>
      <c r="E5" s="28"/>
      <c r="F5" s="28" t="s">
        <v>0</v>
      </c>
      <c r="G5" s="28">
        <f>I11</f>
        <v>16</v>
      </c>
      <c r="H5" s="28"/>
      <c r="I5" s="28" t="s">
        <v>38</v>
      </c>
      <c r="J5" s="28">
        <f>I12</f>
        <v>12</v>
      </c>
      <c r="K5" s="28"/>
      <c r="L5" s="28" t="s">
        <v>161</v>
      </c>
      <c r="M5" s="28">
        <f>I13</f>
        <v>6</v>
      </c>
    </row>
    <row r="6" spans="1:14" x14ac:dyDescent="0.2">
      <c r="A6" s="27" t="s">
        <v>232</v>
      </c>
      <c r="B6" s="28">
        <f>M10</f>
        <v>43</v>
      </c>
      <c r="C6" s="28"/>
      <c r="D6" s="28"/>
      <c r="E6" s="28"/>
      <c r="F6" s="28" t="s">
        <v>0</v>
      </c>
      <c r="G6" s="28">
        <f>M11</f>
        <v>3</v>
      </c>
      <c r="H6" s="28"/>
      <c r="I6" s="28" t="s">
        <v>38</v>
      </c>
      <c r="J6" s="28">
        <f>M12</f>
        <v>14</v>
      </c>
      <c r="K6" s="28"/>
      <c r="L6" s="28" t="s">
        <v>161</v>
      </c>
      <c r="M6" s="28">
        <f>M13</f>
        <v>26</v>
      </c>
    </row>
    <row r="7" spans="1:14" x14ac:dyDescent="0.2">
      <c r="I7" s="28"/>
    </row>
    <row r="9" spans="1:14" x14ac:dyDescent="0.2">
      <c r="A9" s="26" t="s">
        <v>228</v>
      </c>
      <c r="E9" s="26" t="s">
        <v>54</v>
      </c>
      <c r="I9" s="26" t="s">
        <v>125</v>
      </c>
      <c r="M9" s="26" t="s">
        <v>232</v>
      </c>
    </row>
    <row r="10" spans="1:14" x14ac:dyDescent="0.2">
      <c r="A10" s="28">
        <f>COUNTIF(ARQ!$E$3:$E$33,"T")</f>
        <v>15</v>
      </c>
      <c r="B10" s="29" t="s">
        <v>254</v>
      </c>
      <c r="E10" s="28">
        <f>COUNTIF(CDMX!$E$3:$E$73,"T")</f>
        <v>30</v>
      </c>
      <c r="F10" s="29" t="s">
        <v>254</v>
      </c>
      <c r="I10" s="28">
        <f>COUNTIF(LIM!$E$3:$E$70,"T")</f>
        <v>34</v>
      </c>
      <c r="J10" s="29" t="s">
        <v>254</v>
      </c>
      <c r="M10" s="28">
        <f>COUNTIF(SCL!$E$3:$E$98,"T")</f>
        <v>43</v>
      </c>
      <c r="N10" s="29" t="s">
        <v>254</v>
      </c>
    </row>
    <row r="11" spans="1:14" x14ac:dyDescent="0.2">
      <c r="A11" s="28">
        <f>COUNTIF(ARQ!$E$3:$E$17,"T")</f>
        <v>7</v>
      </c>
      <c r="B11" s="29" t="s">
        <v>229</v>
      </c>
      <c r="E11" s="28">
        <f>COUNTIF(CDMX!$E$3:$E$26,"T")</f>
        <v>9</v>
      </c>
      <c r="F11" s="29" t="s">
        <v>230</v>
      </c>
      <c r="I11" s="28">
        <f>COUNTIF(LIM!$E$3:$E$37,"T")</f>
        <v>16</v>
      </c>
      <c r="J11" s="29" t="s">
        <v>229</v>
      </c>
      <c r="M11" s="28">
        <f>COUNTIF(SCL!$E$3:$E$13,"T")</f>
        <v>3</v>
      </c>
      <c r="N11" s="29" t="s">
        <v>229</v>
      </c>
    </row>
    <row r="12" spans="1:14" x14ac:dyDescent="0.2">
      <c r="A12" s="28">
        <f>COUNTIF(ARQ!$E$19:$E$33,"T")</f>
        <v>8</v>
      </c>
      <c r="B12" s="29" t="s">
        <v>230</v>
      </c>
      <c r="E12" s="28">
        <f>COUNTIF(CDMX!$E$28:$E$73,"T")</f>
        <v>21</v>
      </c>
      <c r="F12" s="29" t="s">
        <v>231</v>
      </c>
      <c r="I12" s="28">
        <f>COUNTIF(LIM!$E$39:$E$55,"T")</f>
        <v>12</v>
      </c>
      <c r="J12" s="29" t="s">
        <v>230</v>
      </c>
      <c r="M12" s="28">
        <f>COUNTIF(SCL!$E$15:$E$37,"T")</f>
        <v>14</v>
      </c>
      <c r="N12" s="29" t="s">
        <v>230</v>
      </c>
    </row>
    <row r="13" spans="1:14" x14ac:dyDescent="0.2">
      <c r="I13" s="28">
        <f>COUNTIF(LIM!$E$57:$E$70,"T")</f>
        <v>6</v>
      </c>
      <c r="J13" s="29" t="s">
        <v>231</v>
      </c>
      <c r="M13" s="28">
        <f>COUNTIF(SCL!$E$40:$E$98,"T")</f>
        <v>26</v>
      </c>
      <c r="N13" s="29" t="s">
        <v>231</v>
      </c>
    </row>
    <row r="14" spans="1:14" ht="12.75" thickBot="1" x14ac:dyDescent="0.25">
      <c r="A14" s="30">
        <f>SUM(A11:A13)</f>
        <v>15</v>
      </c>
      <c r="B14" s="31"/>
      <c r="C14" s="31"/>
      <c r="D14" s="31"/>
      <c r="E14" s="30">
        <f>SUM(E11:E13)</f>
        <v>30</v>
      </c>
      <c r="F14" s="31"/>
      <c r="G14" s="31"/>
      <c r="H14" s="31"/>
      <c r="I14" s="30">
        <f>SUM(I11:I13)</f>
        <v>34</v>
      </c>
      <c r="J14" s="31"/>
      <c r="K14" s="31"/>
      <c r="L14" s="31"/>
      <c r="M14" s="30">
        <f>SUM(M11:M13)</f>
        <v>43</v>
      </c>
    </row>
    <row r="15" spans="1:14" ht="12.75" thickTop="1" x14ac:dyDescent="0.2"/>
    <row r="17" spans="1:14" x14ac:dyDescent="0.2">
      <c r="A17" s="25" t="s">
        <v>238</v>
      </c>
      <c r="D17" s="24" t="s">
        <v>264</v>
      </c>
    </row>
    <row r="18" spans="1:14" x14ac:dyDescent="0.2">
      <c r="A18" s="26" t="s">
        <v>235</v>
      </c>
      <c r="B18" s="26" t="s">
        <v>239</v>
      </c>
      <c r="C18" s="26" t="s">
        <v>21</v>
      </c>
      <c r="D18" s="26" t="s">
        <v>240</v>
      </c>
      <c r="E18" s="26"/>
      <c r="F18" s="26" t="s">
        <v>236</v>
      </c>
      <c r="G18" s="26" t="s">
        <v>242</v>
      </c>
      <c r="H18" s="26" t="s">
        <v>241</v>
      </c>
      <c r="I18" s="26" t="s">
        <v>236</v>
      </c>
      <c r="J18" s="26" t="s">
        <v>242</v>
      </c>
      <c r="K18" s="26" t="s">
        <v>241</v>
      </c>
      <c r="L18" s="26" t="s">
        <v>236</v>
      </c>
      <c r="M18" s="26" t="s">
        <v>242</v>
      </c>
      <c r="N18" s="26" t="s">
        <v>241</v>
      </c>
    </row>
    <row r="19" spans="1:14" x14ac:dyDescent="0.2">
      <c r="A19" s="27" t="s">
        <v>228</v>
      </c>
      <c r="B19" s="28">
        <v>15</v>
      </c>
      <c r="C19" s="32">
        <f>COUNTIF(ARQ!E3:E33,"F")</f>
        <v>15</v>
      </c>
      <c r="D19" s="33">
        <f>C19/B19*100</f>
        <v>100</v>
      </c>
      <c r="E19" s="28"/>
      <c r="F19" s="28" t="s">
        <v>0</v>
      </c>
      <c r="G19" s="28">
        <f>COUNTIF(ARQ!$E$3:$E$17,"F")</f>
        <v>8</v>
      </c>
      <c r="H19" s="33">
        <f>G19/$B$19*100</f>
        <v>53.333333333333336</v>
      </c>
      <c r="I19" s="28" t="s">
        <v>38</v>
      </c>
      <c r="J19" s="28">
        <f>COUNTIF(ARQ!$E$19:$E$33,"F")</f>
        <v>7</v>
      </c>
      <c r="K19" s="33">
        <f>J19/$B$19*100</f>
        <v>46.666666666666664</v>
      </c>
      <c r="L19" s="28" t="s">
        <v>237</v>
      </c>
      <c r="M19" s="28">
        <v>0</v>
      </c>
      <c r="N19" s="33">
        <f>M19/$B$19*100</f>
        <v>0</v>
      </c>
    </row>
    <row r="20" spans="1:14" x14ac:dyDescent="0.2">
      <c r="A20" s="27" t="s">
        <v>54</v>
      </c>
      <c r="B20" s="28">
        <f>COUNTA(CDMX!E3:E73)</f>
        <v>70</v>
      </c>
      <c r="C20" s="32">
        <f>COUNTIF(CDMX!E3:E73,"F")</f>
        <v>40</v>
      </c>
      <c r="D20" s="33">
        <f t="shared" ref="D20:D22" si="0">C20/B20*100</f>
        <v>57.142857142857139</v>
      </c>
      <c r="E20" s="28"/>
      <c r="F20" s="28" t="s">
        <v>237</v>
      </c>
      <c r="G20" s="28">
        <v>0</v>
      </c>
      <c r="H20" s="33">
        <f>G20/$B$20*100</f>
        <v>0</v>
      </c>
      <c r="I20" s="28" t="s">
        <v>38</v>
      </c>
      <c r="J20" s="28">
        <f>COUNTIF(CDMX!$E$3:$E$26,"F")</f>
        <v>15</v>
      </c>
      <c r="K20" s="33">
        <f>J20/$B$20*100</f>
        <v>21.428571428571427</v>
      </c>
      <c r="L20" s="28" t="s">
        <v>161</v>
      </c>
      <c r="M20" s="28">
        <f>COUNTIF(CDMX!$E$28:$E$73,"F")</f>
        <v>25</v>
      </c>
      <c r="N20" s="33">
        <f>M20/$B$20*100</f>
        <v>35.714285714285715</v>
      </c>
    </row>
    <row r="21" spans="1:14" x14ac:dyDescent="0.2">
      <c r="A21" s="27" t="s">
        <v>125</v>
      </c>
      <c r="B21" s="28">
        <f>COUNTA(LIM!E3:E70)</f>
        <v>66</v>
      </c>
      <c r="C21" s="32">
        <f>COUNTIF(LIM!E3:E70,"F")</f>
        <v>32</v>
      </c>
      <c r="D21" s="33">
        <f t="shared" si="0"/>
        <v>48.484848484848484</v>
      </c>
      <c r="E21" s="28"/>
      <c r="F21" s="28" t="s">
        <v>0</v>
      </c>
      <c r="G21" s="28">
        <f>COUNTIF(LIM!$E$3:$E$37,"F")</f>
        <v>19</v>
      </c>
      <c r="H21" s="33">
        <f>G21/$B$21*100</f>
        <v>28.787878787878789</v>
      </c>
      <c r="I21" s="28" t="s">
        <v>38</v>
      </c>
      <c r="J21" s="28">
        <f>COUNTIF(LIM!$E$39:$E$55,"F")</f>
        <v>5</v>
      </c>
      <c r="K21" s="33">
        <f>J21/$B$21*100</f>
        <v>7.5757575757575761</v>
      </c>
      <c r="L21" s="28" t="s">
        <v>161</v>
      </c>
      <c r="M21" s="28">
        <f>COUNTIF(LIM!$E$57:$E$70,"F")</f>
        <v>8</v>
      </c>
      <c r="N21" s="33">
        <f>M21/$B$21*100</f>
        <v>12.121212121212121</v>
      </c>
    </row>
    <row r="22" spans="1:14" x14ac:dyDescent="0.2">
      <c r="A22" s="27" t="s">
        <v>232</v>
      </c>
      <c r="B22" s="28">
        <v>23</v>
      </c>
      <c r="C22" s="32">
        <f>COUNTIF(SCL!E3:E98,"F")</f>
        <v>50</v>
      </c>
      <c r="D22" s="33">
        <f t="shared" si="0"/>
        <v>217.39130434782606</v>
      </c>
      <c r="E22" s="28"/>
      <c r="F22" s="28" t="s">
        <v>0</v>
      </c>
      <c r="G22" s="28">
        <f>COUNTIF(SCL!$E$3:$E$13,"F")</f>
        <v>8</v>
      </c>
      <c r="H22" s="33">
        <f>G22/$B$22*100</f>
        <v>34.782608695652172</v>
      </c>
      <c r="I22" s="28" t="s">
        <v>38</v>
      </c>
      <c r="J22" s="28">
        <f>COUNTIF(SCL!$E$15:$E$37,"F")</f>
        <v>9</v>
      </c>
      <c r="K22" s="33">
        <f>J22/$B$22*100</f>
        <v>39.130434782608695</v>
      </c>
      <c r="L22" s="28" t="s">
        <v>161</v>
      </c>
      <c r="M22" s="28">
        <f>COUNTIF(SCL!$E$40:$E$98,"F")</f>
        <v>33</v>
      </c>
      <c r="N22" s="33">
        <f>M22/$B$22*100</f>
        <v>143.47826086956522</v>
      </c>
    </row>
    <row r="24" spans="1:14" x14ac:dyDescent="0.2">
      <c r="E24" s="34"/>
    </row>
    <row r="25" spans="1:14" x14ac:dyDescent="0.2">
      <c r="H25" s="36"/>
    </row>
    <row r="26" spans="1:14" x14ac:dyDescent="0.2">
      <c r="H26" s="36"/>
    </row>
    <row r="27" spans="1:14" x14ac:dyDescent="0.2">
      <c r="A27" s="25" t="s">
        <v>244</v>
      </c>
      <c r="H27" s="36"/>
    </row>
    <row r="28" spans="1:14" x14ac:dyDescent="0.2">
      <c r="A28" s="25" t="s">
        <v>245</v>
      </c>
      <c r="H28" s="36"/>
    </row>
    <row r="29" spans="1:14" x14ac:dyDescent="0.2">
      <c r="A29" s="35" t="s">
        <v>246</v>
      </c>
      <c r="H29" s="36"/>
    </row>
    <row r="30" spans="1:14" x14ac:dyDescent="0.2">
      <c r="A30" s="24" t="s">
        <v>247</v>
      </c>
      <c r="H30" s="36"/>
    </row>
    <row r="31" spans="1:14" x14ac:dyDescent="0.2">
      <c r="A31" s="24" t="s">
        <v>248</v>
      </c>
      <c r="H31" s="36"/>
    </row>
    <row r="32" spans="1:14" x14ac:dyDescent="0.2">
      <c r="A32" s="24" t="s">
        <v>249</v>
      </c>
      <c r="H32" s="36"/>
    </row>
    <row r="33" spans="1:8" x14ac:dyDescent="0.2">
      <c r="A33" s="24" t="s">
        <v>255</v>
      </c>
      <c r="C33" s="24" t="s">
        <v>256</v>
      </c>
      <c r="H33" s="36"/>
    </row>
    <row r="34" spans="1:8" x14ac:dyDescent="0.2">
      <c r="A34" s="24">
        <f>ARQ!AD3-ARQ!AF3</f>
        <v>55</v>
      </c>
      <c r="C34" s="24">
        <f>ARQ!AD19-ARQ!AF19</f>
        <v>97</v>
      </c>
      <c r="H34" s="36"/>
    </row>
    <row r="35" spans="1:8" x14ac:dyDescent="0.2">
      <c r="A35" s="24">
        <f>ARQ!AD4-ARQ!AF4</f>
        <v>64</v>
      </c>
      <c r="C35" s="24">
        <f>ARQ!AD20-ARQ!AF20</f>
        <v>79</v>
      </c>
    </row>
    <row r="36" spans="1:8" x14ac:dyDescent="0.2">
      <c r="A36" s="24">
        <f>ARQ!AD5-ARQ!AF5</f>
        <v>69</v>
      </c>
      <c r="C36" s="24">
        <f>ARQ!AD21-ARQ!AF21</f>
        <v>79</v>
      </c>
    </row>
    <row r="37" spans="1:8" x14ac:dyDescent="0.2">
      <c r="A37" s="24">
        <f>ARQ!AD6-ARQ!AF6</f>
        <v>71</v>
      </c>
    </row>
    <row r="41" spans="1:8" x14ac:dyDescent="0.2">
      <c r="A41" s="25" t="s">
        <v>257</v>
      </c>
    </row>
    <row r="44" spans="1:8" x14ac:dyDescent="0.2">
      <c r="A44" s="25" t="s">
        <v>258</v>
      </c>
      <c r="D44" s="36">
        <f>AVERAGE(ARQ!AJ3:AJ6)</f>
        <v>3.5999999999999996</v>
      </c>
    </row>
    <row r="45" spans="1:8" x14ac:dyDescent="0.2">
      <c r="A45" s="25" t="s">
        <v>259</v>
      </c>
      <c r="D45" s="36">
        <f>AVERAGE(ARQ!AK3:AK6)</f>
        <v>4.0250000000000004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ARQ</vt:lpstr>
      <vt:lpstr>CDMX</vt:lpstr>
      <vt:lpstr>LIM</vt:lpstr>
      <vt:lpstr>SCL</vt:lpstr>
      <vt:lpstr>Ecuaciones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2017-12-14T06:30:31Z</dcterms:created>
  <dcterms:modified xsi:type="dcterms:W3CDTF">2017-12-20T14:49:37Z</dcterms:modified>
</cp:coreProperties>
</file>