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itzfrederick/Documents/Online courses/"/>
    </mc:Choice>
  </mc:AlternateContent>
  <xr:revisionPtr revIDLastSave="0" documentId="13_ncr:1_{E959791F-4B2C-0949-BE8C-E6141B43E283}" xr6:coauthVersionLast="47" xr6:coauthVersionMax="47" xr10:uidLastSave="{00000000-0000-0000-0000-000000000000}"/>
  <bookViews>
    <workbookView xWindow="3460" yWindow="2540" windowWidth="27640" windowHeight="16940" xr2:uid="{74EFA575-48D5-5E4A-B979-372FC34EE203}"/>
  </bookViews>
  <sheets>
    <sheet name="Sheet1" sheetId="1" r:id="rId1"/>
  </sheets>
  <definedNames>
    <definedName name="_xlchart.v2.0" hidden="1">Sheet1!$A$55:$A$58</definedName>
    <definedName name="_xlchart.v2.1" hidden="1">Sheet1!$B$54</definedName>
    <definedName name="_xlchart.v2.2" hidden="1">Sheet1!$B$55:$B$58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8" i="1" l="1"/>
  <c r="B52" i="1"/>
  <c r="F42" i="1"/>
  <c r="F43" i="1"/>
  <c r="F44" i="1"/>
  <c r="F45" i="1"/>
  <c r="B42" i="1"/>
  <c r="C67" i="1"/>
  <c r="C66" i="1"/>
  <c r="F33" i="1"/>
  <c r="F34" i="1"/>
  <c r="C24" i="1"/>
  <c r="C27" i="1"/>
  <c r="C26" i="1"/>
  <c r="C23" i="1"/>
  <c r="C28" i="1"/>
  <c r="D24" i="1"/>
  <c r="J24" i="1" s="1"/>
  <c r="D25" i="1"/>
  <c r="J25" i="1" s="1"/>
  <c r="D26" i="1"/>
  <c r="D27" i="1"/>
  <c r="D28" i="1"/>
  <c r="J28" i="1" s="1"/>
  <c r="D23" i="1"/>
  <c r="H15" i="1"/>
  <c r="J15" i="1" s="1"/>
  <c r="H16" i="1"/>
  <c r="H17" i="1"/>
  <c r="H18" i="1"/>
  <c r="H19" i="1"/>
  <c r="H14" i="1"/>
  <c r="E15" i="1"/>
  <c r="E16" i="1"/>
  <c r="E17" i="1"/>
  <c r="E18" i="1"/>
  <c r="E19" i="1"/>
  <c r="J19" i="1" s="1"/>
  <c r="C68" i="1" s="1"/>
  <c r="C65" i="1" s="1"/>
  <c r="E14" i="1"/>
  <c r="B15" i="1"/>
  <c r="B16" i="1"/>
  <c r="B17" i="1"/>
  <c r="F35" i="1" s="1"/>
  <c r="F38" i="1" s="1"/>
  <c r="B18" i="1"/>
  <c r="F36" i="1" s="1"/>
  <c r="B19" i="1"/>
  <c r="B14" i="1"/>
  <c r="F32" i="1" s="1"/>
  <c r="B37" i="1" l="1"/>
  <c r="C37" i="1"/>
  <c r="C70" i="1"/>
  <c r="C69" i="1"/>
  <c r="J14" i="1"/>
  <c r="K14" i="1" s="1"/>
  <c r="D44" i="1"/>
  <c r="J18" i="1"/>
  <c r="K18" i="1" s="1"/>
  <c r="J17" i="1"/>
  <c r="K17" i="1" s="1"/>
  <c r="K19" i="1"/>
  <c r="K15" i="1"/>
  <c r="J16" i="1"/>
  <c r="K16" i="1" s="1"/>
  <c r="B44" i="1" l="1"/>
  <c r="E44" i="1" s="1"/>
  <c r="D34" i="1"/>
  <c r="C34" i="1"/>
  <c r="B34" i="1"/>
  <c r="E34" i="1"/>
  <c r="C33" i="1"/>
  <c r="B33" i="1"/>
  <c r="D33" i="1"/>
  <c r="E33" i="1"/>
  <c r="C32" i="1"/>
  <c r="B32" i="1"/>
  <c r="E32" i="1"/>
  <c r="D32" i="1"/>
  <c r="D38" i="1" s="1"/>
  <c r="B35" i="1"/>
  <c r="D35" i="1"/>
  <c r="E35" i="1"/>
  <c r="C35" i="1"/>
  <c r="C36" i="1"/>
  <c r="D36" i="1"/>
  <c r="B36" i="1"/>
  <c r="E36" i="1"/>
  <c r="B38" i="1" l="1"/>
  <c r="E38" i="1"/>
  <c r="C38" i="1"/>
  <c r="C42" i="1"/>
  <c r="G42" i="1" s="1"/>
  <c r="H42" i="1" s="1"/>
  <c r="E42" i="1"/>
  <c r="C43" i="1"/>
  <c r="G43" i="1" s="1"/>
  <c r="H43" i="1" s="1"/>
  <c r="B43" i="1"/>
  <c r="E43" i="1" s="1"/>
  <c r="K45" i="1" l="1"/>
  <c r="K44" i="1"/>
</calcChain>
</file>

<file path=xl/sharedStrings.xml><?xml version="1.0" encoding="utf-8"?>
<sst xmlns="http://schemas.openxmlformats.org/spreadsheetml/2006/main" count="109" uniqueCount="74">
  <si>
    <t>Peers</t>
  </si>
  <si>
    <t>J Sainsbury</t>
  </si>
  <si>
    <t>Marks &amp; Spencer Group</t>
  </si>
  <si>
    <t>Ocado Group</t>
  </si>
  <si>
    <t>B&amp;M European Value Retail</t>
  </si>
  <si>
    <t>Associated British foods</t>
  </si>
  <si>
    <t>Ticker</t>
  </si>
  <si>
    <t>SBRY.L</t>
  </si>
  <si>
    <t>MKS.L</t>
  </si>
  <si>
    <t xml:space="preserve">OCDO.L </t>
  </si>
  <si>
    <t>BME.L</t>
  </si>
  <si>
    <t>Tesco</t>
  </si>
  <si>
    <t>ABF.L</t>
  </si>
  <si>
    <t>TSCO.L</t>
  </si>
  <si>
    <t>Current Share Price</t>
  </si>
  <si>
    <t>Shares Outstanding (million)</t>
  </si>
  <si>
    <t>Basic Information</t>
  </si>
  <si>
    <t>Financials</t>
  </si>
  <si>
    <t>Market Cap</t>
  </si>
  <si>
    <t>Debt (£m)</t>
  </si>
  <si>
    <t>Market Cap (£m)</t>
  </si>
  <si>
    <t>Cash and Cash equivalents (£m)</t>
  </si>
  <si>
    <t>Current Borrowings (£m)</t>
  </si>
  <si>
    <t>Non-current Borrowings (£m)</t>
  </si>
  <si>
    <t>Current Lease Liabilities (£m)</t>
  </si>
  <si>
    <t>Net Debt (£m)</t>
  </si>
  <si>
    <t>Total Lease Liabilities (£m)</t>
  </si>
  <si>
    <t>Non-current Lease Liabilites (£m)</t>
  </si>
  <si>
    <t>Valuation Numbers</t>
  </si>
  <si>
    <t>Enterprise Value (£m)</t>
  </si>
  <si>
    <t>Associated British Foods</t>
  </si>
  <si>
    <t>Revenue</t>
  </si>
  <si>
    <t>EBITDA</t>
  </si>
  <si>
    <t>Revenue (£m)</t>
  </si>
  <si>
    <t>EBITDA (£m)</t>
  </si>
  <si>
    <t>EBIT (£m)</t>
  </si>
  <si>
    <t>CapEx (£m)</t>
  </si>
  <si>
    <t>Depreciation &amp; Amortisation (£m)</t>
  </si>
  <si>
    <t>Net Income (£m)</t>
  </si>
  <si>
    <t>EPS</t>
  </si>
  <si>
    <t>FY1 Revenue (£m)</t>
  </si>
  <si>
    <t>FY1 EBITDA (£m)</t>
  </si>
  <si>
    <t>EV/Revenue</t>
  </si>
  <si>
    <t>EV/EBITDA</t>
  </si>
  <si>
    <t>EV/Revenue (LTM)</t>
  </si>
  <si>
    <t>EV/EBITDA (LTM)</t>
  </si>
  <si>
    <t>EV/Revenue (FY1)</t>
  </si>
  <si>
    <t>EV/EBITDA (FY1)</t>
  </si>
  <si>
    <t xml:space="preserve">P/E </t>
  </si>
  <si>
    <t>Median</t>
  </si>
  <si>
    <t>Multiples</t>
  </si>
  <si>
    <t>Company</t>
  </si>
  <si>
    <t>Average</t>
  </si>
  <si>
    <t>Tesco (EV/Revenue)</t>
  </si>
  <si>
    <t>Tesco (EV/EBITDA)</t>
  </si>
  <si>
    <t>Tesco (P/E)</t>
  </si>
  <si>
    <t>Implied Enterprise Value (LTM) (£m)</t>
  </si>
  <si>
    <t>Implied Enterprise Value (FY1) (£m)</t>
  </si>
  <si>
    <t>Implied Share Price (LTM)</t>
  </si>
  <si>
    <t>Implied Equity Price (LTM) (£m)</t>
  </si>
  <si>
    <t>Implied Share Price (FY1)</t>
  </si>
  <si>
    <t>Implied Equity Price (FY1)</t>
  </si>
  <si>
    <t>Results</t>
  </si>
  <si>
    <t>Sensitivity Analysis</t>
  </si>
  <si>
    <t>25th Percentile</t>
  </si>
  <si>
    <t>75th Percentile</t>
  </si>
  <si>
    <t>Comps</t>
  </si>
  <si>
    <t>Average FY1</t>
  </si>
  <si>
    <t>Metric</t>
  </si>
  <si>
    <t>Enterprise Value (EV)</t>
  </si>
  <si>
    <t>Net Debt</t>
  </si>
  <si>
    <t>Value (£m)</t>
  </si>
  <si>
    <t>Real information from Yahoo Finance</t>
  </si>
  <si>
    <t>Midpoint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</si>
</sst>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&quot;£&quot;#,##0.00"/>
    <numFmt numFmtId="172" formatCode="0.000000"/>
    <numFmt numFmtId="175" formatCode="0.000000000"/>
  </numFmts>
  <fonts count="9" x14ac:knownFonts="1">
    <font>
      <sz val="12"/>
      <color theme="1"/>
      <name val="Aptos Narrow"/>
      <family val="2"/>
      <scheme val="minor"/>
    </font>
    <font>
      <b/>
      <sz val="20"/>
      <color theme="1"/>
      <name val="Calibri"/>
      <family val="2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30"/>
      <color theme="1"/>
      <name val="Calibri"/>
      <family val="2"/>
    </font>
    <font>
      <b/>
      <sz val="32"/>
      <color theme="1"/>
      <name val="Calibri"/>
      <family val="2"/>
    </font>
    <font>
      <b/>
      <sz val="14"/>
      <color theme="1"/>
      <name val="Aptos Narrow"/>
      <scheme val="minor"/>
    </font>
    <font>
      <sz val="14"/>
      <color theme="1"/>
      <name val="Aptos Narrow"/>
      <scheme val="minor"/>
    </font>
    <font>
      <b/>
      <sz val="18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5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/>
    <xf numFmtId="175" fontId="0" fillId="0" borderId="0" xfId="0" applyNumberFormat="1"/>
    <xf numFmtId="0" fontId="3" fillId="0" borderId="0" xfId="0" applyFont="1"/>
    <xf numFmtId="165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>
      <alignment horizontal="center"/>
    </xf>
    <xf numFmtId="0" fontId="0" fillId="2" borderId="0" xfId="0" applyFill="1"/>
    <xf numFmtId="165" fontId="0" fillId="2" borderId="0" xfId="0" applyNumberFormat="1" applyFill="1"/>
    <xf numFmtId="0" fontId="6" fillId="0" borderId="0" xfId="0" applyFont="1"/>
    <xf numFmtId="0" fontId="7" fillId="0" borderId="0" xfId="0" applyFont="1"/>
    <xf numFmtId="165" fontId="7" fillId="0" borderId="0" xfId="0" applyNumberFormat="1" applyFont="1"/>
    <xf numFmtId="172" fontId="7" fillId="0" borderId="0" xfId="0" applyNumberFormat="1" applyFont="1"/>
    <xf numFmtId="0" fontId="0" fillId="3" borderId="0" xfId="0" applyFill="1"/>
    <xf numFmtId="0" fontId="8" fillId="0" borderId="0" xfId="0" applyFont="1" applyAlignment="1">
      <alignment horizontal="center"/>
    </xf>
  </cellXfs>
  <cellStyles count="1">
    <cellStyle name="Normal" xfId="0" builtinId="0"/>
  </cellStyles>
  <dxfs count="38">
    <dxf>
      <numFmt numFmtId="165" formatCode="&quot;£&quot;#,##0.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numFmt numFmtId="175" formatCode="0.000000000"/>
    </dxf>
    <dxf>
      <font>
        <strike val="0"/>
        <outline val="0"/>
        <shadow val="0"/>
        <u val="none"/>
        <vertAlign val="baseline"/>
        <sz val="14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scheme val="minor"/>
      </font>
      <numFmt numFmtId="165" formatCode="&quot;£&quot;#,##0.00"/>
    </dxf>
    <dxf>
      <font>
        <strike val="0"/>
        <outline val="0"/>
        <shadow val="0"/>
        <u val="none"/>
        <vertAlign val="baseline"/>
        <sz val="14"/>
        <color theme="1"/>
        <name val="Aptos Narrow"/>
        <scheme val="minor"/>
      </font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2" formatCode="0.00"/>
    </dxf>
    <dxf>
      <numFmt numFmtId="165" formatCode="&quot;£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393A38-CD0C-704F-AC71-A71BDF0CE37A}" name="Table1" displayName="Table1" ref="A4:D10" totalsRowShown="0">
  <autoFilter ref="A4:D10" xr:uid="{6A393A38-CD0C-704F-AC71-A71BDF0CE37A}"/>
  <tableColumns count="4">
    <tableColumn id="1" xr3:uid="{B9BD6F87-277A-3143-A5F4-D6660172B874}" name="Peers"/>
    <tableColumn id="2" xr3:uid="{5E6FF857-1AE0-F249-A90F-C2C145F097C4}" name="Ticker"/>
    <tableColumn id="3" xr3:uid="{AE8AE1D3-0737-D445-80FB-49FE215E773B}" name="Current Share Price" dataDxfId="37"/>
    <tableColumn id="4" xr3:uid="{5F25533F-4FCE-C44F-A553-64BAE31293DE}" name="Shares Outstanding (million)" dataDxfId="3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1F4F01-0AF2-4246-ACB3-BFF824D3E65A}" name="Table2" displayName="Table2" ref="A13:K19" totalsRowShown="0">
  <autoFilter ref="A13:K19" xr:uid="{B61F4F01-0AF2-4246-ACB3-BFF824D3E65A}"/>
  <tableColumns count="11">
    <tableColumn id="1" xr3:uid="{95F73923-FB90-A44E-A897-F2E93F877EAC}" name="Peers"/>
    <tableColumn id="2" xr3:uid="{400C1E45-61AD-5B43-9B80-21ABFC8CB355}" name="Market Cap (£m)" dataDxfId="35">
      <calculatedColumnFormula>C5*D5</calculatedColumnFormula>
    </tableColumn>
    <tableColumn id="3" xr3:uid="{D097686F-1DE0-D945-BE4A-3427D48CA17B}" name="Current Borrowings (£m)" dataDxfId="34"/>
    <tableColumn id="4" xr3:uid="{13DBD041-6D2B-FA40-977E-700D6636DDA8}" name="Non-current Borrowings (£m)" dataDxfId="33"/>
    <tableColumn id="5" xr3:uid="{ED5550F6-4347-464C-8FD6-AFBD96D22BD1}" name="Debt (£m)" dataDxfId="32">
      <calculatedColumnFormula>C14+D14</calculatedColumnFormula>
    </tableColumn>
    <tableColumn id="6" xr3:uid="{89687472-955D-094D-AF3C-31EB6EE04788}" name="Current Lease Liabilities (£m)" dataDxfId="31"/>
    <tableColumn id="7" xr3:uid="{810C9245-F05E-9044-9F35-67F2C45E25D4}" name="Non-current Lease Liabilites (£m)" dataDxfId="30"/>
    <tableColumn id="8" xr3:uid="{D9A0679F-AC19-DE41-81DB-40969CFA691C}" name="Total Lease Liabilities (£m)" dataDxfId="29">
      <calculatedColumnFormula>F14+G14</calculatedColumnFormula>
    </tableColumn>
    <tableColumn id="9" xr3:uid="{D29861FD-47EC-9A4C-94BE-41FF504E4BDC}" name="Cash and Cash equivalents (£m)" dataDxfId="28"/>
    <tableColumn id="10" xr3:uid="{9F63715B-FC69-B940-8F1A-1C0B62AD558C}" name="Net Debt (£m)" dataDxfId="27">
      <calculatedColumnFormula>E14+H14-I14</calculatedColumnFormula>
    </tableColumn>
    <tableColumn id="11" xr3:uid="{20B81B45-774F-5449-92D4-0269B3BB4F1D}" name="Enterprise Value (£m)" dataDxfId="26">
      <calculatedColumnFormula>B14+J14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C662AE-629E-7145-AA92-BDA5EE9A2963}" name="Table3" displayName="Table3" ref="A22:J29" totalsRowShown="0">
  <autoFilter ref="A22:J29" xr:uid="{81C662AE-629E-7145-AA92-BDA5EE9A2963}"/>
  <tableColumns count="10">
    <tableColumn id="1" xr3:uid="{EB8915CE-A424-5442-84AB-5B06300C629D}" name="Peers"/>
    <tableColumn id="2" xr3:uid="{6325DE11-66DD-E84A-B586-B33C150212E9}" name="Revenue (£m)" dataDxfId="25"/>
    <tableColumn id="3" xr3:uid="{0D976D31-CA48-2D40-A5B7-3CDFD09108F6}" name="FY1 Revenue (£m)" dataDxfId="24"/>
    <tableColumn id="4" xr3:uid="{088369D4-3E96-3D43-98F0-443F73882F70}" name="EBITDA (£m)" dataDxfId="23"/>
    <tableColumn id="5" xr3:uid="{486A62AF-2017-1A4D-BCCA-B431187D7EE9}" name="EBIT (£m)" dataDxfId="22"/>
    <tableColumn id="6" xr3:uid="{D3130DED-FEC3-EE43-A279-323BBD8BEAA2}" name="Depreciation &amp; Amortisation (£m)" dataDxfId="21"/>
    <tableColumn id="7" xr3:uid="{0F72CC8C-18CF-5B4E-8694-83D1B8F33A57}" name="Net Income (£m)" dataDxfId="20"/>
    <tableColumn id="8" xr3:uid="{303F5CBF-24CB-8347-8029-2CF7F62B0E22}" name="CapEx (£m)" dataDxfId="19"/>
    <tableColumn id="9" xr3:uid="{ED2A6B8C-5663-834C-83DB-C5BED5E2580C}" name="EPS" dataDxfId="18"/>
    <tableColumn id="10" xr3:uid="{D83E926B-55A1-1F4F-823A-4EC02F985960}" name="FY1 EBITDA (£m)" dataDxfId="17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B22F0E-F464-1146-8D1F-FAAB4A821DF6}" name="Table4" displayName="Table4" ref="A31:F36" totalsRowShown="0">
  <autoFilter ref="A31:F36" xr:uid="{52B22F0E-F464-1146-8D1F-FAAB4A821DF6}"/>
  <tableColumns count="6">
    <tableColumn id="1" xr3:uid="{0D2FEFAB-B755-3242-BB94-D51CD67FFDF7}" name="Peers"/>
    <tableColumn id="2" xr3:uid="{F963268A-C201-8F4E-AA4C-E2C0AD94820A}" name="EV/Revenue (LTM)" dataDxfId="5">
      <calculatedColumnFormula>K14/B23</calculatedColumnFormula>
    </tableColumn>
    <tableColumn id="3" xr3:uid="{14B9E7A3-F471-E346-80C8-851484D27114}" name="EV/EBITDA (LTM)" dataDxfId="4">
      <calculatedColumnFormula>K14/D23</calculatedColumnFormula>
    </tableColumn>
    <tableColumn id="4" xr3:uid="{FD4A4B21-7089-434A-902D-100180211A40}" name="EV/Revenue (FY1)" dataDxfId="3">
      <calculatedColumnFormula>K14/C23</calculatedColumnFormula>
    </tableColumn>
    <tableColumn id="5" xr3:uid="{4295DDDD-FB87-A243-A12D-0188F5D5C124}" name="EV/EBITDA (FY1)" dataDxfId="2">
      <calculatedColumnFormula>K14/J23</calculatedColumnFormula>
    </tableColumn>
    <tableColumn id="6" xr3:uid="{767BBB6B-22DB-994C-9CF4-60A7EE162954}" name="P/E " dataDxfId="1">
      <calculatedColumnFormula>B14/(I23*D5)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8CD2048-A11E-C74D-AEE4-FB85887B489E}" name="Table5" displayName="Table5" ref="A41:H45" totalsRowShown="0">
  <autoFilter ref="A41:H45" xr:uid="{D8CD2048-A11E-C74D-AEE4-FB85887B489E}"/>
  <tableColumns count="8">
    <tableColumn id="1" xr3:uid="{EC1FE4BB-0304-5243-8F7F-785D86EDD20C}" name="Company"/>
    <tableColumn id="2" xr3:uid="{2BB09597-7C65-E14F-AE85-E28B6D7A57E7}" name="Implied Enterprise Value (LTM) (£m)" dataDxfId="12"/>
    <tableColumn id="3" xr3:uid="{610B7E07-C6A8-CB4F-B9BA-934B0377563B}" name="Implied Enterprise Value (FY1) (£m)"/>
    <tableColumn id="4" xr3:uid="{F1A01406-7AD7-0745-96E8-893465BAAE98}" name="Market Cap (£m)" dataDxfId="11"/>
    <tableColumn id="5" xr3:uid="{6646AE54-DE28-D147-9A0E-63A64C9719E2}" name="Implied Equity Price (LTM) (£m)" dataDxfId="10">
      <calculatedColumnFormula>B42-$J$19</calculatedColumnFormula>
    </tableColumn>
    <tableColumn id="6" xr3:uid="{E8AA32B8-500E-B04C-86D8-8A0B577FED12}" name="Implied Share Price (LTM)" dataDxfId="0">
      <calculatedColumnFormula>E42/$D$10</calculatedColumnFormula>
    </tableColumn>
    <tableColumn id="7" xr3:uid="{8700FDF6-C78B-2540-9209-D581C5FFAEB3}" name="Implied Equity Price (FY1)"/>
    <tableColumn id="8" xr3:uid="{0AABBBA9-442D-6D40-A2B6-241B885CE937}" name="Implied Share Price (FY1)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85A210-4DE1-944B-9FA9-6AF691B8C4F7}" name="Table6" displayName="Table6" ref="A48:C52" totalsRowShown="0" headerRowDxfId="14">
  <autoFilter ref="A48:C52" xr:uid="{4585A210-4DE1-944B-9FA9-6AF691B8C4F7}"/>
  <tableColumns count="3">
    <tableColumn id="1" xr3:uid="{4F895494-FA83-ED47-A8AF-3692F49E1AD7}" name="Company" dataDxfId="16"/>
    <tableColumn id="2" xr3:uid="{A1F04701-3716-C943-A26A-D6601A3AE893}" name="Implied Share Price (LTM)" dataDxfId="15"/>
    <tableColumn id="3" xr3:uid="{834158C4-7F79-FE46-B2E1-7006FF04825C}" name="Implied Share Price (FY1)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5665121-634A-CA47-AFF9-12E429DBCC82}" name="Table7" displayName="Table7" ref="A54:C58" totalsRowShown="0">
  <autoFilter ref="A54:C58" xr:uid="{25665121-634A-CA47-AFF9-12E429DBCC82}"/>
  <tableColumns count="3">
    <tableColumn id="1" xr3:uid="{A81FF2AD-1BE6-9C43-B5E3-6D6AED44393B}" name="Company"/>
    <tableColumn id="2" xr3:uid="{50148659-FB97-9F43-81C3-0C0F14CB5C3D}" name="Implied Share Price (LTM)" dataDxfId="13"/>
    <tableColumn id="3" xr3:uid="{288C732C-060B-5C43-893E-16C5623A5563}" name="Implied Share Price (FY1)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996A44-F1CF-3E4C-A969-08C8D9731095}" name="Table8" displayName="Table8" ref="B63:C70" totalsRowShown="0" headerRowDxfId="7" dataDxfId="6">
  <autoFilter ref="B63:C70" xr:uid="{84996A44-F1CF-3E4C-A969-08C8D9731095}"/>
  <tableColumns count="2">
    <tableColumn id="1" xr3:uid="{38F02A03-531F-D440-BE04-2ADFBF09D854}" name="Metric" dataDxfId="9"/>
    <tableColumn id="2" xr3:uid="{33D90208-C3BB-B748-8B61-17DBED4DA15E}" name="Value (£m)" dataDxfId="8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7600B-5B61-A144-A542-54C2D9CC0C7C}">
  <dimension ref="A1:K70"/>
  <sheetViews>
    <sheetView tabSelected="1" topLeftCell="A45" workbookViewId="0">
      <selection activeCell="E50" sqref="E50"/>
    </sheetView>
  </sheetViews>
  <sheetFormatPr baseColWidth="10" defaultRowHeight="16" x14ac:dyDescent="0.2"/>
  <cols>
    <col min="1" max="1" width="23.33203125" bestFit="1" customWidth="1"/>
    <col min="2" max="2" width="32" customWidth="1"/>
    <col min="3" max="3" width="31.83203125" customWidth="1"/>
    <col min="4" max="4" width="27" customWidth="1"/>
    <col min="5" max="5" width="28.33203125" customWidth="1"/>
    <col min="6" max="6" width="30.5" customWidth="1"/>
    <col min="7" max="7" width="30.33203125" customWidth="1"/>
    <col min="8" max="8" width="24.83203125" customWidth="1"/>
    <col min="9" max="9" width="29.33203125" customWidth="1"/>
    <col min="10" max="10" width="16.83203125" customWidth="1"/>
    <col min="11" max="11" width="20.83203125" customWidth="1"/>
  </cols>
  <sheetData>
    <row r="1" spans="1:11" x14ac:dyDescent="0.2">
      <c r="A1" s="11" t="s">
        <v>66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ht="26" x14ac:dyDescent="0.3">
      <c r="A3" s="3" t="s">
        <v>16</v>
      </c>
      <c r="B3" s="3"/>
      <c r="C3" s="3"/>
      <c r="D3" s="3"/>
    </row>
    <row r="4" spans="1:11" x14ac:dyDescent="0.2">
      <c r="A4" t="s">
        <v>0</v>
      </c>
      <c r="B4" t="s">
        <v>6</v>
      </c>
      <c r="C4" t="s">
        <v>14</v>
      </c>
      <c r="D4" t="s">
        <v>15</v>
      </c>
    </row>
    <row r="5" spans="1:11" x14ac:dyDescent="0.2">
      <c r="A5" t="s">
        <v>1</v>
      </c>
      <c r="B5" t="s">
        <v>7</v>
      </c>
      <c r="C5" s="1">
        <v>3.1219999999999999</v>
      </c>
      <c r="D5" s="2">
        <v>2250</v>
      </c>
    </row>
    <row r="6" spans="1:11" x14ac:dyDescent="0.2">
      <c r="A6" t="s">
        <v>2</v>
      </c>
      <c r="B6" t="s">
        <v>8</v>
      </c>
      <c r="C6" s="1">
        <v>3.55</v>
      </c>
      <c r="D6" s="2">
        <v>2020</v>
      </c>
    </row>
    <row r="7" spans="1:11" x14ac:dyDescent="0.2">
      <c r="A7" t="s">
        <v>3</v>
      </c>
      <c r="B7" t="s">
        <v>9</v>
      </c>
      <c r="C7" s="1">
        <v>3.0950000000000002</v>
      </c>
      <c r="D7" s="2">
        <v>827.23</v>
      </c>
    </row>
    <row r="8" spans="1:11" x14ac:dyDescent="0.2">
      <c r="A8" t="s">
        <v>4</v>
      </c>
      <c r="B8" t="s">
        <v>10</v>
      </c>
      <c r="C8" s="1">
        <v>2.4630000000000001</v>
      </c>
      <c r="D8" s="2">
        <v>1010</v>
      </c>
    </row>
    <row r="9" spans="1:11" x14ac:dyDescent="0.2">
      <c r="A9" t="s">
        <v>5</v>
      </c>
      <c r="B9" t="s">
        <v>12</v>
      </c>
      <c r="C9" s="1">
        <v>22.35</v>
      </c>
      <c r="D9" s="2">
        <v>711.52</v>
      </c>
    </row>
    <row r="10" spans="1:11" x14ac:dyDescent="0.2">
      <c r="A10" t="s">
        <v>11</v>
      </c>
      <c r="B10" t="s">
        <v>13</v>
      </c>
      <c r="C10" s="1">
        <v>4.4180000000000001</v>
      </c>
      <c r="D10" s="2">
        <v>6490</v>
      </c>
    </row>
    <row r="12" spans="1:11" s="4" customFormat="1" ht="26" x14ac:dyDescent="0.3">
      <c r="A12" s="3" t="s">
        <v>28</v>
      </c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">
      <c r="A13" t="s">
        <v>0</v>
      </c>
      <c r="B13" t="s">
        <v>20</v>
      </c>
      <c r="C13" t="s">
        <v>22</v>
      </c>
      <c r="D13" t="s">
        <v>23</v>
      </c>
      <c r="E13" t="s">
        <v>19</v>
      </c>
      <c r="F13" t="s">
        <v>24</v>
      </c>
      <c r="G13" t="s">
        <v>27</v>
      </c>
      <c r="H13" t="s">
        <v>26</v>
      </c>
      <c r="I13" t="s">
        <v>21</v>
      </c>
      <c r="J13" t="s">
        <v>25</v>
      </c>
      <c r="K13" t="s">
        <v>29</v>
      </c>
    </row>
    <row r="14" spans="1:11" x14ac:dyDescent="0.2">
      <c r="A14" t="s">
        <v>1</v>
      </c>
      <c r="B14" s="1">
        <f>C5*D5</f>
        <v>7024.5</v>
      </c>
      <c r="C14" s="1">
        <v>72</v>
      </c>
      <c r="D14" s="1">
        <v>1042</v>
      </c>
      <c r="E14" s="1">
        <f>C14+D14</f>
        <v>1114</v>
      </c>
      <c r="F14" s="1">
        <v>590</v>
      </c>
      <c r="G14" s="1">
        <v>4904</v>
      </c>
      <c r="H14" s="1">
        <f>F14+G14</f>
        <v>5494</v>
      </c>
      <c r="I14" s="1">
        <v>2777</v>
      </c>
      <c r="J14" s="1">
        <f>E14+H14-I14</f>
        <v>3831</v>
      </c>
      <c r="K14" s="1">
        <f>B14+J14</f>
        <v>10855.5</v>
      </c>
    </row>
    <row r="15" spans="1:11" x14ac:dyDescent="0.2">
      <c r="A15" t="s">
        <v>2</v>
      </c>
      <c r="B15" s="1">
        <f t="shared" ref="B15:B19" si="0">C6*D6</f>
        <v>7171</v>
      </c>
      <c r="C15" s="1">
        <v>355.8</v>
      </c>
      <c r="D15" s="1">
        <v>2588.6999999999998</v>
      </c>
      <c r="E15" s="1">
        <f t="shared" ref="E15:E19" si="1">C15+D15</f>
        <v>2944.5</v>
      </c>
      <c r="F15" s="1">
        <v>228</v>
      </c>
      <c r="G15" s="1">
        <v>1999.4</v>
      </c>
      <c r="H15" s="1">
        <f t="shared" ref="H15:H19" si="2">F15+G15</f>
        <v>2227.4</v>
      </c>
      <c r="I15" s="1">
        <v>864.5</v>
      </c>
      <c r="J15" s="1">
        <f t="shared" ref="J15:J19" si="3">E15+H15-I15</f>
        <v>4307.3999999999996</v>
      </c>
      <c r="K15" s="1">
        <f t="shared" ref="K15:K19" si="4">B15+J15</f>
        <v>11478.4</v>
      </c>
    </row>
    <row r="16" spans="1:11" x14ac:dyDescent="0.2">
      <c r="A16" t="s">
        <v>3</v>
      </c>
      <c r="B16" s="1">
        <f t="shared" si="0"/>
        <v>2560.2768500000002</v>
      </c>
      <c r="C16" s="1">
        <v>0.2</v>
      </c>
      <c r="D16" s="1">
        <v>1386.5</v>
      </c>
      <c r="E16" s="1">
        <f t="shared" si="1"/>
        <v>1386.7</v>
      </c>
      <c r="F16" s="1">
        <v>30.3</v>
      </c>
      <c r="G16" s="1">
        <v>281.39999999999998</v>
      </c>
      <c r="H16" s="1">
        <f t="shared" si="2"/>
        <v>311.7</v>
      </c>
      <c r="I16" s="1">
        <v>732.5</v>
      </c>
      <c r="J16" s="1">
        <f t="shared" si="3"/>
        <v>965.90000000000009</v>
      </c>
      <c r="K16" s="1">
        <f t="shared" si="4"/>
        <v>3526.1768500000003</v>
      </c>
    </row>
    <row r="17" spans="1:11" x14ac:dyDescent="0.2">
      <c r="A17" t="s">
        <v>4</v>
      </c>
      <c r="B17" s="1">
        <f t="shared" si="0"/>
        <v>2487.63</v>
      </c>
      <c r="C17" s="1">
        <v>977</v>
      </c>
      <c r="D17" s="1">
        <v>160</v>
      </c>
      <c r="E17" s="1">
        <f t="shared" si="1"/>
        <v>1137</v>
      </c>
      <c r="F17" s="1">
        <v>188</v>
      </c>
      <c r="G17" s="1">
        <v>1242</v>
      </c>
      <c r="H17" s="1">
        <f t="shared" si="2"/>
        <v>1430</v>
      </c>
      <c r="I17" s="1">
        <v>217</v>
      </c>
      <c r="J17" s="1">
        <f t="shared" si="3"/>
        <v>2350</v>
      </c>
      <c r="K17" s="1">
        <f t="shared" si="4"/>
        <v>4837.63</v>
      </c>
    </row>
    <row r="18" spans="1:11" x14ac:dyDescent="0.2">
      <c r="A18" t="s">
        <v>30</v>
      </c>
      <c r="B18" s="1">
        <f t="shared" si="0"/>
        <v>15902.472</v>
      </c>
      <c r="C18" s="1">
        <v>159</v>
      </c>
      <c r="D18" s="1">
        <v>454</v>
      </c>
      <c r="E18" s="1">
        <f t="shared" si="1"/>
        <v>613</v>
      </c>
      <c r="F18" s="1">
        <v>267</v>
      </c>
      <c r="G18" s="1">
        <v>2798</v>
      </c>
      <c r="H18" s="1">
        <f t="shared" si="2"/>
        <v>3065</v>
      </c>
      <c r="I18" s="1">
        <v>1323</v>
      </c>
      <c r="J18" s="1">
        <f t="shared" si="3"/>
        <v>2355</v>
      </c>
      <c r="K18" s="1">
        <f t="shared" si="4"/>
        <v>18257.472000000002</v>
      </c>
    </row>
    <row r="19" spans="1:11" x14ac:dyDescent="0.2">
      <c r="A19" t="s">
        <v>11</v>
      </c>
      <c r="B19" s="1">
        <f t="shared" si="0"/>
        <v>28672.82</v>
      </c>
      <c r="C19" s="1">
        <v>1861</v>
      </c>
      <c r="D19" s="1">
        <v>5089</v>
      </c>
      <c r="E19" s="1">
        <f t="shared" si="1"/>
        <v>6950</v>
      </c>
      <c r="F19" s="1">
        <v>618</v>
      </c>
      <c r="G19" s="1">
        <v>7098</v>
      </c>
      <c r="H19" s="1">
        <f t="shared" si="2"/>
        <v>7716</v>
      </c>
      <c r="I19" s="1">
        <v>2255</v>
      </c>
      <c r="J19" s="1">
        <f t="shared" si="3"/>
        <v>12411</v>
      </c>
      <c r="K19" s="1">
        <f t="shared" si="4"/>
        <v>41083.82</v>
      </c>
    </row>
    <row r="21" spans="1:11" ht="26" x14ac:dyDescent="0.3">
      <c r="A21" s="3" t="s">
        <v>17</v>
      </c>
      <c r="B21" s="3"/>
      <c r="C21" s="3"/>
      <c r="D21" s="3"/>
      <c r="E21" s="3"/>
      <c r="F21" s="3"/>
      <c r="G21" s="3"/>
      <c r="H21" s="3"/>
      <c r="I21" s="3"/>
    </row>
    <row r="22" spans="1:11" x14ac:dyDescent="0.2">
      <c r="A22" t="s">
        <v>0</v>
      </c>
      <c r="B22" t="s">
        <v>33</v>
      </c>
      <c r="C22" t="s">
        <v>40</v>
      </c>
      <c r="D22" t="s">
        <v>34</v>
      </c>
      <c r="E22" t="s">
        <v>35</v>
      </c>
      <c r="F22" t="s">
        <v>37</v>
      </c>
      <c r="G22" t="s">
        <v>38</v>
      </c>
      <c r="H22" t="s">
        <v>36</v>
      </c>
      <c r="I22" t="s">
        <v>39</v>
      </c>
      <c r="J22" t="s">
        <v>41</v>
      </c>
    </row>
    <row r="23" spans="1:11" x14ac:dyDescent="0.2">
      <c r="A23" t="s">
        <v>1</v>
      </c>
      <c r="B23" s="1">
        <v>32812</v>
      </c>
      <c r="C23" s="1">
        <f>B23*1.029</f>
        <v>33763.547999999995</v>
      </c>
      <c r="D23" s="1">
        <f>E23+F23</f>
        <v>2060</v>
      </c>
      <c r="E23" s="1">
        <v>904</v>
      </c>
      <c r="F23" s="1">
        <v>1156</v>
      </c>
      <c r="G23" s="1">
        <v>420</v>
      </c>
      <c r="H23" s="1">
        <v>617</v>
      </c>
      <c r="I23" s="1">
        <v>0.17699999999999999</v>
      </c>
      <c r="J23" s="1">
        <v>2331.25</v>
      </c>
    </row>
    <row r="24" spans="1:11" x14ac:dyDescent="0.2">
      <c r="A24" t="s">
        <v>2</v>
      </c>
      <c r="B24" s="1">
        <v>13816.8</v>
      </c>
      <c r="C24" s="1">
        <f>B24-200</f>
        <v>13616.8</v>
      </c>
      <c r="D24" s="1">
        <f t="shared" ref="D24:D28" si="5">E24+F24</f>
        <v>1096.5</v>
      </c>
      <c r="E24" s="1">
        <v>624.29999999999995</v>
      </c>
      <c r="F24" s="1">
        <v>472.2</v>
      </c>
      <c r="G24" s="1">
        <v>291.89999999999998</v>
      </c>
      <c r="H24" s="1">
        <v>408.4</v>
      </c>
      <c r="I24" s="1">
        <v>0.30599999999999999</v>
      </c>
      <c r="J24" s="1">
        <f>D24-300</f>
        <v>796.5</v>
      </c>
    </row>
    <row r="25" spans="1:11" x14ac:dyDescent="0.2">
      <c r="A25" t="s">
        <v>3</v>
      </c>
      <c r="B25" s="1">
        <v>1214.5999999999999</v>
      </c>
      <c r="C25" s="1">
        <v>1600</v>
      </c>
      <c r="D25" s="1">
        <f t="shared" si="5"/>
        <v>750.8</v>
      </c>
      <c r="E25" s="1">
        <v>336.9</v>
      </c>
      <c r="F25" s="1">
        <v>413.9</v>
      </c>
      <c r="G25" s="1">
        <v>336.6</v>
      </c>
      <c r="H25" s="1">
        <v>196.8</v>
      </c>
      <c r="I25" s="1">
        <v>0.41</v>
      </c>
      <c r="J25" s="1">
        <f>D25*1.76</f>
        <v>1321.4079999999999</v>
      </c>
    </row>
    <row r="26" spans="1:11" x14ac:dyDescent="0.2">
      <c r="A26" t="s">
        <v>4</v>
      </c>
      <c r="B26" s="1">
        <v>5571</v>
      </c>
      <c r="C26" s="1">
        <f>B26*1.044</f>
        <v>5816.1239999999998</v>
      </c>
      <c r="D26" s="1">
        <f t="shared" si="5"/>
        <v>839</v>
      </c>
      <c r="E26" s="1">
        <v>566</v>
      </c>
      <c r="F26" s="1">
        <v>273</v>
      </c>
      <c r="G26" s="1">
        <v>347</v>
      </c>
      <c r="H26" s="1">
        <v>131</v>
      </c>
      <c r="I26" s="1">
        <v>0.318</v>
      </c>
      <c r="J26" s="1">
        <v>621</v>
      </c>
    </row>
    <row r="27" spans="1:11" x14ac:dyDescent="0.2">
      <c r="A27" t="s">
        <v>30</v>
      </c>
      <c r="B27" s="1">
        <v>20073</v>
      </c>
      <c r="C27" s="1">
        <f>B27*1.04</f>
        <v>20875.920000000002</v>
      </c>
      <c r="D27" s="1">
        <f t="shared" si="5"/>
        <v>2881</v>
      </c>
      <c r="E27" s="1">
        <v>1932</v>
      </c>
      <c r="F27" s="1">
        <v>949</v>
      </c>
      <c r="G27" s="1">
        <v>1480</v>
      </c>
      <c r="H27" s="1">
        <v>1124</v>
      </c>
      <c r="I27" s="1">
        <v>1.9370000000000001</v>
      </c>
      <c r="J27" s="1">
        <v>2758</v>
      </c>
    </row>
    <row r="28" spans="1:11" x14ac:dyDescent="0.2">
      <c r="A28" t="s">
        <v>11</v>
      </c>
      <c r="B28" s="1">
        <v>69916</v>
      </c>
      <c r="C28" s="1">
        <f>B28*1.025</f>
        <v>71663.899999999994</v>
      </c>
      <c r="D28" s="1">
        <f t="shared" si="5"/>
        <v>4434</v>
      </c>
      <c r="E28" s="1">
        <v>2711</v>
      </c>
      <c r="F28" s="1">
        <v>1723</v>
      </c>
      <c r="G28" s="1">
        <v>1604</v>
      </c>
      <c r="H28" s="1">
        <v>1247</v>
      </c>
      <c r="I28" s="1">
        <v>0.23130000000000001</v>
      </c>
      <c r="J28" s="1">
        <f>D28*(0.51/0.56)</f>
        <v>4038.1071428571427</v>
      </c>
    </row>
    <row r="30" spans="1:11" ht="26" x14ac:dyDescent="0.3">
      <c r="A30" s="3" t="s">
        <v>50</v>
      </c>
      <c r="B30" s="3"/>
      <c r="C30" s="3"/>
      <c r="D30" s="3"/>
      <c r="E30" s="3"/>
      <c r="F30" s="3"/>
    </row>
    <row r="31" spans="1:11" x14ac:dyDescent="0.2">
      <c r="A31" t="s">
        <v>0</v>
      </c>
      <c r="B31" t="s">
        <v>44</v>
      </c>
      <c r="C31" t="s">
        <v>45</v>
      </c>
      <c r="D31" t="s">
        <v>46</v>
      </c>
      <c r="E31" t="s">
        <v>47</v>
      </c>
      <c r="F31" t="s">
        <v>48</v>
      </c>
    </row>
    <row r="32" spans="1:11" x14ac:dyDescent="0.2">
      <c r="A32" t="s">
        <v>1</v>
      </c>
      <c r="B32" s="6">
        <f>K14/B23</f>
        <v>0.33083932707546021</v>
      </c>
      <c r="C32" s="6">
        <f>K14/D23</f>
        <v>5.2696601941747572</v>
      </c>
      <c r="D32" s="6">
        <f>K14/C23</f>
        <v>0.32151538102571453</v>
      </c>
      <c r="E32" s="6">
        <f>K14/J23</f>
        <v>4.6565147453083107</v>
      </c>
      <c r="F32" s="6">
        <f>B14/(I23*D5)</f>
        <v>17.638418079096045</v>
      </c>
    </row>
    <row r="33" spans="1:11" x14ac:dyDescent="0.2">
      <c r="A33" t="s">
        <v>2</v>
      </c>
      <c r="B33" s="6">
        <f t="shared" ref="B33:B36" si="6">K15/B24</f>
        <v>0.83075675988651498</v>
      </c>
      <c r="C33" s="6">
        <f t="shared" ref="C33:C36" si="7">K15/D24</f>
        <v>10.468217054263565</v>
      </c>
      <c r="D33" s="6">
        <f t="shared" ref="D33:D36" si="8">K15/C24</f>
        <v>0.84295869807884383</v>
      </c>
      <c r="E33" s="6">
        <f t="shared" ref="E33:E36" si="9">K15/J24</f>
        <v>14.411048336472065</v>
      </c>
      <c r="F33" s="6">
        <f t="shared" ref="F33:F36" si="10">B15/(I24*D6)</f>
        <v>11.601307189542483</v>
      </c>
    </row>
    <row r="34" spans="1:11" x14ac:dyDescent="0.2">
      <c r="A34" t="s">
        <v>3</v>
      </c>
      <c r="B34" s="6">
        <f t="shared" si="6"/>
        <v>2.9031589412152154</v>
      </c>
      <c r="C34" s="6">
        <f t="shared" si="7"/>
        <v>4.6965594698987756</v>
      </c>
      <c r="D34" s="6">
        <f t="shared" si="8"/>
        <v>2.2038605312500001</v>
      </c>
      <c r="E34" s="6">
        <f t="shared" si="9"/>
        <v>2.6684996988061225</v>
      </c>
      <c r="F34" s="6">
        <f t="shared" si="10"/>
        <v>7.548780487804879</v>
      </c>
    </row>
    <row r="35" spans="1:11" x14ac:dyDescent="0.2">
      <c r="A35" t="s">
        <v>4</v>
      </c>
      <c r="B35" s="6">
        <f t="shared" si="6"/>
        <v>0.86835936097648536</v>
      </c>
      <c r="C35" s="6">
        <f t="shared" si="7"/>
        <v>5.7659475566150178</v>
      </c>
      <c r="D35" s="6">
        <f t="shared" si="8"/>
        <v>0.83176184001579068</v>
      </c>
      <c r="E35" s="6">
        <f t="shared" si="9"/>
        <v>7.7900644122383254</v>
      </c>
      <c r="F35" s="6">
        <f t="shared" si="10"/>
        <v>7.7452830188679247</v>
      </c>
    </row>
    <row r="36" spans="1:11" x14ac:dyDescent="0.2">
      <c r="A36" t="s">
        <v>30</v>
      </c>
      <c r="B36" s="6">
        <f t="shared" si="6"/>
        <v>0.90955372888955321</v>
      </c>
      <c r="C36" s="6">
        <f t="shared" si="7"/>
        <v>6.3371995834779593</v>
      </c>
      <c r="D36" s="6">
        <f t="shared" si="8"/>
        <v>0.87457089316303183</v>
      </c>
      <c r="E36" s="6">
        <f t="shared" si="9"/>
        <v>6.6198230601885433</v>
      </c>
      <c r="F36" s="6">
        <f t="shared" si="10"/>
        <v>11.538461538461538</v>
      </c>
    </row>
    <row r="37" spans="1:11" x14ac:dyDescent="0.2">
      <c r="A37" s="18" t="s">
        <v>11</v>
      </c>
      <c r="B37" s="18">
        <f>C65/C66</f>
        <v>0.58328565707420332</v>
      </c>
      <c r="C37" s="18">
        <f>C65/C67</f>
        <v>9.1973387460532248</v>
      </c>
      <c r="D37" s="18"/>
      <c r="E37" s="18"/>
      <c r="F37" s="18"/>
    </row>
    <row r="38" spans="1:11" x14ac:dyDescent="0.2">
      <c r="A38" t="s">
        <v>49</v>
      </c>
      <c r="B38" s="6">
        <f>MEDIAN(B32:B36)</f>
        <v>0.86835936097648536</v>
      </c>
      <c r="C38" s="6">
        <f>MEDIAN(C32:C36)</f>
        <v>5.7659475566150178</v>
      </c>
      <c r="D38" s="6">
        <f t="shared" ref="D38:F38" si="11">MEDIAN(D32:D36)</f>
        <v>0.84295869807884383</v>
      </c>
      <c r="E38" s="6">
        <f t="shared" si="11"/>
        <v>6.6198230601885433</v>
      </c>
      <c r="F38" s="6">
        <f t="shared" si="11"/>
        <v>11.538461538461538</v>
      </c>
    </row>
    <row r="40" spans="1:11" ht="26" x14ac:dyDescent="0.3">
      <c r="A40" s="3" t="s">
        <v>62</v>
      </c>
      <c r="B40" s="3"/>
      <c r="C40" s="3"/>
      <c r="D40" s="3"/>
      <c r="E40" s="3"/>
      <c r="F40" s="3"/>
      <c r="G40" s="3"/>
      <c r="H40" s="3"/>
    </row>
    <row r="41" spans="1:11" x14ac:dyDescent="0.2">
      <c r="A41" t="s">
        <v>51</v>
      </c>
      <c r="B41" t="s">
        <v>56</v>
      </c>
      <c r="C41" t="s">
        <v>57</v>
      </c>
      <c r="D41" t="s">
        <v>20</v>
      </c>
      <c r="E41" t="s">
        <v>59</v>
      </c>
      <c r="F41" t="s">
        <v>58</v>
      </c>
      <c r="G41" t="s">
        <v>61</v>
      </c>
      <c r="H41" s="7" t="s">
        <v>60</v>
      </c>
    </row>
    <row r="42" spans="1:11" x14ac:dyDescent="0.2">
      <c r="A42" t="s">
        <v>53</v>
      </c>
      <c r="B42" s="1">
        <f>$B$38*$B$28</f>
        <v>60712.213082031951</v>
      </c>
      <c r="C42" s="1">
        <f>$D$38*$C$28</f>
        <v>60409.70784325245</v>
      </c>
      <c r="D42" s="1"/>
      <c r="E42" s="1">
        <f>B42-$J$19</f>
        <v>48301.213082031951</v>
      </c>
      <c r="F42" s="1">
        <f>E42/$D$10</f>
        <v>7.4424057137183279</v>
      </c>
      <c r="G42" s="1">
        <f>C42-$J$19</f>
        <v>47998.70784325245</v>
      </c>
      <c r="H42" s="1">
        <f>G42/$D$10</f>
        <v>7.3957947370188677</v>
      </c>
    </row>
    <row r="43" spans="1:11" x14ac:dyDescent="0.2">
      <c r="A43" t="s">
        <v>54</v>
      </c>
      <c r="B43" s="1">
        <f>$C$38*$D$28</f>
        <v>25566.211466030989</v>
      </c>
      <c r="C43" s="1">
        <f>$E$38*$J$28</f>
        <v>26731.554783797787</v>
      </c>
      <c r="D43" s="1"/>
      <c r="E43" s="1">
        <f>B43-$J$19</f>
        <v>13155.211466030989</v>
      </c>
      <c r="F43" s="1">
        <f>E43/$D$10</f>
        <v>2.0269971442266548</v>
      </c>
      <c r="G43" s="1">
        <f>C43-$J$19</f>
        <v>14320.554783797787</v>
      </c>
      <c r="H43" s="1">
        <f>G43/$D$10</f>
        <v>2.2065569774726943</v>
      </c>
    </row>
    <row r="44" spans="1:11" x14ac:dyDescent="0.2">
      <c r="A44" t="s">
        <v>55</v>
      </c>
      <c r="B44" s="1">
        <f>($D$44)+$J$19</f>
        <v>29731.811538461541</v>
      </c>
      <c r="D44" s="1">
        <f>$F$38*$D$10*$I$28</f>
        <v>17320.811538461541</v>
      </c>
      <c r="E44" s="1">
        <f>B44-$J$19</f>
        <v>17320.811538461541</v>
      </c>
      <c r="F44" s="1">
        <f>E44/$D$10</f>
        <v>2.6688461538461543</v>
      </c>
      <c r="J44" s="12" t="s">
        <v>52</v>
      </c>
      <c r="K44" s="13">
        <f>AVERAGE(Table5[Implied Share Price (LTM)])</f>
        <v>4.046083003930379</v>
      </c>
    </row>
    <row r="45" spans="1:11" x14ac:dyDescent="0.2">
      <c r="A45" t="s">
        <v>73</v>
      </c>
      <c r="B45" s="1"/>
      <c r="D45" s="1"/>
      <c r="E45" s="1"/>
      <c r="F45" s="1">
        <f>AVERAGE(F42:F44)</f>
        <v>4.046083003930379</v>
      </c>
      <c r="J45" s="12" t="s">
        <v>67</v>
      </c>
      <c r="K45" s="13">
        <f>AVERAGE(H42:H43)</f>
        <v>4.8011758572457808</v>
      </c>
    </row>
    <row r="46" spans="1:11" ht="39" x14ac:dyDescent="0.45">
      <c r="A46" s="9" t="s">
        <v>63</v>
      </c>
      <c r="B46" s="9"/>
      <c r="C46" s="9"/>
      <c r="D46" s="10"/>
      <c r="E46" s="10"/>
      <c r="F46" s="10"/>
      <c r="G46" s="10"/>
      <c r="H46" s="10"/>
    </row>
    <row r="47" spans="1:11" ht="26" x14ac:dyDescent="0.3">
      <c r="A47" s="3" t="s">
        <v>64</v>
      </c>
      <c r="B47" s="3"/>
      <c r="C47" s="3"/>
      <c r="D47" s="5"/>
      <c r="E47" s="5"/>
      <c r="F47" s="5"/>
      <c r="G47" s="5"/>
      <c r="H47" s="5"/>
    </row>
    <row r="48" spans="1:11" x14ac:dyDescent="0.2">
      <c r="A48" s="7" t="s">
        <v>51</v>
      </c>
      <c r="B48" s="7" t="s">
        <v>58</v>
      </c>
      <c r="C48" s="7" t="s">
        <v>60</v>
      </c>
      <c r="D48" s="7"/>
      <c r="E48" s="7"/>
      <c r="F48" s="7"/>
      <c r="G48" s="7"/>
      <c r="H48" s="7"/>
    </row>
    <row r="49" spans="1:8" x14ac:dyDescent="0.2">
      <c r="A49" s="7" t="s">
        <v>53</v>
      </c>
      <c r="B49" s="8">
        <v>7.04</v>
      </c>
      <c r="C49" s="8">
        <v>7.27</v>
      </c>
      <c r="D49" s="8"/>
      <c r="E49" s="8"/>
      <c r="F49" s="8"/>
      <c r="G49" s="8"/>
      <c r="H49" s="8"/>
    </row>
    <row r="50" spans="1:8" x14ac:dyDescent="0.2">
      <c r="A50" s="7" t="s">
        <v>54</v>
      </c>
      <c r="B50" s="8">
        <v>1.69</v>
      </c>
      <c r="C50" s="8">
        <v>0.98</v>
      </c>
      <c r="D50" s="8"/>
      <c r="E50" s="8"/>
      <c r="F50" s="8"/>
      <c r="G50" s="8"/>
      <c r="H50" s="8"/>
    </row>
    <row r="51" spans="1:8" x14ac:dyDescent="0.2">
      <c r="A51" s="7" t="s">
        <v>55</v>
      </c>
      <c r="B51" s="8">
        <v>1.79</v>
      </c>
      <c r="C51" s="7"/>
      <c r="D51" s="8"/>
      <c r="E51" s="8"/>
      <c r="F51" s="8"/>
      <c r="G51" s="8"/>
      <c r="H51" s="7"/>
    </row>
    <row r="52" spans="1:8" x14ac:dyDescent="0.2">
      <c r="A52" s="7" t="s">
        <v>73</v>
      </c>
      <c r="B52" s="8">
        <f>AVERAGE(B49:B51)</f>
        <v>3.5066666666666664</v>
      </c>
      <c r="E52" s="8"/>
      <c r="F52" s="8"/>
      <c r="G52" s="8"/>
    </row>
    <row r="53" spans="1:8" ht="26" x14ac:dyDescent="0.3">
      <c r="A53" s="3" t="s">
        <v>65</v>
      </c>
      <c r="B53" s="3"/>
      <c r="C53" s="3"/>
      <c r="D53" s="5"/>
      <c r="E53" s="8"/>
      <c r="F53" s="8"/>
      <c r="G53" s="8"/>
      <c r="H53" s="5"/>
    </row>
    <row r="54" spans="1:8" x14ac:dyDescent="0.2">
      <c r="A54" t="s">
        <v>51</v>
      </c>
      <c r="B54" t="s">
        <v>58</v>
      </c>
      <c r="C54" s="7" t="s">
        <v>60</v>
      </c>
      <c r="E54" s="8"/>
      <c r="F54" s="8"/>
      <c r="G54" s="8"/>
      <c r="H54" s="7"/>
    </row>
    <row r="55" spans="1:8" x14ac:dyDescent="0.2">
      <c r="A55" t="s">
        <v>53</v>
      </c>
      <c r="B55" s="1">
        <v>7.89</v>
      </c>
      <c r="C55" s="1">
        <v>7.74</v>
      </c>
      <c r="D55" s="1"/>
      <c r="E55" s="8"/>
      <c r="F55" s="8"/>
      <c r="G55" s="8"/>
      <c r="H55" s="1"/>
    </row>
    <row r="56" spans="1:8" x14ac:dyDescent="0.2">
      <c r="A56" t="s">
        <v>54</v>
      </c>
      <c r="B56" s="1">
        <v>2.42</v>
      </c>
      <c r="C56" s="1">
        <v>2.93</v>
      </c>
      <c r="D56" s="1"/>
      <c r="E56" s="8"/>
      <c r="F56" s="8"/>
      <c r="G56" s="8"/>
      <c r="H56" s="1"/>
    </row>
    <row r="57" spans="1:8" x14ac:dyDescent="0.2">
      <c r="A57" t="s">
        <v>55</v>
      </c>
      <c r="B57" s="1">
        <v>2.68</v>
      </c>
      <c r="D57" s="1"/>
      <c r="E57" s="8"/>
      <c r="F57" s="8"/>
      <c r="G57" s="8"/>
    </row>
    <row r="58" spans="1:8" x14ac:dyDescent="0.2">
      <c r="A58" t="s">
        <v>73</v>
      </c>
      <c r="B58" s="1">
        <f>AVERAGE(B55:B57)</f>
        <v>4.3299999999999992</v>
      </c>
    </row>
    <row r="62" spans="1:8" ht="24" x14ac:dyDescent="0.3">
      <c r="B62" s="19" t="s">
        <v>72</v>
      </c>
      <c r="C62" s="19"/>
    </row>
    <row r="63" spans="1:8" ht="19" x14ac:dyDescent="0.25">
      <c r="B63" s="14" t="s">
        <v>68</v>
      </c>
      <c r="C63" s="14" t="s">
        <v>71</v>
      </c>
    </row>
    <row r="64" spans="1:8" ht="19" x14ac:dyDescent="0.25">
      <c r="B64" s="15" t="s">
        <v>18</v>
      </c>
      <c r="C64" s="16">
        <v>28370</v>
      </c>
    </row>
    <row r="65" spans="2:3" ht="19" x14ac:dyDescent="0.25">
      <c r="B65" s="15" t="s">
        <v>69</v>
      </c>
      <c r="C65" s="16">
        <f>C64+C68</f>
        <v>40781</v>
      </c>
    </row>
    <row r="66" spans="2:3" ht="19" x14ac:dyDescent="0.25">
      <c r="B66" s="15" t="s">
        <v>31</v>
      </c>
      <c r="C66" s="16">
        <f>B28</f>
        <v>69916</v>
      </c>
    </row>
    <row r="67" spans="2:3" ht="19" x14ac:dyDescent="0.25">
      <c r="B67" s="15" t="s">
        <v>32</v>
      </c>
      <c r="C67" s="16">
        <f>D28</f>
        <v>4434</v>
      </c>
    </row>
    <row r="68" spans="2:3" ht="19" x14ac:dyDescent="0.25">
      <c r="B68" s="15" t="s">
        <v>70</v>
      </c>
      <c r="C68" s="16">
        <f>J19</f>
        <v>12411</v>
      </c>
    </row>
    <row r="69" spans="2:3" ht="19" x14ac:dyDescent="0.25">
      <c r="B69" s="15" t="s">
        <v>43</v>
      </c>
      <c r="C69" s="17">
        <f>C65/C67</f>
        <v>9.1973387460532248</v>
      </c>
    </row>
    <row r="70" spans="2:3" ht="19" x14ac:dyDescent="0.25">
      <c r="B70" s="15" t="s">
        <v>42</v>
      </c>
      <c r="C70" s="17">
        <f>C65/C66</f>
        <v>0.58328565707420332</v>
      </c>
    </row>
  </sheetData>
  <mergeCells count="10">
    <mergeCell ref="A1:K2"/>
    <mergeCell ref="B62:C62"/>
    <mergeCell ref="A47:C47"/>
    <mergeCell ref="A53:C53"/>
    <mergeCell ref="A21:I21"/>
    <mergeCell ref="A30:F30"/>
    <mergeCell ref="A40:H40"/>
    <mergeCell ref="A46:C46"/>
    <mergeCell ref="A3:D3"/>
    <mergeCell ref="A12:K12"/>
  </mergeCells>
  <pageMargins left="0.7" right="0.7" top="0.75" bottom="0.75" header="0.3" footer="0.3"/>
  <ignoredErrors>
    <ignoredError sqref="F45" calculatedColumn="1"/>
  </ignoredErrors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Fritz Frederick (fif1g24)</dc:creator>
  <cp:lastModifiedBy>Fritz Frederick (fif1g24)</cp:lastModifiedBy>
  <dcterms:created xsi:type="dcterms:W3CDTF">2025-09-09T10:48:21Z</dcterms:created>
  <dcterms:modified xsi:type="dcterms:W3CDTF">2025-09-10T22:58:42Z</dcterms:modified>
</cp:coreProperties>
</file>