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tzfrederick/Documents/Online courses/"/>
    </mc:Choice>
  </mc:AlternateContent>
  <xr:revisionPtr revIDLastSave="0" documentId="13_ncr:1_{EBFDFED5-2CFD-F145-9BAD-C6611221BF2F}" xr6:coauthVersionLast="47" xr6:coauthVersionMax="47" xr10:uidLastSave="{00000000-0000-0000-0000-000000000000}"/>
  <bookViews>
    <workbookView xWindow="6000" yWindow="3580" windowWidth="27240" windowHeight="16440" xr2:uid="{D2BBE39E-6C21-4645-AF1C-2109DE1512BD}"/>
  </bookViews>
  <sheets>
    <sheet name="Sheet1" sheetId="1" r:id="rId1"/>
  </sheets>
  <definedNames>
    <definedName name="_xlchart.v2.0" hidden="1">Sheet1!$B$2</definedName>
    <definedName name="_xlchart.v2.1" hidden="1">Sheet1!$B$3:$B$7</definedName>
    <definedName name="_xlchart.v2.2" hidden="1">Sheet1!$C$2</definedName>
    <definedName name="_xlchart.v2.3" hidden="1">Sheet1!$C$3:$C$7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52" i="1" s="1"/>
  <c r="C48" i="1"/>
  <c r="C49" i="1"/>
  <c r="C50" i="1" s="1"/>
  <c r="H14" i="1"/>
  <c r="H15" i="1"/>
  <c r="H16" i="1"/>
  <c r="H17" i="1"/>
  <c r="H13" i="1"/>
  <c r="H18" i="1" s="1"/>
  <c r="K20" i="1"/>
  <c r="K15" i="1" l="1"/>
  <c r="K25" i="1" s="1"/>
  <c r="K26" i="1" s="1"/>
  <c r="K14" i="1"/>
  <c r="F15" i="1"/>
  <c r="G15" i="1" s="1"/>
  <c r="D14" i="1"/>
  <c r="D15" i="1"/>
  <c r="D16" i="1"/>
  <c r="D17" i="1"/>
  <c r="D13" i="1"/>
  <c r="E14" i="1"/>
  <c r="E15" i="1"/>
  <c r="E16" i="1"/>
  <c r="E17" i="1"/>
  <c r="E13" i="1"/>
  <c r="C17" i="1"/>
  <c r="C16" i="1"/>
  <c r="C18" i="1" s="1"/>
  <c r="C37" i="1" s="1"/>
  <c r="C15" i="1"/>
  <c r="C13" i="1"/>
  <c r="C14" i="1"/>
  <c r="D30" i="1"/>
  <c r="G3" i="1"/>
  <c r="F13" i="1" s="1" a="1"/>
  <c r="F13" i="1" s="1"/>
  <c r="G4" i="1"/>
  <c r="G5" i="1"/>
  <c r="G6" i="1"/>
  <c r="F16" i="1" s="1"/>
  <c r="G16" i="1" s="1"/>
  <c r="G7" i="1"/>
  <c r="F17" i="1" s="1"/>
  <c r="G17" i="1" s="1"/>
  <c r="L4" i="1"/>
  <c r="L5" i="1"/>
  <c r="K13" i="1" s="1"/>
  <c r="L6" i="1"/>
  <c r="L7" i="1"/>
  <c r="L3" i="1"/>
  <c r="D18" i="1" l="1"/>
  <c r="F37" i="1" s="1"/>
  <c r="K27" i="1"/>
  <c r="F14" i="1"/>
  <c r="G14" i="1" s="1"/>
  <c r="C38" i="1"/>
  <c r="D37" i="1"/>
  <c r="E37" i="1" s="1"/>
  <c r="G13" i="1"/>
  <c r="G18" i="1" s="1"/>
  <c r="H37" i="1" s="1"/>
  <c r="F18" i="1"/>
  <c r="E18" i="1"/>
  <c r="G37" i="1" s="1"/>
  <c r="I37" i="1" l="1"/>
  <c r="D48" i="1" s="1"/>
  <c r="F38" i="1"/>
  <c r="G38" i="1"/>
  <c r="H38" i="1"/>
  <c r="C39" i="1"/>
  <c r="D38" i="1"/>
  <c r="E38" i="1" s="1"/>
  <c r="I38" i="1" s="1"/>
  <c r="D49" i="1" s="1"/>
  <c r="F39" i="1" l="1"/>
  <c r="H39" i="1"/>
  <c r="G39" i="1"/>
  <c r="D39" i="1"/>
  <c r="E39" i="1" s="1"/>
  <c r="I39" i="1" s="1"/>
  <c r="D50" i="1" s="1"/>
  <c r="C40" i="1"/>
  <c r="H40" i="1" l="1"/>
  <c r="F40" i="1"/>
  <c r="G40" i="1"/>
  <c r="C41" i="1"/>
  <c r="D40" i="1"/>
  <c r="E40" i="1" s="1"/>
  <c r="I40" i="1" s="1"/>
  <c r="D51" i="1" s="1"/>
  <c r="D41" i="1" l="1"/>
  <c r="E41" i="1" s="1"/>
  <c r="H41" i="1"/>
  <c r="F41" i="1"/>
  <c r="G41" i="1"/>
  <c r="I41" i="1" l="1"/>
  <c r="E52" i="1" s="1"/>
  <c r="D52" i="1" s="1"/>
  <c r="E55" i="1" s="1"/>
  <c r="E56" i="1" s="1"/>
  <c r="E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<sst xmlns="http://schemas.openxmlformats.org/spreadsheetml/2006/main" count="74" uniqueCount="66">
  <si>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Assumptions</t>
  </si>
  <si>
    <t>Financials</t>
  </si>
  <si>
    <t>Year</t>
  </si>
  <si>
    <t>Value</t>
  </si>
  <si>
    <t>Years between</t>
  </si>
  <si>
    <t>Revenue Growth Rate</t>
  </si>
  <si>
    <t>EBIT Margin</t>
  </si>
  <si>
    <t xml:space="preserve">Year </t>
  </si>
  <si>
    <t>Revenue (£m)</t>
  </si>
  <si>
    <t>EBIT (£m)</t>
  </si>
  <si>
    <t>Depreciation &amp; Amortisation (£m)</t>
  </si>
  <si>
    <t>CapEX (Capital Expenditures) (£m)</t>
  </si>
  <si>
    <t>Net Working Capital (£m)</t>
  </si>
  <si>
    <t>Current Assets (£m)</t>
  </si>
  <si>
    <t>Cash and cash equivalents (£m)</t>
  </si>
  <si>
    <t>Current liabilities (£m)</t>
  </si>
  <si>
    <t>Borrowings (£m)</t>
  </si>
  <si>
    <t>Taxation (£m)</t>
  </si>
  <si>
    <t>Profit before tax (£m)</t>
  </si>
  <si>
    <t>Tax Rate (%)</t>
  </si>
  <si>
    <t>Net working Capital (£m)</t>
  </si>
  <si>
    <t>Cash and Cash equivalents (£m)</t>
  </si>
  <si>
    <t>Change in NWC as a % of Revenue</t>
  </si>
  <si>
    <t>Change in Net Working Capital (£m)</t>
  </si>
  <si>
    <t xml:space="preserve">Average </t>
  </si>
  <si>
    <t>CapEX Fraction (%)</t>
  </si>
  <si>
    <t>Depreciation &amp; Amortisation Fraction (%)</t>
  </si>
  <si>
    <t>Share price</t>
  </si>
  <si>
    <t>Shares outstanding</t>
  </si>
  <si>
    <t>Market Value of Equity (E) (£m)</t>
  </si>
  <si>
    <t>Current Liabilities Borrowings (£m)</t>
  </si>
  <si>
    <t>Non-current Liabilities Borrowings (£m)</t>
  </si>
  <si>
    <t>Average Tax Rate (T)</t>
  </si>
  <si>
    <t>Market Value of Debt (D) (£m)</t>
  </si>
  <si>
    <t>Market Risk Premium</t>
  </si>
  <si>
    <t>Cost of Equity (Re)</t>
  </si>
  <si>
    <t>Cost of Debt (Rd)</t>
  </si>
  <si>
    <t>Risk-free rate (Rf)</t>
  </si>
  <si>
    <t>Tesco's Beta (β)</t>
  </si>
  <si>
    <t>Interest Expense (£m)</t>
  </si>
  <si>
    <t>Total Debt (£m)</t>
  </si>
  <si>
    <t>Weighted Avergae Cost of Capital (WACC)/Discount Rate</t>
  </si>
  <si>
    <t>Year 2020</t>
  </si>
  <si>
    <t>Forecast</t>
  </si>
  <si>
    <t>Forecasted Revenue (£m)</t>
  </si>
  <si>
    <t>EBIT Forecast (£m)</t>
  </si>
  <si>
    <t>Net Operating Profit After Tax (NOPAT) Forecast (£m)</t>
  </si>
  <si>
    <t>D&amp;A Forecast (£m)</t>
  </si>
  <si>
    <t>CapEx Forecast (£m)</t>
  </si>
  <si>
    <t>Projected change in NWC (£m)</t>
  </si>
  <si>
    <t>Future Free Cash Flow (£m)</t>
  </si>
  <si>
    <t>DCF Valuation</t>
  </si>
  <si>
    <t>Present Value (£m)</t>
  </si>
  <si>
    <t>Perpetual Growth (g)</t>
  </si>
  <si>
    <t>Period (t), Fractiopn of a year</t>
  </si>
  <si>
    <t>Terminal Value (£m)</t>
  </si>
  <si>
    <t>Enterprise Value (£m)</t>
  </si>
  <si>
    <t>Equity Value (£m)</t>
  </si>
  <si>
    <t>Intrinsic Share Price</t>
  </si>
  <si>
    <t>Sensitivity Analysis</t>
  </si>
  <si>
    <t>Perpetual Growth Rate (g)</t>
  </si>
  <si>
    <t>WACC</t>
  </si>
  <si>
    <t>Values</t>
  </si>
  <si>
    <t>Results</t>
  </si>
  <si>
    <t>Input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</si>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</sst>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9" formatCode="&quot;£&quot;#,##0.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2" fillId="2" borderId="0" xfId="0" applyFont="1" applyFill="1"/>
    <xf numFmtId="169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38">
    <dxf>
      <numFmt numFmtId="14" formatCode="0.00%"/>
    </dxf>
    <dxf>
      <numFmt numFmtId="169" formatCode="&quot;£&quot;#,##0.00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£&quot;#,##0"/>
    </dxf>
    <dxf>
      <numFmt numFmtId="14" formatCode="0.00%"/>
    </dxf>
    <dxf>
      <numFmt numFmtId="14" formatCode="0.00%"/>
    </dxf>
    <dxf>
      <numFmt numFmtId="14" formatCode="0.00%"/>
    </dxf>
    <dxf>
      <numFmt numFmtId="169" formatCode="&quot;£&quot;#,##0.00"/>
    </dxf>
    <dxf>
      <numFmt numFmtId="14" formatCode="0.00%"/>
    </dxf>
    <dxf>
      <numFmt numFmtId="14" formatCode="0.00%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9" formatCode="&quot;£&quot;#,##0.0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4" formatCode="0.00%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numFmt numFmtId="164" formatCode="&quot;£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164" formatCode="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50703-9943-D44E-A5E3-E593AF3CBC57}" name="Table1" displayName="Table1" ref="B2:N7" totalsRowShown="0" headerRowDxfId="36">
  <autoFilter ref="B2:N7" xr:uid="{4BE50703-9943-D44E-A5E3-E593AF3CBC57}"/>
  <tableColumns count="13">
    <tableColumn id="1" xr3:uid="{9F8807C2-828E-7B4E-9F16-6B5317D6FE27}" name="Year"/>
    <tableColumn id="2" xr3:uid="{937737D0-6F45-F847-B47A-BA3227FEB7C2}" name="Revenue (£m)" dataDxfId="35"/>
    <tableColumn id="3" xr3:uid="{299093DD-0E9C-D147-9C1A-E87B6F415FB3}" name="EBIT (£m)" dataDxfId="34"/>
    <tableColumn id="4" xr3:uid="{918E49DC-7C9A-A44F-9C1C-52521E3A26EF}" name="Depreciation &amp; Amortisation (£m)" dataDxfId="33"/>
    <tableColumn id="5" xr3:uid="{83725230-750B-4541-8AC0-0E606B69E5BB}" name="CapEX (Capital Expenditures) (£m)" dataDxfId="32"/>
    <tableColumn id="6" xr3:uid="{6B05EDA3-8F5C-034E-B053-043AF1DD5022}" name="Net Working Capital (£m)" dataDxfId="31">
      <calculatedColumnFormula>(H3-I3)-(J3-K3)</calculatedColumnFormula>
    </tableColumn>
    <tableColumn id="7" xr3:uid="{AF08B9F8-3832-2B4B-BE72-E56D8A5ED642}" name="Current Assets (£m)" dataDxfId="30"/>
    <tableColumn id="8" xr3:uid="{5B9FCD5D-24AC-5C41-B713-BC51D88649A6}" name="Cash and cash equivalents (£m)" dataDxfId="29"/>
    <tableColumn id="9" xr3:uid="{3E9DC063-458F-9343-873B-7CA174E79300}" name="Current liabilities (£m)" dataDxfId="28"/>
    <tableColumn id="10" xr3:uid="{DBE9E128-BF77-7146-987A-07EEB7D77612}" name="Borrowings (£m)" dataDxfId="27"/>
    <tableColumn id="11" xr3:uid="{BD618454-5C1E-334F-93DC-82258E5247B8}" name="Tax Rate (%)" dataDxfId="25">
      <calculatedColumnFormula>(M3/N3)</calculatedColumnFormula>
    </tableColumn>
    <tableColumn id="12" xr3:uid="{22B623D1-AC21-9A42-8B9C-6AB19C4219A6}" name="Taxation (£m)" dataDxfId="26"/>
    <tableColumn id="13" xr3:uid="{D71541C6-4926-CA48-BDDB-E9AEC81B3AB8}" name="Profit before tax (£m)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AA775-CBAD-304A-8ACC-8A4CBA1C4090}" name="Table2" displayName="Table2" ref="B29:H30" totalsRowShown="0">
  <autoFilter ref="B29:H30" xr:uid="{79FAA775-CBAD-304A-8ACC-8A4CBA1C4090}"/>
  <tableColumns count="7">
    <tableColumn id="1" xr3:uid="{3F24633F-5506-744C-B419-496CDABA143C}" name="Year "/>
    <tableColumn id="2" xr3:uid="{0E6F2FAE-36B7-2347-8318-CF98113DA87B}" name="Revenue (£m)" dataDxfId="24"/>
    <tableColumn id="3" xr3:uid="{482D6080-5434-8046-B409-8E1F2AE8D9B5}" name="Net working Capital (£m)" dataDxfId="23">
      <calculatedColumnFormula>((E30-F30)-(G30-H30))</calculatedColumnFormula>
    </tableColumn>
    <tableColumn id="4" xr3:uid="{F3814FC1-847F-9D40-B565-609B4A2ACE54}" name="Current Assets (£m)" dataDxfId="22"/>
    <tableColumn id="5" xr3:uid="{78CF23AF-7681-1842-AAD5-1D1B9902495B}" name="Cash and Cash equivalents (£m)" dataDxfId="21"/>
    <tableColumn id="6" xr3:uid="{9A7EAFC3-4358-304A-8354-A75D584755A4}" name="Current liabilities (£m)" dataDxfId="20"/>
    <tableColumn id="7" xr3:uid="{0BEC7CDE-C85A-634E-8825-F22B2335DE90}" name="Borrowings (£m)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46F2E7-6F7F-C848-80F0-439FF452CD9A}" name="Table3" displayName="Table3" ref="B36:I41" totalsRowShown="0">
  <autoFilter ref="B36:I41" xr:uid="{3346F2E7-6F7F-C848-80F0-439FF452CD9A}"/>
  <tableColumns count="8">
    <tableColumn id="1" xr3:uid="{93A06F81-657B-354C-A3E4-9F864CECC50C}" name="Year"/>
    <tableColumn id="2" xr3:uid="{9DE9A420-C951-2843-AA8D-2700AAE6DCCB}" name="Forecasted Revenue (£m)" dataDxfId="18">
      <calculatedColumnFormula>C36*(1+$C$18)</calculatedColumnFormula>
    </tableColumn>
    <tableColumn id="3" xr3:uid="{CA8D4C11-D401-024D-A8DB-CE66279E982A}" name="EBIT Forecast (£m)" dataDxfId="17">
      <calculatedColumnFormula>C37*$H$18</calculatedColumnFormula>
    </tableColumn>
    <tableColumn id="4" xr3:uid="{9B4C7C0D-72F2-2C41-BA64-7863EB6240CF}" name="Net Operating Profit After Tax (NOPAT) Forecast (£m)" dataDxfId="16">
      <calculatedColumnFormula>D37*(1-$K$13)</calculatedColumnFormula>
    </tableColumn>
    <tableColumn id="5" xr3:uid="{E2233F46-DC65-624E-AFE5-8C88A82430DE}" name="D&amp;A Forecast (£m)" dataDxfId="15">
      <calculatedColumnFormula>C37*$D$18</calculatedColumnFormula>
    </tableColumn>
    <tableColumn id="6" xr3:uid="{40403855-A7D3-4048-B66B-503594796F86}" name="CapEx Forecast (£m)" dataDxfId="14">
      <calculatedColumnFormula>C37*$E$18</calculatedColumnFormula>
    </tableColumn>
    <tableColumn id="7" xr3:uid="{73C1133D-CE4A-7740-8467-3699CF51D743}" name="Projected change in NWC (£m)" dataDxfId="13">
      <calculatedColumnFormula>C37*$G$18</calculatedColumnFormula>
    </tableColumn>
    <tableColumn id="8" xr3:uid="{621AEBE7-1037-D640-8C94-31B7EC79CA25}" name="Future Free Cash Flow (£m)" dataDxfId="12">
      <calculatedColumnFormula>E37+F37-G37-H37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F1F0E0-9C17-BD49-90B0-825E6EA5CF88}" name="Table4" displayName="Table4" ref="B61:D70" totalsRowShown="0">
  <autoFilter ref="B61:D70" xr:uid="{0AF1F0E0-9C17-BD49-90B0-825E6EA5CF88}"/>
  <tableColumns count="3">
    <tableColumn id="1" xr3:uid="{83EB7C31-C921-4740-BFDF-4A75CE384CC0}" name="Perpetual Growth Rate (g)" dataDxfId="11"/>
    <tableColumn id="2" xr3:uid="{1B9E075C-380F-C645-897B-64CC43B52D70}" name="WACC" dataDxfId="10"/>
    <tableColumn id="3" xr3:uid="{414D311A-842B-9F45-A530-7836DAEACAB1}" name="Intrinsic Share Price" dataDxfId="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4B886C-EA05-3642-8C7B-DF7F25225471}" name="Table5" displayName="Table5" ref="B12:H17" totalsRowShown="0">
  <autoFilter ref="B12:H17" xr:uid="{874B886C-EA05-3642-8C7B-DF7F25225471}"/>
  <tableColumns count="7">
    <tableColumn id="1" xr3:uid="{43089645-DA89-B944-A124-38D0468DB85D}" name="Years between"/>
    <tableColumn id="2" xr3:uid="{3A4EDFC1-11C7-CD48-B467-BEF97665B24C}" name="Revenue Growth Rate" dataDxfId="8">
      <calculatedColumnFormula>(C3-C2)/(C2)</calculatedColumnFormula>
    </tableColumn>
    <tableColumn id="3" xr3:uid="{860595B3-A9FC-464C-932D-D84D11A51800}" name="Depreciation &amp; Amortisation Fraction (%)" dataDxfId="7">
      <calculatedColumnFormula>(E3/C3)</calculatedColumnFormula>
    </tableColumn>
    <tableColumn id="4" xr3:uid="{109A994F-B0C9-E942-AF9D-A96F2A476847}" name="CapEX Fraction (%)" dataDxfId="6">
      <calculatedColumnFormula>F3/C3</calculatedColumnFormula>
    </tableColumn>
    <tableColumn id="5" xr3:uid="{B033B855-3585-574D-A28F-9E913265B468}" name="Change in Net Working Capital (£m)" dataDxfId="5">
      <calculatedColumnFormula>G3-G2</calculatedColumnFormula>
    </tableColumn>
    <tableColumn id="6" xr3:uid="{6DB68A2E-73ED-B549-8B65-AF6586235977}" name="Change in NWC as a % of Revenue" dataDxfId="4">
      <calculatedColumnFormula>F13/C3</calculatedColumnFormula>
    </tableColumn>
    <tableColumn id="7" xr3:uid="{DC18666E-09B6-4D44-970E-EDF41F248806}" name="EBIT Margin" dataDxfId="3">
      <calculatedColumnFormula>D3/C3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CB757-B299-C742-AF25-1F909C7080EC}" name="Table6" displayName="Table6" ref="J12:K27" totalsRowShown="0">
  <autoFilter ref="J12:K27" xr:uid="{93BCB757-B299-C742-AF25-1F909C7080EC}"/>
  <tableColumns count="2">
    <tableColumn id="1" xr3:uid="{D2C1286E-3F1D-5A45-8D25-FC00A786F4D7}" name="Inputs"/>
    <tableColumn id="2" xr3:uid="{E1E0D79E-4C84-E542-8029-F70C22F9368C}" name="Values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683A7F-FF6E-3142-B91F-92863E81B211}" name="Table7" displayName="Table7" ref="B47:E52" totalsRowShown="0">
  <autoFilter ref="B47:E52" xr:uid="{E0683A7F-FF6E-3142-B91F-92863E81B211}"/>
  <tableColumns count="4">
    <tableColumn id="1" xr3:uid="{6204C831-0176-784E-9706-42BB65E23A1C}" name="Year"/>
    <tableColumn id="2" xr3:uid="{F9370C98-E7BD-B14F-9B0D-4EB28A6AFDB9}" name="Period (t), Fractiopn of a year"/>
    <tableColumn id="3" xr3:uid="{A8C4B612-CDD3-4A48-92A0-E4DCE239FE86}" name="Present Value (£m)" dataDxfId="1"/>
    <tableColumn id="4" xr3:uid="{B7D71D9B-025D-8342-B0B2-3DB7A3684C59}" name="Terminal Value (£m)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26B4CC-B067-0140-9549-F6012237C3FF}" name="Table8" displayName="Table8" ref="I47:J48" totalsRowShown="0">
  <autoFilter ref="I47:J48" xr:uid="{7826B4CC-B067-0140-9549-F6012237C3FF}"/>
  <tableColumns count="2">
    <tableColumn id="1" xr3:uid="{D0840BE8-E80E-564E-B14A-B1AC9EB59C01}" name="Input"/>
    <tableColumn id="2" xr3:uid="{024EED86-2050-A44B-B519-464D2F90BBAD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C17C-2B50-0E40-BF92-9F22F3C4D3B3}">
  <dimension ref="A1:N70"/>
  <sheetViews>
    <sheetView tabSelected="1" topLeftCell="A48" workbookViewId="0">
      <selection activeCell="E69" sqref="E69"/>
    </sheetView>
  </sheetViews>
  <sheetFormatPr baseColWidth="10" defaultRowHeight="16" x14ac:dyDescent="0.2"/>
  <cols>
    <col min="1" max="1" width="25.33203125" bestFit="1" customWidth="1"/>
    <col min="2" max="2" width="15.33203125" customWidth="1"/>
    <col min="3" max="3" width="26.6640625" customWidth="1"/>
    <col min="4" max="4" width="36.6640625" customWidth="1"/>
    <col min="5" max="5" width="45.5" customWidth="1"/>
    <col min="6" max="6" width="32.6640625" bestFit="1" customWidth="1"/>
    <col min="7" max="7" width="30.6640625" customWidth="1"/>
    <col min="8" max="8" width="28.1640625" customWidth="1"/>
    <col min="9" max="9" width="30.5" bestFit="1" customWidth="1"/>
    <col min="10" max="10" width="48.1640625" bestFit="1" customWidth="1"/>
    <col min="11" max="11" width="18.6640625" bestFit="1" customWidth="1"/>
    <col min="12" max="12" width="13.6640625" bestFit="1" customWidth="1"/>
    <col min="13" max="13" width="14.83203125" bestFit="1" customWidth="1"/>
    <col min="14" max="14" width="21.1640625" bestFit="1" customWidth="1"/>
    <col min="15" max="15" width="12.83203125" customWidth="1"/>
    <col min="18" max="18" width="16.6640625" customWidth="1"/>
  </cols>
  <sheetData>
    <row r="1" spans="1:14" ht="26" x14ac:dyDescent="0.3">
      <c r="A1" s="1"/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B2" s="1" t="s">
        <v>2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19</v>
      </c>
      <c r="M2" s="7" t="s">
        <v>17</v>
      </c>
      <c r="N2" s="7" t="s">
        <v>18</v>
      </c>
    </row>
    <row r="3" spans="1:14" x14ac:dyDescent="0.2">
      <c r="B3">
        <v>2021</v>
      </c>
      <c r="C3" s="3">
        <v>57887</v>
      </c>
      <c r="D3" s="3">
        <v>1547</v>
      </c>
      <c r="E3" s="3">
        <v>1747</v>
      </c>
      <c r="F3" s="3">
        <v>1052</v>
      </c>
      <c r="G3" s="3">
        <f>(H3-I3)-(J3-K3)</f>
        <v>-6344</v>
      </c>
      <c r="H3" s="3">
        <v>10807</v>
      </c>
      <c r="I3" s="3">
        <v>2510</v>
      </c>
      <c r="J3" s="3">
        <v>15721</v>
      </c>
      <c r="K3" s="3">
        <v>1080</v>
      </c>
      <c r="L3" s="6">
        <f>(M3/N3)</f>
        <v>0.12606060606060607</v>
      </c>
      <c r="M3" s="3">
        <v>104</v>
      </c>
      <c r="N3" s="3">
        <v>825</v>
      </c>
    </row>
    <row r="4" spans="1:14" x14ac:dyDescent="0.2">
      <c r="B4">
        <v>2022</v>
      </c>
      <c r="C4" s="3">
        <v>61344</v>
      </c>
      <c r="D4" s="3">
        <v>2560</v>
      </c>
      <c r="E4" s="3">
        <v>1718</v>
      </c>
      <c r="F4" s="3">
        <v>949</v>
      </c>
      <c r="G4" s="3">
        <f t="shared" ref="G4:G7" si="0">(H4-I4)-(J4-K4)</f>
        <v>-5556</v>
      </c>
      <c r="H4" s="3">
        <v>12189</v>
      </c>
      <c r="I4" s="3">
        <v>2345</v>
      </c>
      <c r="J4" s="3">
        <v>16125</v>
      </c>
      <c r="K4" s="3">
        <v>725</v>
      </c>
      <c r="L4" s="6">
        <f>(M4/N4)</f>
        <v>0.25086079685194296</v>
      </c>
      <c r="M4" s="3">
        <v>510</v>
      </c>
      <c r="N4" s="3">
        <v>2033</v>
      </c>
    </row>
    <row r="5" spans="1:14" x14ac:dyDescent="0.2">
      <c r="B5">
        <v>2023</v>
      </c>
      <c r="C5" s="3">
        <v>65322</v>
      </c>
      <c r="D5" s="3">
        <v>1525</v>
      </c>
      <c r="E5" s="3">
        <v>1700</v>
      </c>
      <c r="F5" s="3">
        <v>971</v>
      </c>
      <c r="G5" s="3">
        <f t="shared" si="0"/>
        <v>-5691</v>
      </c>
      <c r="H5" s="3">
        <v>12725</v>
      </c>
      <c r="I5" s="3">
        <v>2465</v>
      </c>
      <c r="J5" s="3">
        <v>17721</v>
      </c>
      <c r="K5" s="3">
        <v>1770</v>
      </c>
      <c r="L5" s="6">
        <f>(M5/N5)</f>
        <v>0.247</v>
      </c>
      <c r="M5" s="3">
        <v>247</v>
      </c>
      <c r="N5" s="3">
        <v>1000</v>
      </c>
    </row>
    <row r="6" spans="1:14" x14ac:dyDescent="0.2">
      <c r="B6">
        <v>2024</v>
      </c>
      <c r="C6" s="3">
        <v>68187</v>
      </c>
      <c r="D6" s="3">
        <v>2821</v>
      </c>
      <c r="E6" s="3">
        <v>1775</v>
      </c>
      <c r="F6" s="3">
        <v>1108</v>
      </c>
      <c r="G6" s="3">
        <f t="shared" si="0"/>
        <v>2452</v>
      </c>
      <c r="H6" s="3">
        <v>16606</v>
      </c>
      <c r="I6" s="3">
        <v>2340</v>
      </c>
      <c r="J6" s="3">
        <v>13350</v>
      </c>
      <c r="K6" s="3">
        <v>1536</v>
      </c>
      <c r="L6" s="6">
        <f>(M6/N6)</f>
        <v>0.22935779816513763</v>
      </c>
      <c r="M6" s="3">
        <v>525</v>
      </c>
      <c r="N6" s="3">
        <v>2289</v>
      </c>
    </row>
    <row r="7" spans="1:14" x14ac:dyDescent="0.2">
      <c r="B7">
        <v>2025</v>
      </c>
      <c r="C7" s="3">
        <v>69916</v>
      </c>
      <c r="D7" s="3">
        <v>2711</v>
      </c>
      <c r="E7" s="3">
        <v>1723</v>
      </c>
      <c r="F7" s="3">
        <v>1247</v>
      </c>
      <c r="G7" s="3">
        <f t="shared" si="0"/>
        <v>-5358</v>
      </c>
      <c r="H7" s="3">
        <v>8856</v>
      </c>
      <c r="I7" s="3">
        <v>2255</v>
      </c>
      <c r="J7" s="3">
        <v>13820</v>
      </c>
      <c r="K7" s="3">
        <v>1861</v>
      </c>
      <c r="L7" s="6">
        <f>(M7/N7)</f>
        <v>0.27584650112866815</v>
      </c>
      <c r="M7" s="3">
        <v>611</v>
      </c>
      <c r="N7" s="3">
        <v>2215</v>
      </c>
    </row>
    <row r="8" spans="1:14" x14ac:dyDescent="0.2">
      <c r="C8" s="3"/>
    </row>
    <row r="9" spans="1:14" x14ac:dyDescent="0.2">
      <c r="C9" s="3"/>
    </row>
    <row r="10" spans="1:14" x14ac:dyDescent="0.2">
      <c r="C10" s="3"/>
    </row>
    <row r="11" spans="1:14" ht="26" x14ac:dyDescent="0.3">
      <c r="B11" s="5" t="s">
        <v>0</v>
      </c>
      <c r="C11" s="5"/>
      <c r="D11" s="5"/>
      <c r="E11" s="5" t="s">
        <v>0</v>
      </c>
      <c r="F11" s="5"/>
      <c r="G11" s="5"/>
      <c r="H11" s="5"/>
      <c r="I11" s="5"/>
      <c r="J11" s="5"/>
      <c r="K11" s="5"/>
    </row>
    <row r="12" spans="1:14" x14ac:dyDescent="0.2">
      <c r="B12" t="s">
        <v>4</v>
      </c>
      <c r="C12" s="3" t="s">
        <v>5</v>
      </c>
      <c r="D12" t="s">
        <v>26</v>
      </c>
      <c r="E12" t="s">
        <v>25</v>
      </c>
      <c r="F12" t="s">
        <v>23</v>
      </c>
      <c r="G12" t="s">
        <v>22</v>
      </c>
      <c r="H12" t="s">
        <v>6</v>
      </c>
      <c r="J12" t="s">
        <v>65</v>
      </c>
      <c r="K12" s="6" t="s">
        <v>62</v>
      </c>
    </row>
    <row r="13" spans="1:14" x14ac:dyDescent="0.2">
      <c r="B13">
        <v>2021</v>
      </c>
      <c r="C13" s="6">
        <f>(C3-C30)/(C30)</f>
        <v>-3.5117315935342826E-3</v>
      </c>
      <c r="D13" s="6">
        <f>(E3/C3)</f>
        <v>3.0179487622436815E-2</v>
      </c>
      <c r="E13" s="6">
        <f>F3/C3</f>
        <v>1.8173337709675746E-2</v>
      </c>
      <c r="F13" s="3" cm="1">
        <f t="array" ref="F13">G3-Table2[Net working Capital (£m)]</f>
        <v>622</v>
      </c>
      <c r="G13" s="6">
        <f>F13/C3</f>
        <v>1.0745072296025015E-2</v>
      </c>
      <c r="H13" s="6">
        <f>D3/C3</f>
        <v>2.672448045329694E-2</v>
      </c>
      <c r="J13" t="s">
        <v>32</v>
      </c>
      <c r="K13" s="6">
        <f>AVERAGE(L4:L7)</f>
        <v>0.2507662740364372</v>
      </c>
    </row>
    <row r="14" spans="1:14" x14ac:dyDescent="0.2">
      <c r="B14">
        <v>2022</v>
      </c>
      <c r="C14" s="6">
        <f>(C4-C3)/(C3)</f>
        <v>5.9719798918582756E-2</v>
      </c>
      <c r="D14" s="6">
        <f t="shared" ref="D14:D17" si="1">(E4/C4)</f>
        <v>2.8005998956703183E-2</v>
      </c>
      <c r="E14" s="6">
        <f t="shared" ref="E14:E17" si="2">F4/C4</f>
        <v>1.5470135628586333E-2</v>
      </c>
      <c r="F14" s="3">
        <f>G4-G3</f>
        <v>788</v>
      </c>
      <c r="G14" s="6">
        <f t="shared" ref="G14:G17" si="3">F14/C4</f>
        <v>1.2845592070944184E-2</v>
      </c>
      <c r="H14" s="6">
        <f t="shared" ref="H14:H17" si="4">D4/C4</f>
        <v>4.1731872717788214E-2</v>
      </c>
      <c r="J14" t="s">
        <v>29</v>
      </c>
      <c r="K14" s="3">
        <f>(K18*K19)/1000000</f>
        <v>28711.760000000002</v>
      </c>
    </row>
    <row r="15" spans="1:14" x14ac:dyDescent="0.2">
      <c r="B15">
        <v>2023</v>
      </c>
      <c r="C15" s="6">
        <f>(C5-C4)/(C4)</f>
        <v>6.4847417840375593E-2</v>
      </c>
      <c r="D15" s="6">
        <f t="shared" si="1"/>
        <v>2.6024922690670832E-2</v>
      </c>
      <c r="E15" s="6">
        <f t="shared" si="2"/>
        <v>1.4864823489789045E-2</v>
      </c>
      <c r="F15" s="3">
        <f t="shared" ref="F15:F17" si="5">G5-G4</f>
        <v>-135</v>
      </c>
      <c r="G15" s="6">
        <f t="shared" si="3"/>
        <v>-2.0666850372003309E-3</v>
      </c>
      <c r="H15" s="6">
        <f t="shared" si="4"/>
        <v>2.3345886531337068E-2</v>
      </c>
      <c r="J15" t="s">
        <v>33</v>
      </c>
      <c r="K15" s="3">
        <f>K21+K22</f>
        <v>6950</v>
      </c>
    </row>
    <row r="16" spans="1:14" x14ac:dyDescent="0.2">
      <c r="B16">
        <v>2024</v>
      </c>
      <c r="C16" s="6">
        <f>(C6-C5)/(C5)</f>
        <v>4.3859649122807015E-2</v>
      </c>
      <c r="D16" s="6">
        <f t="shared" si="1"/>
        <v>2.6031354950357105E-2</v>
      </c>
      <c r="E16" s="6">
        <f t="shared" si="2"/>
        <v>1.6249431709856717E-2</v>
      </c>
      <c r="F16" s="3">
        <f t="shared" si="5"/>
        <v>8143</v>
      </c>
      <c r="G16" s="6">
        <f t="shared" si="3"/>
        <v>0.1194215906257791</v>
      </c>
      <c r="H16" s="6">
        <f t="shared" si="4"/>
        <v>4.1371522430961913E-2</v>
      </c>
      <c r="J16" t="s">
        <v>37</v>
      </c>
      <c r="K16" s="6">
        <v>4.6600000000000003E-2</v>
      </c>
    </row>
    <row r="17" spans="2:11" x14ac:dyDescent="0.2">
      <c r="B17">
        <v>2025</v>
      </c>
      <c r="C17" s="6">
        <f>(C7-C6)/(C6)</f>
        <v>2.5356739554460529E-2</v>
      </c>
      <c r="D17" s="6">
        <f t="shared" si="1"/>
        <v>2.4643858344298872E-2</v>
      </c>
      <c r="E17" s="6">
        <f t="shared" si="2"/>
        <v>1.7835688540534356E-2</v>
      </c>
      <c r="F17" s="3">
        <f t="shared" si="5"/>
        <v>-7810</v>
      </c>
      <c r="G17" s="6">
        <f t="shared" si="3"/>
        <v>-0.1117054751415985</v>
      </c>
      <c r="H17" s="6">
        <f t="shared" si="4"/>
        <v>3.8775101550431949E-2</v>
      </c>
      <c r="J17" t="s">
        <v>38</v>
      </c>
      <c r="K17" s="4">
        <v>0.62</v>
      </c>
    </row>
    <row r="18" spans="2:11" x14ac:dyDescent="0.2">
      <c r="B18" t="s">
        <v>24</v>
      </c>
      <c r="C18" s="6">
        <f>AVERAGE(C16:C17)</f>
        <v>3.4608194338633769E-2</v>
      </c>
      <c r="D18" s="6">
        <f>AVERAGE(D13:D17)</f>
        <v>2.6977124512893358E-2</v>
      </c>
      <c r="E18" s="6">
        <f>AVERAGE(E13:E17)</f>
        <v>1.6518683415688441E-2</v>
      </c>
      <c r="F18" s="3">
        <f>AVERAGE(F13:F15)</f>
        <v>425</v>
      </c>
      <c r="G18" s="6">
        <f>AVERAGE(G13:G15)</f>
        <v>7.1746597765896224E-3</v>
      </c>
      <c r="H18" s="6">
        <f>AVERAGE(H13:H17)</f>
        <v>3.4389772736763219E-2</v>
      </c>
      <c r="J18" t="s">
        <v>27</v>
      </c>
      <c r="K18" s="2">
        <v>4.4240000000000004</v>
      </c>
    </row>
    <row r="19" spans="2:11" x14ac:dyDescent="0.2">
      <c r="C19" s="3"/>
      <c r="J19" t="s">
        <v>28</v>
      </c>
      <c r="K19" s="8">
        <v>6490000000</v>
      </c>
    </row>
    <row r="20" spans="2:11" x14ac:dyDescent="0.2">
      <c r="C20" s="3"/>
      <c r="J20" t="s">
        <v>35</v>
      </c>
      <c r="K20" s="6">
        <f>K16+K17*K23</f>
        <v>7.8406000000000003E-2</v>
      </c>
    </row>
    <row r="21" spans="2:11" x14ac:dyDescent="0.2">
      <c r="C21" s="3"/>
      <c r="J21" t="s">
        <v>30</v>
      </c>
      <c r="K21" s="2">
        <v>1861</v>
      </c>
    </row>
    <row r="22" spans="2:11" x14ac:dyDescent="0.2">
      <c r="C22" s="3"/>
      <c r="J22" t="s">
        <v>31</v>
      </c>
      <c r="K22" s="2">
        <v>5089</v>
      </c>
    </row>
    <row r="23" spans="2:11" x14ac:dyDescent="0.2">
      <c r="C23" s="3"/>
      <c r="J23" t="s">
        <v>34</v>
      </c>
      <c r="K23" s="6">
        <v>5.1299999999999998E-2</v>
      </c>
    </row>
    <row r="24" spans="2:11" x14ac:dyDescent="0.2">
      <c r="C24" s="3"/>
      <c r="J24" t="s">
        <v>39</v>
      </c>
      <c r="K24" s="3">
        <v>746</v>
      </c>
    </row>
    <row r="25" spans="2:11" x14ac:dyDescent="0.2">
      <c r="C25" s="3"/>
      <c r="J25" t="s">
        <v>40</v>
      </c>
      <c r="K25" s="3">
        <f>K15</f>
        <v>6950</v>
      </c>
    </row>
    <row r="26" spans="2:11" x14ac:dyDescent="0.2">
      <c r="C26" s="3"/>
      <c r="J26" t="s">
        <v>36</v>
      </c>
      <c r="K26" s="6">
        <f>K24/K25</f>
        <v>0.10733812949640288</v>
      </c>
    </row>
    <row r="27" spans="2:11" x14ac:dyDescent="0.2">
      <c r="C27" s="3"/>
      <c r="J27" t="s">
        <v>41</v>
      </c>
      <c r="K27" s="6">
        <f>(K14/(K14+K15))*K20+(K15/(K14+K15))*K26*(1-K13)</f>
        <v>7.8798764113964595E-2</v>
      </c>
    </row>
    <row r="28" spans="2:11" ht="26" x14ac:dyDescent="0.3">
      <c r="B28" s="5" t="s">
        <v>42</v>
      </c>
      <c r="C28" s="5"/>
      <c r="D28" s="5"/>
      <c r="E28" s="5"/>
      <c r="F28" s="5"/>
      <c r="G28" s="5"/>
      <c r="H28" s="5"/>
    </row>
    <row r="29" spans="2:11" x14ac:dyDescent="0.2">
      <c r="B29" t="s">
        <v>7</v>
      </c>
      <c r="C29" t="s">
        <v>8</v>
      </c>
      <c r="D29" t="s">
        <v>20</v>
      </c>
      <c r="E29" t="s">
        <v>13</v>
      </c>
      <c r="F29" t="s">
        <v>21</v>
      </c>
      <c r="G29" t="s">
        <v>15</v>
      </c>
      <c r="H29" t="s">
        <v>16</v>
      </c>
    </row>
    <row r="30" spans="2:11" x14ac:dyDescent="0.2">
      <c r="B30">
        <v>2020</v>
      </c>
      <c r="C30" s="3">
        <v>58091</v>
      </c>
      <c r="D30" s="3">
        <f>((E30-F30)-(G30-H30))</f>
        <v>-6966</v>
      </c>
      <c r="E30" s="3">
        <v>13608</v>
      </c>
      <c r="F30" s="3">
        <v>4137</v>
      </c>
      <c r="G30" s="3">
        <v>18656</v>
      </c>
      <c r="H30" s="3">
        <v>2219</v>
      </c>
    </row>
    <row r="31" spans="2:11" x14ac:dyDescent="0.2">
      <c r="C31" s="3"/>
    </row>
    <row r="32" spans="2:11" x14ac:dyDescent="0.2">
      <c r="C32" s="3"/>
    </row>
    <row r="33" spans="2:10" x14ac:dyDescent="0.2">
      <c r="C33" s="3"/>
    </row>
    <row r="34" spans="2:10" ht="26" x14ac:dyDescent="0.3">
      <c r="B34" s="5" t="s">
        <v>43</v>
      </c>
      <c r="C34" s="5"/>
      <c r="D34" s="5"/>
      <c r="E34" s="5"/>
      <c r="F34" s="5"/>
      <c r="G34" s="5"/>
      <c r="H34" s="5"/>
      <c r="I34" s="10"/>
    </row>
    <row r="35" spans="2:10" x14ac:dyDescent="0.2">
      <c r="C35" s="3"/>
    </row>
    <row r="36" spans="2:10" x14ac:dyDescent="0.2">
      <c r="B36" t="s">
        <v>2</v>
      </c>
      <c r="C36" s="3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s="9"/>
    </row>
    <row r="37" spans="2:10" x14ac:dyDescent="0.2">
      <c r="B37">
        <v>2026</v>
      </c>
      <c r="C37" s="3">
        <f>C7*(1+$C$18)</f>
        <v>72335.666515379926</v>
      </c>
      <c r="D37" s="2">
        <f>C37*$H$18</f>
        <v>2487.6071322262087</v>
      </c>
      <c r="E37" s="2">
        <f>D37*(1-$K$13)</f>
        <v>1863.7991604113756</v>
      </c>
      <c r="F37" s="2">
        <f>C37*$D$18</f>
        <v>1951.408282308535</v>
      </c>
      <c r="G37" s="2">
        <f>C37*$E$18</f>
        <v>1194.8899748303761</v>
      </c>
      <c r="H37" s="2">
        <f>C37*$G$18</f>
        <v>518.98379696069719</v>
      </c>
      <c r="I37" s="2">
        <f>E37+F37-G37-H37</f>
        <v>2101.3336709288369</v>
      </c>
    </row>
    <row r="38" spans="2:10" x14ac:dyDescent="0.2">
      <c r="B38">
        <v>2027</v>
      </c>
      <c r="C38" s="3">
        <f>C37*(1+$C$18)</f>
        <v>74839.073319758798</v>
      </c>
      <c r="D38" s="2">
        <f t="shared" ref="D38:D40" si="6">C38*$H$18</f>
        <v>2573.6987232964648</v>
      </c>
      <c r="E38" s="2">
        <f>D38*(1-$K$13)</f>
        <v>1928.3018839630752</v>
      </c>
      <c r="F38" s="2">
        <f>C38*$D$18</f>
        <v>2018.9429993766882</v>
      </c>
      <c r="G38" s="2">
        <f t="shared" ref="G38:G41" si="7">C38*$E$18</f>
        <v>1236.242959292591</v>
      </c>
      <c r="H38" s="2">
        <f t="shared" ref="H38:H41" si="8">C38*$G$18</f>
        <v>536.944889064515</v>
      </c>
      <c r="I38" s="2">
        <f t="shared" ref="I38:I41" si="9">E38+F38-G38-H38</f>
        <v>2174.0570349826576</v>
      </c>
    </row>
    <row r="39" spans="2:10" x14ac:dyDescent="0.2">
      <c r="B39">
        <v>2028</v>
      </c>
      <c r="C39" s="3">
        <f>C38*(1+$C$18)</f>
        <v>77429.118513332272</v>
      </c>
      <c r="D39" s="2">
        <f t="shared" si="6"/>
        <v>2662.7697888814023</v>
      </c>
      <c r="E39" s="2">
        <f>D39*(1-$K$13)</f>
        <v>1995.0369303068228</v>
      </c>
      <c r="F39" s="2">
        <f t="shared" ref="F38:F41" si="10">C39*$D$18</f>
        <v>2088.8149710577409</v>
      </c>
      <c r="G39" s="2">
        <f t="shared" si="7"/>
        <v>1279.0270958775566</v>
      </c>
      <c r="H39" s="2">
        <f t="shared" si="8"/>
        <v>555.52758213439597</v>
      </c>
      <c r="I39" s="2">
        <f t="shared" si="9"/>
        <v>2249.2972233526116</v>
      </c>
    </row>
    <row r="40" spans="2:10" x14ac:dyDescent="0.2">
      <c r="B40">
        <v>2029</v>
      </c>
      <c r="C40" s="3">
        <f t="shared" ref="C40" si="11">C39*(1+$C$18)</f>
        <v>80108.800494310781</v>
      </c>
      <c r="D40" s="2">
        <f t="shared" si="6"/>
        <v>2754.9234432140529</v>
      </c>
      <c r="E40" s="2">
        <f>D40*(1-$K$13)</f>
        <v>2064.0815561036329</v>
      </c>
      <c r="F40" s="2">
        <f t="shared" si="10"/>
        <v>2161.105085513555</v>
      </c>
      <c r="G40" s="2">
        <f t="shared" si="7"/>
        <v>1323.2919141760656</v>
      </c>
      <c r="H40" s="2">
        <f t="shared" si="8"/>
        <v>574.75338865737444</v>
      </c>
      <c r="I40" s="2">
        <f t="shared" si="9"/>
        <v>2327.1413387837474</v>
      </c>
    </row>
    <row r="41" spans="2:10" x14ac:dyDescent="0.2">
      <c r="B41">
        <v>2030</v>
      </c>
      <c r="C41" s="3">
        <f>C40*(1+$C$18)</f>
        <v>82881.221430052727</v>
      </c>
      <c r="D41" s="2">
        <f>C41*$H$18</f>
        <v>2850.2663691248626</v>
      </c>
      <c r="E41" s="2">
        <f>D41*(1-$K$13)</f>
        <v>2135.5156917280565</v>
      </c>
      <c r="F41" s="2">
        <f t="shared" si="10"/>
        <v>2235.8970302992175</v>
      </c>
      <c r="G41" s="2">
        <f t="shared" si="7"/>
        <v>1369.0886579086134</v>
      </c>
      <c r="H41" s="2">
        <f t="shared" si="8"/>
        <v>594.64456562881708</v>
      </c>
      <c r="I41" s="2">
        <f t="shared" si="9"/>
        <v>2407.6794984898434</v>
      </c>
    </row>
    <row r="42" spans="2:10" x14ac:dyDescent="0.2">
      <c r="C42" s="3"/>
    </row>
    <row r="43" spans="2:10" x14ac:dyDescent="0.2">
      <c r="C43" s="3"/>
    </row>
    <row r="44" spans="2:10" x14ac:dyDescent="0.2">
      <c r="C44" s="3"/>
    </row>
    <row r="45" spans="2:10" ht="26" x14ac:dyDescent="0.3">
      <c r="B45" s="5" t="s">
        <v>51</v>
      </c>
      <c r="C45" s="5"/>
      <c r="D45" s="5"/>
      <c r="E45" s="5"/>
      <c r="F45" s="5"/>
      <c r="G45" s="5"/>
      <c r="H45" s="5"/>
      <c r="I45" s="5"/>
      <c r="J45" s="5"/>
    </row>
    <row r="46" spans="2:10" x14ac:dyDescent="0.2">
      <c r="C46" s="3"/>
    </row>
    <row r="47" spans="2:10" x14ac:dyDescent="0.2">
      <c r="B47" t="s">
        <v>2</v>
      </c>
      <c r="C47" s="3" t="s">
        <v>54</v>
      </c>
      <c r="D47" t="s">
        <v>52</v>
      </c>
      <c r="E47" t="s">
        <v>55</v>
      </c>
      <c r="H47" s="6"/>
      <c r="I47" t="s">
        <v>64</v>
      </c>
      <c r="J47" s="6" t="s">
        <v>3</v>
      </c>
    </row>
    <row r="48" spans="2:10" x14ac:dyDescent="0.2">
      <c r="B48">
        <v>2026</v>
      </c>
      <c r="C48">
        <f>167/365</f>
        <v>0.45753424657534247</v>
      </c>
      <c r="D48" s="2">
        <f>I37/((1+$K$27)^C48)</f>
        <v>2029.6616225351233</v>
      </c>
      <c r="I48" t="s">
        <v>53</v>
      </c>
      <c r="J48" s="6">
        <v>0.02</v>
      </c>
    </row>
    <row r="49" spans="2:6" x14ac:dyDescent="0.2">
      <c r="B49">
        <v>2027</v>
      </c>
      <c r="C49">
        <f>1+C48</f>
        <v>1.4575342465753425</v>
      </c>
      <c r="D49" s="2">
        <f>I38/((1+$K$27)^C49)</f>
        <v>1946.5210901814228</v>
      </c>
    </row>
    <row r="50" spans="2:6" x14ac:dyDescent="0.2">
      <c r="B50">
        <v>2028</v>
      </c>
      <c r="C50">
        <f>1+C49</f>
        <v>2.4575342465753423</v>
      </c>
      <c r="D50" s="2">
        <f>I39/((1+$K$27)^C50)</f>
        <v>1866.7862231087277</v>
      </c>
    </row>
    <row r="51" spans="2:6" x14ac:dyDescent="0.2">
      <c r="B51">
        <v>2029</v>
      </c>
      <c r="C51">
        <f>(167+365+365+366)/(365)</f>
        <v>3.4602739726027396</v>
      </c>
      <c r="D51" s="2">
        <f>I40/((1+$K$27)^C51)</f>
        <v>1789.9455208334718</v>
      </c>
    </row>
    <row r="52" spans="2:6" x14ac:dyDescent="0.2">
      <c r="B52">
        <v>2030</v>
      </c>
      <c r="C52">
        <f>1+C51</f>
        <v>4.4602739726027396</v>
      </c>
      <c r="D52" s="2">
        <f>E52/((1+K27)^C52)</f>
        <v>29778.804627722537</v>
      </c>
      <c r="E52" s="2">
        <f>(I41*(1+J48))/(K27-J48)</f>
        <v>41766.746724467033</v>
      </c>
    </row>
    <row r="53" spans="2:6" x14ac:dyDescent="0.2">
      <c r="C53" s="3"/>
    </row>
    <row r="54" spans="2:6" ht="26" x14ac:dyDescent="0.3">
      <c r="C54" s="3"/>
      <c r="D54" s="5" t="s">
        <v>63</v>
      </c>
      <c r="E54" s="5"/>
    </row>
    <row r="55" spans="2:6" x14ac:dyDescent="0.2">
      <c r="C55" s="3"/>
      <c r="D55" s="11" t="s">
        <v>56</v>
      </c>
      <c r="E55" s="12">
        <f>SUM(D48:D52)</f>
        <v>37411.719084381286</v>
      </c>
    </row>
    <row r="56" spans="2:6" x14ac:dyDescent="0.2">
      <c r="C56" s="3"/>
      <c r="D56" s="11" t="s">
        <v>57</v>
      </c>
      <c r="E56" s="12">
        <f>E55-K25-I7</f>
        <v>28206.719084381286</v>
      </c>
    </row>
    <row r="57" spans="2:6" x14ac:dyDescent="0.2">
      <c r="C57" s="3"/>
      <c r="D57" s="11" t="s">
        <v>58</v>
      </c>
      <c r="E57" s="12">
        <f>(E56*1000000)/K19</f>
        <v>4.3461816771003523</v>
      </c>
    </row>
    <row r="58" spans="2:6" x14ac:dyDescent="0.2">
      <c r="C58" s="3"/>
    </row>
    <row r="59" spans="2:6" x14ac:dyDescent="0.2">
      <c r="C59" s="3"/>
    </row>
    <row r="60" spans="2:6" ht="26" x14ac:dyDescent="0.3">
      <c r="B60" s="5" t="s">
        <v>59</v>
      </c>
      <c r="C60" s="5"/>
      <c r="D60" s="5"/>
      <c r="E60" s="13"/>
      <c r="F60" s="13"/>
    </row>
    <row r="61" spans="2:6" x14ac:dyDescent="0.2">
      <c r="B61" s="1" t="s">
        <v>60</v>
      </c>
      <c r="C61" s="1" t="s">
        <v>61</v>
      </c>
      <c r="D61" s="1" t="s">
        <v>58</v>
      </c>
    </row>
    <row r="62" spans="2:6" x14ac:dyDescent="0.2">
      <c r="B62" s="6">
        <v>1.4999999999999999E-2</v>
      </c>
      <c r="C62" s="6">
        <v>7.3800000000000004E-2</v>
      </c>
      <c r="D62" s="2">
        <v>4.43</v>
      </c>
    </row>
    <row r="63" spans="2:6" x14ac:dyDescent="0.2">
      <c r="B63" s="6">
        <v>1.4999999999999999E-2</v>
      </c>
      <c r="C63" s="6">
        <v>7.8799999999999995E-2</v>
      </c>
      <c r="D63" s="2">
        <v>3.97</v>
      </c>
    </row>
    <row r="64" spans="2:6" x14ac:dyDescent="0.2">
      <c r="B64" s="6">
        <v>1.4999999999999999E-2</v>
      </c>
      <c r="C64" s="6">
        <v>8.3799999999999999E-2</v>
      </c>
      <c r="D64" s="2">
        <v>3.57</v>
      </c>
    </row>
    <row r="65" spans="2:4" x14ac:dyDescent="0.2">
      <c r="B65" s="6">
        <v>0.02</v>
      </c>
      <c r="C65" s="6">
        <v>7.3800000000000004E-2</v>
      </c>
      <c r="D65" s="2">
        <v>4.8899999999999997</v>
      </c>
    </row>
    <row r="66" spans="2:4" x14ac:dyDescent="0.2">
      <c r="B66" s="6">
        <v>0.02</v>
      </c>
      <c r="C66" s="6">
        <v>7.8799999999999995E-2</v>
      </c>
      <c r="D66" s="2">
        <v>4.3499999999999996</v>
      </c>
    </row>
    <row r="67" spans="2:4" x14ac:dyDescent="0.2">
      <c r="B67" s="6">
        <v>0.02</v>
      </c>
      <c r="C67" s="6">
        <v>8.3799999999999999E-2</v>
      </c>
      <c r="D67" s="2">
        <v>3.89</v>
      </c>
    </row>
    <row r="68" spans="2:4" x14ac:dyDescent="0.2">
      <c r="B68" s="6">
        <v>2.5000000000000001E-2</v>
      </c>
      <c r="C68" s="6">
        <v>7.3800000000000004E-2</v>
      </c>
      <c r="D68" s="2">
        <v>5.44</v>
      </c>
    </row>
    <row r="69" spans="2:4" x14ac:dyDescent="0.2">
      <c r="B69" s="6">
        <v>2.5000000000000001E-2</v>
      </c>
      <c r="C69" s="6">
        <v>7.8799999999999995E-2</v>
      </c>
      <c r="D69" s="2">
        <v>4.8</v>
      </c>
    </row>
    <row r="70" spans="2:4" x14ac:dyDescent="0.2">
      <c r="B70" s="6">
        <v>2.5000000000000001E-2</v>
      </c>
      <c r="C70" s="6">
        <v>8.3799999999999999E-2</v>
      </c>
      <c r="D70" s="2">
        <v>4.26</v>
      </c>
    </row>
  </sheetData>
  <mergeCells count="8">
    <mergeCell ref="B45:H45"/>
    <mergeCell ref="I45:J45"/>
    <mergeCell ref="B60:D60"/>
    <mergeCell ref="D54:E54"/>
    <mergeCell ref="B1:N1"/>
    <mergeCell ref="B28:H28"/>
    <mergeCell ref="B11:K11"/>
    <mergeCell ref="B34:H34"/>
  </mergeCells>
  <phoneticPr fontId="4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Frederick (fif1g24)</dc:creator>
  <cp:lastModifiedBy>Fritz Frederick (fif1g24)</cp:lastModifiedBy>
  <dcterms:created xsi:type="dcterms:W3CDTF">2025-09-07T16:53:08Z</dcterms:created>
  <dcterms:modified xsi:type="dcterms:W3CDTF">2025-09-10T22:58:53Z</dcterms:modified>
</cp:coreProperties>
</file>