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nish\repositories\70-0059\Misc\"/>
    </mc:Choice>
  </mc:AlternateContent>
  <xr:revisionPtr revIDLastSave="0" documentId="13_ncr:1_{9E956B23-33E5-4CC9-9B73-BF31D881DA20}" xr6:coauthVersionLast="47" xr6:coauthVersionMax="47" xr10:uidLastSave="{00000000-0000-0000-0000-000000000000}"/>
  <bookViews>
    <workbookView xWindow="30" yWindow="390" windowWidth="28770" windowHeight="15570" firstSheet="8" activeTab="8" xr2:uid="{00000000-000D-0000-FFFF-FFFF00000000}"/>
  </bookViews>
  <sheets>
    <sheet name="Stepper" sheetId="1" r:id="rId1"/>
    <sheet name="Inverted" sheetId="6" r:id="rId2"/>
    <sheet name="Board" sheetId="4" r:id="rId3"/>
    <sheet name="RTOS" sheetId="7" r:id="rId4"/>
    <sheet name="Piezo" sheetId="8" r:id="rId5"/>
    <sheet name="EEPROM " sheetId="5" r:id="rId6"/>
    <sheet name="EEPROM LUT" sheetId="10" r:id="rId7"/>
    <sheet name="Joysticks" sheetId="2" r:id="rId8"/>
    <sheet name="Servo" sheetId="3" r:id="rId9"/>
  </sheets>
  <definedNames>
    <definedName name="A">Inverted!$K$145</definedName>
    <definedName name="ADC_count_um">Piezo!$C$25</definedName>
    <definedName name="ADC_Input_range">Piezo!$C$19</definedName>
    <definedName name="ADC_max_count">Piezo!$C$20</definedName>
    <definedName name="ADC_voltage_per_count">Piezo!$C$21</definedName>
    <definedName name="ADC_volts_um">Piezo!$C$24</definedName>
    <definedName name="B">Inverted!$K$146</definedName>
    <definedName name="C_">Inverted!$K$147</definedName>
    <definedName name="center">Inverted!$D$47</definedName>
    <definedName name="cpp">Inverted!$P$125</definedName>
    <definedName name="D">Inverted!$K$148</definedName>
    <definedName name="DAC_Vmax__V">Piezo!$C$9</definedName>
    <definedName name="EEPROM_25LC1024_PAGE_SIZE">'EEPROM '!$C$4</definedName>
    <definedName name="EEPROM_START_ADDRESS">'EEPROM '!$C$5</definedName>
    <definedName name="Error">Piezo!$D$207</definedName>
    <definedName name="Factor">Piezo!$F$64</definedName>
    <definedName name="First_term">Piezo!$C$321</definedName>
    <definedName name="HUB_MAX_HUBS">'EEPROM '!$C$22</definedName>
    <definedName name="Max_displacement__um">Piezo!$C$32</definedName>
    <definedName name="Second_term">Piezo!$C$322</definedName>
    <definedName name="SLOT_EEPROM_PAGES">'EEPROM '!$C$9</definedName>
    <definedName name="USB_NUM_PORTS">'EEPROM '!$C$23</definedName>
    <definedName name="USB_NUMDEVICES">'EEPROM '!$C$23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" i="10" l="1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35" i="10"/>
  <c r="C39" i="10"/>
  <c r="I6" i="10"/>
  <c r="I3" i="10"/>
  <c r="I5" i="10"/>
  <c r="I4" i="10"/>
  <c r="H4" i="10"/>
  <c r="H5" i="10"/>
  <c r="H6" i="10"/>
  <c r="H3" i="10"/>
  <c r="C5" i="10"/>
  <c r="C4" i="10"/>
  <c r="E4" i="10"/>
  <c r="F4" i="10"/>
  <c r="E5" i="10" s="1"/>
  <c r="F5" i="10" s="1"/>
  <c r="E6" i="10" s="1"/>
  <c r="F6" i="10" s="1"/>
  <c r="F3" i="10"/>
  <c r="Q67" i="1"/>
  <c r="C20" i="8"/>
  <c r="C24" i="8"/>
  <c r="L166" i="6"/>
  <c r="M152" i="6"/>
  <c r="P126" i="6"/>
  <c r="V125" i="6"/>
  <c r="V126" i="6" s="1"/>
  <c r="V127" i="6" s="1"/>
  <c r="V128" i="6" s="1"/>
  <c r="V124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M153" i="6"/>
  <c r="M154" i="6" s="1"/>
  <c r="M147" i="6"/>
  <c r="J152" i="6"/>
  <c r="B159" i="6"/>
  <c r="G159" i="6" s="1"/>
  <c r="H159" i="6" s="1"/>
  <c r="I159" i="6" s="1"/>
  <c r="B167" i="6"/>
  <c r="G167" i="6" s="1"/>
  <c r="H167" i="6" s="1"/>
  <c r="I167" i="6" s="1"/>
  <c r="B175" i="6"/>
  <c r="G175" i="6" s="1"/>
  <c r="H175" i="6" s="1"/>
  <c r="I175" i="6" s="1"/>
  <c r="B183" i="6"/>
  <c r="G183" i="6" s="1"/>
  <c r="H183" i="6" s="1"/>
  <c r="I183" i="6" s="1"/>
  <c r="C152" i="6"/>
  <c r="B152" i="6" s="1"/>
  <c r="G152" i="6" s="1"/>
  <c r="H152" i="6" s="1"/>
  <c r="I152" i="6" s="1"/>
  <c r="C153" i="6"/>
  <c r="B153" i="6" s="1"/>
  <c r="G153" i="6" s="1"/>
  <c r="H153" i="6" s="1"/>
  <c r="I153" i="6" s="1"/>
  <c r="C154" i="6"/>
  <c r="B154" i="6" s="1"/>
  <c r="G154" i="6" s="1"/>
  <c r="H154" i="6" s="1"/>
  <c r="I154" i="6" s="1"/>
  <c r="C155" i="6"/>
  <c r="B155" i="6" s="1"/>
  <c r="G155" i="6" s="1"/>
  <c r="H155" i="6" s="1"/>
  <c r="I155" i="6" s="1"/>
  <c r="C156" i="6"/>
  <c r="B156" i="6" s="1"/>
  <c r="G156" i="6" s="1"/>
  <c r="H156" i="6" s="1"/>
  <c r="I156" i="6" s="1"/>
  <c r="C157" i="6"/>
  <c r="B157" i="6" s="1"/>
  <c r="G157" i="6" s="1"/>
  <c r="H157" i="6" s="1"/>
  <c r="I157" i="6" s="1"/>
  <c r="C158" i="6"/>
  <c r="B158" i="6" s="1"/>
  <c r="G158" i="6" s="1"/>
  <c r="H158" i="6" s="1"/>
  <c r="I158" i="6" s="1"/>
  <c r="C159" i="6"/>
  <c r="C160" i="6"/>
  <c r="B160" i="6" s="1"/>
  <c r="G160" i="6" s="1"/>
  <c r="H160" i="6" s="1"/>
  <c r="I160" i="6" s="1"/>
  <c r="C161" i="6"/>
  <c r="B161" i="6" s="1"/>
  <c r="G161" i="6" s="1"/>
  <c r="H161" i="6" s="1"/>
  <c r="I161" i="6" s="1"/>
  <c r="C162" i="6"/>
  <c r="B162" i="6" s="1"/>
  <c r="G162" i="6" s="1"/>
  <c r="H162" i="6" s="1"/>
  <c r="I162" i="6" s="1"/>
  <c r="C163" i="6"/>
  <c r="B163" i="6" s="1"/>
  <c r="G163" i="6" s="1"/>
  <c r="H163" i="6" s="1"/>
  <c r="I163" i="6" s="1"/>
  <c r="C164" i="6"/>
  <c r="B164" i="6" s="1"/>
  <c r="G164" i="6" s="1"/>
  <c r="H164" i="6" s="1"/>
  <c r="I164" i="6" s="1"/>
  <c r="C165" i="6"/>
  <c r="B165" i="6" s="1"/>
  <c r="G165" i="6" s="1"/>
  <c r="H165" i="6" s="1"/>
  <c r="I165" i="6" s="1"/>
  <c r="C166" i="6"/>
  <c r="B166" i="6" s="1"/>
  <c r="G166" i="6" s="1"/>
  <c r="H166" i="6" s="1"/>
  <c r="I166" i="6" s="1"/>
  <c r="C167" i="6"/>
  <c r="C168" i="6"/>
  <c r="B168" i="6" s="1"/>
  <c r="G168" i="6" s="1"/>
  <c r="H168" i="6" s="1"/>
  <c r="I168" i="6" s="1"/>
  <c r="C169" i="6"/>
  <c r="B169" i="6" s="1"/>
  <c r="G169" i="6" s="1"/>
  <c r="H169" i="6" s="1"/>
  <c r="I169" i="6" s="1"/>
  <c r="C170" i="6"/>
  <c r="B170" i="6" s="1"/>
  <c r="G170" i="6" s="1"/>
  <c r="H170" i="6" s="1"/>
  <c r="I170" i="6" s="1"/>
  <c r="C171" i="6"/>
  <c r="B171" i="6" s="1"/>
  <c r="G171" i="6" s="1"/>
  <c r="H171" i="6" s="1"/>
  <c r="I171" i="6" s="1"/>
  <c r="C172" i="6"/>
  <c r="B172" i="6" s="1"/>
  <c r="G172" i="6" s="1"/>
  <c r="H172" i="6" s="1"/>
  <c r="I172" i="6" s="1"/>
  <c r="C173" i="6"/>
  <c r="B173" i="6" s="1"/>
  <c r="G173" i="6" s="1"/>
  <c r="H173" i="6" s="1"/>
  <c r="I173" i="6" s="1"/>
  <c r="C174" i="6"/>
  <c r="B174" i="6" s="1"/>
  <c r="G174" i="6" s="1"/>
  <c r="H174" i="6" s="1"/>
  <c r="I174" i="6" s="1"/>
  <c r="C175" i="6"/>
  <c r="C176" i="6"/>
  <c r="B176" i="6" s="1"/>
  <c r="G176" i="6" s="1"/>
  <c r="H176" i="6" s="1"/>
  <c r="I176" i="6" s="1"/>
  <c r="C177" i="6"/>
  <c r="B177" i="6" s="1"/>
  <c r="G177" i="6" s="1"/>
  <c r="H177" i="6" s="1"/>
  <c r="I177" i="6" s="1"/>
  <c r="C178" i="6"/>
  <c r="B178" i="6" s="1"/>
  <c r="G178" i="6" s="1"/>
  <c r="H178" i="6" s="1"/>
  <c r="I178" i="6" s="1"/>
  <c r="C179" i="6"/>
  <c r="B179" i="6" s="1"/>
  <c r="G179" i="6" s="1"/>
  <c r="H179" i="6" s="1"/>
  <c r="I179" i="6" s="1"/>
  <c r="C180" i="6"/>
  <c r="B180" i="6" s="1"/>
  <c r="G180" i="6" s="1"/>
  <c r="H180" i="6" s="1"/>
  <c r="I180" i="6" s="1"/>
  <c r="C181" i="6"/>
  <c r="B181" i="6" s="1"/>
  <c r="G181" i="6" s="1"/>
  <c r="H181" i="6" s="1"/>
  <c r="I181" i="6" s="1"/>
  <c r="C182" i="6"/>
  <c r="B182" i="6" s="1"/>
  <c r="G182" i="6" s="1"/>
  <c r="H182" i="6" s="1"/>
  <c r="I182" i="6" s="1"/>
  <c r="C183" i="6"/>
  <c r="C151" i="6"/>
  <c r="B151" i="6" s="1"/>
  <c r="F169" i="6" l="1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51" i="6"/>
  <c r="S127" i="6"/>
  <c r="T127" i="6" s="1"/>
  <c r="Q127" i="6"/>
  <c r="R127" i="6" s="1"/>
  <c r="Q126" i="6"/>
  <c r="Q125" i="6" s="1"/>
  <c r="M135" i="6"/>
  <c r="L135" i="6"/>
  <c r="M134" i="6"/>
  <c r="L134" i="6"/>
  <c r="M133" i="6"/>
  <c r="L133" i="6"/>
  <c r="M132" i="6"/>
  <c r="L132" i="6"/>
  <c r="M131" i="6"/>
  <c r="L131" i="6"/>
  <c r="M130" i="6"/>
  <c r="L130" i="6"/>
  <c r="M124" i="6"/>
  <c r="M125" i="6"/>
  <c r="M126" i="6"/>
  <c r="M127" i="6"/>
  <c r="M128" i="6"/>
  <c r="M123" i="6"/>
  <c r="L124" i="6"/>
  <c r="L125" i="6"/>
  <c r="L126" i="6"/>
  <c r="L127" i="6"/>
  <c r="L128" i="6"/>
  <c r="L123" i="6"/>
  <c r="P125" i="6"/>
  <c r="K135" i="6"/>
  <c r="J135" i="6"/>
  <c r="K134" i="6"/>
  <c r="J134" i="6"/>
  <c r="K133" i="6"/>
  <c r="J133" i="6"/>
  <c r="K132" i="6"/>
  <c r="J132" i="6"/>
  <c r="K131" i="6"/>
  <c r="J131" i="6"/>
  <c r="K130" i="6"/>
  <c r="J130" i="6"/>
  <c r="K128" i="6"/>
  <c r="K124" i="6"/>
  <c r="K125" i="6"/>
  <c r="K126" i="6"/>
  <c r="K127" i="6"/>
  <c r="K123" i="6"/>
  <c r="J128" i="6"/>
  <c r="J124" i="6"/>
  <c r="J125" i="6"/>
  <c r="J126" i="6"/>
  <c r="J127" i="6"/>
  <c r="J123" i="6"/>
  <c r="F138" i="6"/>
  <c r="F139" i="6"/>
  <c r="F140" i="6"/>
  <c r="F141" i="6"/>
  <c r="F142" i="6"/>
  <c r="F137" i="6"/>
  <c r="D138" i="6"/>
  <c r="D139" i="6"/>
  <c r="D140" i="6"/>
  <c r="D141" i="6"/>
  <c r="D142" i="6"/>
  <c r="D137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8" i="6"/>
  <c r="H124" i="6"/>
  <c r="I124" i="6"/>
  <c r="H125" i="6"/>
  <c r="I125" i="6"/>
  <c r="H126" i="6"/>
  <c r="I126" i="6"/>
  <c r="H127" i="6"/>
  <c r="I127" i="6"/>
  <c r="H128" i="6"/>
  <c r="I123" i="6"/>
  <c r="H123" i="6"/>
  <c r="L92" i="6"/>
  <c r="L88" i="6"/>
  <c r="L89" i="6" s="1"/>
  <c r="L91" i="6" s="1"/>
  <c r="L94" i="6"/>
  <c r="L93" i="6"/>
  <c r="L95" i="6" s="1"/>
  <c r="L90" i="6"/>
  <c r="K8" i="8"/>
  <c r="K10" i="8"/>
  <c r="L10" i="8"/>
  <c r="L8" i="8"/>
  <c r="E115" i="6"/>
  <c r="E110" i="6"/>
  <c r="E111" i="6"/>
  <c r="E112" i="6"/>
  <c r="E113" i="6"/>
  <c r="E109" i="6"/>
  <c r="K19" i="8"/>
  <c r="K20" i="8" s="1"/>
  <c r="K27" i="8" s="1"/>
  <c r="I104" i="6"/>
  <c r="F98" i="6"/>
  <c r="G98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G89" i="6"/>
  <c r="F89" i="6"/>
  <c r="D21" i="1"/>
  <c r="O21" i="1"/>
  <c r="P21" i="1" s="1"/>
  <c r="Q21" i="1" s="1"/>
  <c r="I21" i="1"/>
  <c r="J21" i="1" s="1"/>
  <c r="H21" i="1"/>
  <c r="F21" i="1"/>
  <c r="D20" i="1"/>
  <c r="F20" i="1" s="1"/>
  <c r="G20" i="1" s="1"/>
  <c r="O20" i="1"/>
  <c r="H20" i="1"/>
  <c r="G21" i="8"/>
  <c r="H22" i="8" s="1"/>
  <c r="F11" i="8"/>
  <c r="F9" i="8"/>
  <c r="C12" i="8"/>
  <c r="C13" i="8"/>
  <c r="AF98" i="8"/>
  <c r="G67" i="8"/>
  <c r="G68" i="8"/>
  <c r="G70" i="8"/>
  <c r="F72" i="8"/>
  <c r="G72" i="8" s="1"/>
  <c r="F71" i="8"/>
  <c r="G71" i="8" s="1"/>
  <c r="F70" i="8"/>
  <c r="F69" i="8"/>
  <c r="G69" i="8" s="1"/>
  <c r="F68" i="8"/>
  <c r="F67" i="8"/>
  <c r="F66" i="8"/>
  <c r="G66" i="8" s="1"/>
  <c r="D66" i="8"/>
  <c r="D67" i="8" s="1"/>
  <c r="D61" i="8"/>
  <c r="E61" i="8" s="1"/>
  <c r="D62" i="8"/>
  <c r="E62" i="8" s="1"/>
  <c r="D63" i="8"/>
  <c r="E63" i="8" s="1"/>
  <c r="C63" i="8"/>
  <c r="F4" i="8"/>
  <c r="F5" i="8" s="1"/>
  <c r="D54" i="8"/>
  <c r="E54" i="8" s="1"/>
  <c r="D55" i="8"/>
  <c r="E55" i="8" s="1"/>
  <c r="D56" i="8"/>
  <c r="E56" i="8" s="1"/>
  <c r="D57" i="8"/>
  <c r="E57" i="8" s="1"/>
  <c r="D58" i="8"/>
  <c r="D59" i="8"/>
  <c r="E59" i="8" s="1"/>
  <c r="D60" i="8"/>
  <c r="E60" i="8" s="1"/>
  <c r="D53" i="8"/>
  <c r="E53" i="8" s="1"/>
  <c r="C53" i="8"/>
  <c r="C62" i="8"/>
  <c r="C61" i="8"/>
  <c r="C60" i="8"/>
  <c r="C59" i="8"/>
  <c r="E58" i="8"/>
  <c r="C58" i="8"/>
  <c r="C57" i="8"/>
  <c r="C56" i="8"/>
  <c r="C55" i="8"/>
  <c r="C54" i="8"/>
  <c r="C45" i="8"/>
  <c r="C44" i="8"/>
  <c r="C35" i="8"/>
  <c r="C21" i="8"/>
  <c r="C25" i="8" s="1"/>
  <c r="C10" i="8"/>
  <c r="C11" i="8" s="1"/>
  <c r="C4" i="8"/>
  <c r="C5" i="8" s="1"/>
  <c r="AF87" i="8"/>
  <c r="AL115" i="8"/>
  <c r="Q124" i="6" l="1"/>
  <c r="R125" i="6"/>
  <c r="S126" i="6"/>
  <c r="S125" i="6" s="1"/>
  <c r="S124" i="6" s="1"/>
  <c r="S123" i="6" s="1"/>
  <c r="S128" i="6" s="1"/>
  <c r="R126" i="6"/>
  <c r="T126" i="6"/>
  <c r="K26" i="8"/>
  <c r="L21" i="1"/>
  <c r="M21" i="1" s="1"/>
  <c r="K21" i="1"/>
  <c r="K20" i="1"/>
  <c r="L20" i="1" s="1"/>
  <c r="M20" i="1" s="1"/>
  <c r="I20" i="1"/>
  <c r="J20" i="1" s="1"/>
  <c r="C26" i="8"/>
  <c r="C27" i="8" s="1"/>
  <c r="C23" i="8"/>
  <c r="I356" i="8"/>
  <c r="I353" i="8"/>
  <c r="L343" i="8"/>
  <c r="K341" i="8"/>
  <c r="K342" i="8"/>
  <c r="K343" i="8"/>
  <c r="K344" i="8"/>
  <c r="K340" i="8"/>
  <c r="J341" i="8"/>
  <c r="L341" i="8" s="1"/>
  <c r="J343" i="8"/>
  <c r="I348" i="8"/>
  <c r="I341" i="8"/>
  <c r="I342" i="8"/>
  <c r="I343" i="8"/>
  <c r="D344" i="8"/>
  <c r="J344" i="8" s="1"/>
  <c r="L344" i="8" s="1"/>
  <c r="H344" i="8"/>
  <c r="I344" i="8" s="1"/>
  <c r="H341" i="8"/>
  <c r="H342" i="8"/>
  <c r="H343" i="8"/>
  <c r="H340" i="8"/>
  <c r="I340" i="8" s="1"/>
  <c r="D343" i="8"/>
  <c r="D340" i="8"/>
  <c r="J340" i="8" s="1"/>
  <c r="L340" i="8" s="1"/>
  <c r="D342" i="8"/>
  <c r="J342" i="8" s="1"/>
  <c r="L342" i="8" s="1"/>
  <c r="D341" i="8"/>
  <c r="T125" i="6" l="1"/>
  <c r="Q123" i="6"/>
  <c r="R124" i="6"/>
  <c r="T124" i="6"/>
  <c r="P20" i="1"/>
  <c r="Q20" i="1" s="1"/>
  <c r="AF130" i="8"/>
  <c r="AF131" i="8" s="1"/>
  <c r="R123" i="6" l="1"/>
  <c r="Q128" i="6"/>
  <c r="R128" i="6" s="1"/>
  <c r="T128" i="6"/>
  <c r="T123" i="6"/>
  <c r="AF126" i="8"/>
  <c r="AF94" i="8"/>
  <c r="AF95" i="8" s="1"/>
  <c r="AF97" i="8" l="1"/>
  <c r="AF129" i="8"/>
  <c r="AF132" i="8" s="1"/>
  <c r="AF99" i="8"/>
  <c r="C322" i="8"/>
  <c r="D319" i="8"/>
  <c r="C326" i="8"/>
  <c r="C327" i="8"/>
  <c r="C328" i="8"/>
  <c r="C329" i="8"/>
  <c r="C325" i="8"/>
  <c r="F332" i="8" l="1"/>
  <c r="C321" i="8"/>
  <c r="D315" i="8"/>
  <c r="E315" i="8" s="1"/>
  <c r="C315" i="8"/>
  <c r="D314" i="8"/>
  <c r="E314" i="8" s="1"/>
  <c r="C314" i="8"/>
  <c r="D313" i="8"/>
  <c r="E313" i="8" s="1"/>
  <c r="C313" i="8"/>
  <c r="D312" i="8"/>
  <c r="E312" i="8" s="1"/>
  <c r="C312" i="8"/>
  <c r="D311" i="8"/>
  <c r="E311" i="8" s="1"/>
  <c r="C311" i="8"/>
  <c r="D328" i="8" l="1"/>
  <c r="D326" i="8"/>
  <c r="D329" i="8"/>
  <c r="D325" i="8"/>
  <c r="D327" i="8"/>
  <c r="G305" i="8"/>
  <c r="D301" i="8"/>
  <c r="E301" i="8" s="1"/>
  <c r="C301" i="8"/>
  <c r="D300" i="8"/>
  <c r="E300" i="8" s="1"/>
  <c r="C300" i="8"/>
  <c r="C298" i="8"/>
  <c r="D298" i="8"/>
  <c r="E298" i="8" s="1"/>
  <c r="C299" i="8"/>
  <c r="D299" i="8"/>
  <c r="E299" i="8" s="1"/>
  <c r="D297" i="8"/>
  <c r="E297" i="8" s="1"/>
  <c r="C297" i="8"/>
  <c r="AA141" i="8" l="1"/>
  <c r="P264" i="8" l="1"/>
  <c r="P265" i="8"/>
  <c r="P266" i="8"/>
  <c r="P267" i="8"/>
  <c r="P268" i="8"/>
  <c r="P269" i="8"/>
  <c r="P270" i="8"/>
  <c r="P271" i="8"/>
  <c r="P272" i="8"/>
  <c r="P263" i="8"/>
  <c r="O251" i="8" l="1"/>
  <c r="N252" i="8" s="1"/>
  <c r="L253" i="8"/>
  <c r="L255" i="8"/>
  <c r="L258" i="8"/>
  <c r="L252" i="8"/>
  <c r="C253" i="8"/>
  <c r="C254" i="8"/>
  <c r="L254" i="8" s="1"/>
  <c r="C255" i="8"/>
  <c r="C256" i="8"/>
  <c r="L256" i="8" s="1"/>
  <c r="C257" i="8"/>
  <c r="L257" i="8" s="1"/>
  <c r="C258" i="8"/>
  <c r="C259" i="8"/>
  <c r="L259" i="8" s="1"/>
  <c r="C260" i="8"/>
  <c r="L260" i="8" s="1"/>
  <c r="C252" i="8"/>
  <c r="C240" i="8"/>
  <c r="C241" i="8"/>
  <c r="C242" i="8"/>
  <c r="C243" i="8"/>
  <c r="C244" i="8"/>
  <c r="C245" i="8"/>
  <c r="C246" i="8"/>
  <c r="C247" i="8"/>
  <c r="C239" i="8"/>
  <c r="P240" i="8"/>
  <c r="P241" i="8"/>
  <c r="P242" i="8"/>
  <c r="Q242" i="8" s="1"/>
  <c r="P243" i="8"/>
  <c r="P244" i="8"/>
  <c r="P245" i="8"/>
  <c r="Q245" i="8" s="1"/>
  <c r="P246" i="8"/>
  <c r="Q246" i="8" s="1"/>
  <c r="P247" i="8"/>
  <c r="Q247" i="8" s="1"/>
  <c r="P239" i="8"/>
  <c r="Q239" i="8" s="1"/>
  <c r="Q240" i="8"/>
  <c r="Q241" i="8"/>
  <c r="Q243" i="8"/>
  <c r="Q244" i="8"/>
  <c r="O243" i="8"/>
  <c r="O246" i="8"/>
  <c r="N240" i="8"/>
  <c r="O240" i="8" s="1"/>
  <c r="N241" i="8"/>
  <c r="O241" i="8" s="1"/>
  <c r="N242" i="8"/>
  <c r="O242" i="8" s="1"/>
  <c r="N243" i="8"/>
  <c r="N244" i="8"/>
  <c r="O244" i="8" s="1"/>
  <c r="N245" i="8"/>
  <c r="O245" i="8" s="1"/>
  <c r="N246" i="8"/>
  <c r="N247" i="8"/>
  <c r="O247" i="8" s="1"/>
  <c r="N239" i="8"/>
  <c r="O239" i="8" s="1"/>
  <c r="M241" i="8"/>
  <c r="M244" i="8"/>
  <c r="L240" i="8"/>
  <c r="M240" i="8" s="1"/>
  <c r="L241" i="8"/>
  <c r="L242" i="8"/>
  <c r="M242" i="8" s="1"/>
  <c r="L243" i="8"/>
  <c r="M243" i="8" s="1"/>
  <c r="L244" i="8"/>
  <c r="L245" i="8"/>
  <c r="M245" i="8" s="1"/>
  <c r="L246" i="8"/>
  <c r="M246" i="8" s="1"/>
  <c r="L247" i="8"/>
  <c r="M247" i="8" s="1"/>
  <c r="L239" i="8"/>
  <c r="M239" i="8" s="1"/>
  <c r="D260" i="8"/>
  <c r="E260" i="8" s="1"/>
  <c r="D259" i="8"/>
  <c r="E259" i="8" s="1"/>
  <c r="D258" i="8"/>
  <c r="E258" i="8" s="1"/>
  <c r="D257" i="8"/>
  <c r="E257" i="8" s="1"/>
  <c r="D256" i="8"/>
  <c r="E256" i="8" s="1"/>
  <c r="D255" i="8"/>
  <c r="E255" i="8" s="1"/>
  <c r="D254" i="8"/>
  <c r="E254" i="8" s="1"/>
  <c r="D253" i="8"/>
  <c r="E253" i="8" s="1"/>
  <c r="D252" i="8"/>
  <c r="E252" i="8" s="1"/>
  <c r="D247" i="8"/>
  <c r="E247" i="8" s="1"/>
  <c r="D246" i="8"/>
  <c r="E246" i="8" s="1"/>
  <c r="D245" i="8"/>
  <c r="E245" i="8" s="1"/>
  <c r="D244" i="8"/>
  <c r="E244" i="8" s="1"/>
  <c r="D243" i="8"/>
  <c r="E243" i="8" s="1"/>
  <c r="D242" i="8"/>
  <c r="E242" i="8" s="1"/>
  <c r="D241" i="8"/>
  <c r="E241" i="8" s="1"/>
  <c r="D240" i="8"/>
  <c r="E240" i="8" s="1"/>
  <c r="D239" i="8"/>
  <c r="E239" i="8" s="1"/>
  <c r="C232" i="8"/>
  <c r="D232" i="8" s="1"/>
  <c r="C231" i="8"/>
  <c r="C229" i="8"/>
  <c r="C230" i="8"/>
  <c r="D230" i="8" s="1"/>
  <c r="C228" i="8"/>
  <c r="D228" i="8" s="1"/>
  <c r="C227" i="8"/>
  <c r="D227" i="8" s="1"/>
  <c r="C225" i="8"/>
  <c r="D225" i="8" s="1"/>
  <c r="C226" i="8"/>
  <c r="D226" i="8" s="1"/>
  <c r="C224" i="8"/>
  <c r="D224" i="8" s="1"/>
  <c r="C223" i="8"/>
  <c r="D223" i="8" s="1"/>
  <c r="C222" i="8"/>
  <c r="D222" i="8" s="1"/>
  <c r="C221" i="8"/>
  <c r="D221" i="8" s="1"/>
  <c r="C220" i="8"/>
  <c r="D220" i="8" s="1"/>
  <c r="C219" i="8"/>
  <c r="D219" i="8" s="1"/>
  <c r="C218" i="8"/>
  <c r="D218" i="8" s="1"/>
  <c r="C217" i="8"/>
  <c r="D217" i="8" s="1"/>
  <c r="C216" i="8"/>
  <c r="D216" i="8" s="1"/>
  <c r="C215" i="8"/>
  <c r="D215" i="8" s="1"/>
  <c r="C214" i="8"/>
  <c r="D214" i="8" s="1"/>
  <c r="C211" i="8"/>
  <c r="D211" i="8" s="1"/>
  <c r="C210" i="8"/>
  <c r="D210" i="8" s="1"/>
  <c r="C213" i="8"/>
  <c r="D213" i="8" s="1"/>
  <c r="C212" i="8"/>
  <c r="D212" i="8" s="1"/>
  <c r="C209" i="8"/>
  <c r="D209" i="8" s="1"/>
  <c r="AF106" i="8" l="1"/>
  <c r="AF122" i="8" s="1"/>
  <c r="AF85" i="8"/>
  <c r="AF86" i="8" s="1"/>
  <c r="AI86" i="8" s="1"/>
  <c r="AF79" i="8"/>
  <c r="AF80" i="8" s="1"/>
  <c r="AC154" i="8"/>
  <c r="P164" i="8"/>
  <c r="P159" i="8"/>
  <c r="P160" i="8" s="1"/>
  <c r="P161" i="8" s="1"/>
  <c r="R155" i="8" s="1"/>
  <c r="L196" i="8"/>
  <c r="L198" i="8" s="1"/>
  <c r="L199" i="8" s="1"/>
  <c r="L197" i="8"/>
  <c r="AF121" i="8" l="1"/>
  <c r="AF100" i="8"/>
  <c r="AG123" i="8"/>
  <c r="AG124" i="8" s="1"/>
  <c r="AF123" i="8"/>
  <c r="AF124" i="8" s="1"/>
  <c r="X125" i="8"/>
  <c r="W125" i="8" s="1"/>
  <c r="H192" i="8" l="1"/>
  <c r="F199" i="8" s="1"/>
  <c r="H193" i="8"/>
  <c r="I193" i="8" s="1"/>
  <c r="H166" i="8"/>
  <c r="H167" i="8" s="1"/>
  <c r="H171" i="8" s="1"/>
  <c r="H172" i="8"/>
  <c r="H173" i="8"/>
  <c r="H184" i="8"/>
  <c r="I192" i="8" l="1"/>
  <c r="F201" i="8"/>
  <c r="F202" i="8" s="1"/>
  <c r="F200" i="8"/>
  <c r="H174" i="8"/>
  <c r="G184" i="8"/>
  <c r="F184" i="8"/>
  <c r="G178" i="8"/>
  <c r="G173" i="8"/>
  <c r="G172" i="8"/>
  <c r="G167" i="8"/>
  <c r="G171" i="8" s="1"/>
  <c r="F178" i="8"/>
  <c r="F182" i="8" s="1" a="1"/>
  <c r="F182" i="8" s="1"/>
  <c r="F173" i="8"/>
  <c r="F172" i="8"/>
  <c r="F167" i="8"/>
  <c r="F171" i="8" s="1"/>
  <c r="F174" i="8" s="1"/>
  <c r="F185" i="8" l="1"/>
  <c r="G174" i="8"/>
  <c r="F179" i="8"/>
  <c r="F186" i="8"/>
  <c r="G185" i="8"/>
  <c r="G179" i="8"/>
  <c r="G182" i="8"/>
  <c r="G186" i="8" s="1"/>
  <c r="K156" i="8" l="1"/>
  <c r="K157" i="8"/>
  <c r="K158" i="8"/>
  <c r="K159" i="8"/>
  <c r="K160" i="8"/>
  <c r="K155" i="8"/>
  <c r="K154" i="8"/>
  <c r="K153" i="8"/>
  <c r="N107" i="8" l="1"/>
  <c r="Q104" i="8" s="1"/>
  <c r="N127" i="8" s="1"/>
  <c r="Q155" i="8" s="1"/>
  <c r="C144" i="8" l="1"/>
  <c r="D141" i="8"/>
  <c r="D140" i="8"/>
  <c r="D138" i="8"/>
  <c r="D139" i="8" s="1"/>
  <c r="N108" i="8"/>
  <c r="Q106" i="8" s="1"/>
  <c r="K116" i="8" l="1"/>
  <c r="K114" i="8" l="1"/>
  <c r="K115" i="8" l="1"/>
  <c r="K112" i="8"/>
  <c r="K122" i="8" l="1"/>
  <c r="K123" i="8" s="1"/>
  <c r="K106" i="8" l="1"/>
  <c r="K107" i="8"/>
  <c r="K108" i="8" l="1"/>
  <c r="C8" i="7"/>
  <c r="D125" i="8"/>
  <c r="D124" i="8"/>
  <c r="D123" i="8"/>
  <c r="D122" i="8"/>
  <c r="C117" i="8"/>
  <c r="F114" i="8"/>
  <c r="C113" i="8"/>
  <c r="C108" i="8"/>
  <c r="C107" i="8"/>
  <c r="C109" i="8" s="1"/>
  <c r="C102" i="8"/>
  <c r="P83" i="8"/>
  <c r="P80" i="8"/>
  <c r="J80" i="8"/>
  <c r="J81" i="8" s="1"/>
  <c r="J83" i="8" s="1"/>
  <c r="J84" i="8" s="1"/>
  <c r="E81" i="8"/>
  <c r="E83" i="8" s="1"/>
  <c r="H81" i="8"/>
  <c r="H83" i="8" s="1"/>
  <c r="H84" i="8" s="1"/>
  <c r="C81" i="8"/>
  <c r="C83" i="8" s="1"/>
  <c r="C84" i="8" s="1"/>
  <c r="D13" i="7"/>
  <c r="C16" i="7"/>
  <c r="C15" i="7"/>
  <c r="C14" i="7"/>
  <c r="F5" i="7"/>
  <c r="C7" i="7"/>
  <c r="C3" i="7"/>
  <c r="K110" i="8" l="1"/>
  <c r="L108" i="8"/>
  <c r="F104" i="8"/>
  <c r="F105" i="8" s="1"/>
  <c r="F109" i="8"/>
  <c r="F110" i="8" s="1"/>
  <c r="F111" i="8" s="1"/>
  <c r="C110" i="8"/>
  <c r="C114" i="8" s="1"/>
  <c r="E86" i="8"/>
  <c r="E87" i="8" s="1"/>
  <c r="E84" i="8"/>
  <c r="C86" i="8"/>
  <c r="C87" i="8" s="1"/>
  <c r="O12" i="1"/>
  <c r="K12" i="1"/>
  <c r="H12" i="1"/>
  <c r="G12" i="1"/>
  <c r="L12" i="1" l="1"/>
  <c r="M12" i="1" s="1"/>
  <c r="I12" i="1"/>
  <c r="J12" i="1" s="1"/>
  <c r="O19" i="1"/>
  <c r="K19" i="1"/>
  <c r="H19" i="1"/>
  <c r="L19" i="1" s="1"/>
  <c r="M19" i="1" s="1"/>
  <c r="G19" i="1"/>
  <c r="I19" i="1" l="1"/>
  <c r="J19" i="1" s="1"/>
  <c r="P19" i="1"/>
  <c r="Q19" i="1" s="1"/>
  <c r="P12" i="1"/>
  <c r="Q12" i="1" s="1"/>
  <c r="Q63" i="6"/>
  <c r="R4" i="6" l="1"/>
  <c r="Q15" i="6"/>
  <c r="T12" i="6"/>
  <c r="T8" i="6"/>
  <c r="T9" i="6"/>
  <c r="T10" i="6"/>
  <c r="T11" i="6"/>
  <c r="T7" i="6"/>
  <c r="R12" i="6"/>
  <c r="R8" i="6"/>
  <c r="R9" i="6"/>
  <c r="R10" i="6"/>
  <c r="R11" i="6"/>
  <c r="R7" i="6"/>
  <c r="D22" i="6"/>
  <c r="Q8" i="6"/>
  <c r="Q9" i="6"/>
  <c r="Q10" i="6"/>
  <c r="Q11" i="6"/>
  <c r="Q12" i="6"/>
  <c r="Q7" i="6"/>
  <c r="O18" i="1" l="1"/>
  <c r="K18" i="1"/>
  <c r="H18" i="1"/>
  <c r="G18" i="1"/>
  <c r="L18" i="1" l="1"/>
  <c r="M18" i="1" s="1"/>
  <c r="I18" i="1"/>
  <c r="J18" i="1" s="1"/>
  <c r="K35" i="6"/>
  <c r="K34" i="6"/>
  <c r="E75" i="6"/>
  <c r="E76" i="6"/>
  <c r="E77" i="6"/>
  <c r="F77" i="6" s="1"/>
  <c r="G77" i="6" s="1"/>
  <c r="E74" i="6"/>
  <c r="F75" i="6" l="1"/>
  <c r="G75" i="6" s="1"/>
  <c r="F76" i="6"/>
  <c r="G76" i="6" s="1"/>
  <c r="E79" i="6"/>
  <c r="P18" i="1"/>
  <c r="Q18" i="1" s="1"/>
  <c r="L35" i="6"/>
  <c r="P35" i="6" s="1"/>
  <c r="Q35" i="6" s="1"/>
  <c r="M35" i="6"/>
  <c r="N35" i="6" s="1"/>
  <c r="J35" i="6"/>
  <c r="E65" i="6"/>
  <c r="E66" i="6"/>
  <c r="E67" i="6"/>
  <c r="E68" i="6"/>
  <c r="E64" i="6"/>
  <c r="E63" i="6"/>
  <c r="E62" i="6"/>
  <c r="D49" i="6"/>
  <c r="E49" i="6" s="1"/>
  <c r="D48" i="6"/>
  <c r="D41" i="6"/>
  <c r="D46" i="6"/>
  <c r="D47" i="6"/>
  <c r="D45" i="6"/>
  <c r="E45" i="6" l="1"/>
  <c r="E48" i="6"/>
  <c r="F66" i="6"/>
  <c r="G66" i="6" s="1"/>
  <c r="E70" i="6"/>
  <c r="F65" i="6"/>
  <c r="G65" i="6" s="1"/>
  <c r="E47" i="6"/>
  <c r="E46" i="6"/>
  <c r="F68" i="6"/>
  <c r="G68" i="6" s="1"/>
  <c r="F67" i="6"/>
  <c r="G67" i="6" s="1"/>
  <c r="F64" i="6"/>
  <c r="G64" i="6" s="1"/>
  <c r="F63" i="6"/>
  <c r="G63" i="6" s="1"/>
  <c r="I37" i="6"/>
  <c r="L34" i="6"/>
  <c r="M34" i="6" s="1"/>
  <c r="J34" i="6"/>
  <c r="M30" i="6"/>
  <c r="H79" i="1"/>
  <c r="J79" i="1" s="1"/>
  <c r="P34" i="6" l="1"/>
  <c r="Q34" i="6" s="1"/>
  <c r="N34" i="6"/>
  <c r="C5" i="6" l="1"/>
  <c r="C14" i="6" l="1"/>
  <c r="D23" i="6"/>
  <c r="U8" i="6"/>
  <c r="D24" i="6"/>
  <c r="V12" i="6" s="1"/>
  <c r="U7" i="6"/>
  <c r="U12" i="6"/>
  <c r="U11" i="6"/>
  <c r="S8" i="6"/>
  <c r="Y8" i="6" s="1"/>
  <c r="S7" i="6"/>
  <c r="R15" i="6"/>
  <c r="S11" i="6"/>
  <c r="S12" i="6"/>
  <c r="Y12" i="6" s="1"/>
  <c r="U10" i="6"/>
  <c r="U9" i="6"/>
  <c r="S10" i="6"/>
  <c r="Y10" i="6" s="1"/>
  <c r="S9" i="6"/>
  <c r="Y9" i="6" s="1"/>
  <c r="C7" i="6"/>
  <c r="C10" i="6"/>
  <c r="C20" i="6"/>
  <c r="O15" i="1"/>
  <c r="K15" i="1"/>
  <c r="H15" i="1"/>
  <c r="I15" i="1" s="1"/>
  <c r="J15" i="1" s="1"/>
  <c r="G15" i="1"/>
  <c r="Y7" i="6" l="1"/>
  <c r="V11" i="6"/>
  <c r="V10" i="6" s="1"/>
  <c r="V9" i="6" s="1"/>
  <c r="V8" i="6" s="1"/>
  <c r="V7" i="6" s="1"/>
  <c r="Y11" i="6"/>
  <c r="L15" i="1"/>
  <c r="M15" i="1" s="1"/>
  <c r="P15" i="1"/>
  <c r="Q15" i="1" s="1"/>
  <c r="O13" i="1" l="1"/>
  <c r="K13" i="1"/>
  <c r="H13" i="1"/>
  <c r="I13" i="1" s="1"/>
  <c r="J13" i="1" s="1"/>
  <c r="G13" i="1"/>
  <c r="L13" i="1" l="1"/>
  <c r="M13" i="1" s="1"/>
  <c r="P13" i="1"/>
  <c r="Q13" i="1" s="1"/>
  <c r="K23" i="1"/>
  <c r="H23" i="1"/>
  <c r="L23" i="1" l="1"/>
  <c r="M23" i="1" s="1"/>
  <c r="F16" i="1"/>
  <c r="G16" i="1" s="1"/>
  <c r="D17" i="1"/>
  <c r="F17" i="1" s="1"/>
  <c r="G17" i="1" s="1"/>
  <c r="H16" i="1"/>
  <c r="I16" i="1" s="1"/>
  <c r="J16" i="1" s="1"/>
  <c r="O16" i="1"/>
  <c r="H17" i="1"/>
  <c r="O17" i="1"/>
  <c r="O23" i="1" l="1"/>
  <c r="I17" i="1"/>
  <c r="J17" i="1" s="1"/>
  <c r="K17" i="1"/>
  <c r="L17" i="1" s="1"/>
  <c r="M17" i="1" s="1"/>
  <c r="K16" i="1"/>
  <c r="L16" i="1" s="1"/>
  <c r="M16" i="1" s="1"/>
  <c r="P16" i="1"/>
  <c r="Q16" i="1" s="1"/>
  <c r="C3" i="3"/>
  <c r="P17" i="1" l="1"/>
  <c r="Q17" i="1" s="1"/>
  <c r="E4" i="4"/>
  <c r="J5" i="4" s="1"/>
  <c r="J6" i="4" s="1"/>
  <c r="E21" i="4"/>
  <c r="C23" i="5" l="1"/>
  <c r="C27" i="5" s="1"/>
  <c r="C12" i="5"/>
  <c r="D12" i="5" s="1"/>
  <c r="C13" i="5" s="1"/>
  <c r="D13" i="5" s="1"/>
  <c r="C14" i="5" s="1"/>
  <c r="D14" i="5" s="1"/>
  <c r="C15" i="5" s="1"/>
  <c r="D15" i="5" s="1"/>
  <c r="C16" i="5" s="1"/>
  <c r="D16" i="5" s="1"/>
  <c r="C17" i="5" s="1"/>
  <c r="D17" i="5" s="1"/>
  <c r="C18" i="5" s="1"/>
  <c r="D18" i="5" s="1"/>
  <c r="C26" i="5" s="1"/>
  <c r="C28" i="5" l="1"/>
  <c r="C14" i="3"/>
  <c r="C18" i="3" s="1"/>
  <c r="C8" i="3"/>
  <c r="C4" i="3"/>
  <c r="C17" i="3" l="1"/>
  <c r="O14" i="1"/>
  <c r="K14" i="1"/>
  <c r="H14" i="1"/>
  <c r="G14" i="1"/>
  <c r="L14" i="1" l="1"/>
  <c r="M14" i="1" s="1"/>
  <c r="I14" i="1"/>
  <c r="J14" i="1" s="1"/>
  <c r="O11" i="1"/>
  <c r="K11" i="1"/>
  <c r="H11" i="1"/>
  <c r="I11" i="1" s="1"/>
  <c r="J11" i="1" s="1"/>
  <c r="G11" i="1"/>
  <c r="L11" i="1" l="1"/>
  <c r="M11" i="1" s="1"/>
  <c r="P14" i="1"/>
  <c r="Q14" i="1" s="1"/>
  <c r="P11" i="1"/>
  <c r="Q11" i="1" s="1"/>
  <c r="G5" i="1"/>
  <c r="G6" i="1"/>
  <c r="G7" i="1"/>
  <c r="G8" i="1"/>
  <c r="G9" i="1"/>
  <c r="G10" i="1"/>
  <c r="G4" i="1"/>
  <c r="O10" i="1" l="1"/>
  <c r="K10" i="1"/>
  <c r="H10" i="1"/>
  <c r="I10" i="1" s="1"/>
  <c r="J10" i="1" s="1"/>
  <c r="O9" i="1"/>
  <c r="K9" i="1"/>
  <c r="H9" i="1"/>
  <c r="L9" i="1" l="1"/>
  <c r="M9" i="1" s="1"/>
  <c r="L10" i="1"/>
  <c r="M10" i="1" s="1"/>
  <c r="P10" i="1"/>
  <c r="Q10" i="1" s="1"/>
  <c r="I9" i="1"/>
  <c r="J9" i="1" s="1"/>
  <c r="Q35" i="1"/>
  <c r="Q36" i="1"/>
  <c r="Q37" i="1"/>
  <c r="Q38" i="1"/>
  <c r="Q39" i="1"/>
  <c r="Q40" i="1"/>
  <c r="Q41" i="1"/>
  <c r="Q42" i="1"/>
  <c r="Q43" i="1"/>
  <c r="Q44" i="1"/>
  <c r="Q45" i="1"/>
  <c r="Q46" i="1"/>
  <c r="Q49" i="1"/>
  <c r="Q50" i="1"/>
  <c r="Q51" i="1"/>
  <c r="Q55" i="1"/>
  <c r="Q34" i="1"/>
  <c r="P9" i="1" l="1"/>
  <c r="Q9" i="1" s="1"/>
  <c r="T27" i="1"/>
  <c r="H4" i="1"/>
  <c r="O35" i="1"/>
  <c r="O36" i="1"/>
  <c r="O37" i="1"/>
  <c r="O38" i="1"/>
  <c r="O39" i="1"/>
  <c r="O40" i="1"/>
  <c r="O41" i="1"/>
  <c r="O42" i="1"/>
  <c r="O43" i="1"/>
  <c r="O44" i="1"/>
  <c r="O45" i="1"/>
  <c r="O46" i="1"/>
  <c r="O49" i="1"/>
  <c r="O50" i="1"/>
  <c r="O51" i="1"/>
  <c r="O55" i="1"/>
  <c r="O34" i="1"/>
  <c r="D62" i="1" l="1"/>
  <c r="J62" i="1" s="1"/>
  <c r="P27" i="1"/>
  <c r="F60" i="1"/>
  <c r="E60" i="1" s="1"/>
  <c r="D60" i="1" s="1"/>
  <c r="F61" i="1"/>
  <c r="E61" i="1" s="1"/>
  <c r="J56" i="1"/>
  <c r="I52" i="1"/>
  <c r="I53" i="1"/>
  <c r="I54" i="1"/>
  <c r="I55" i="1"/>
  <c r="J55" i="1" s="1"/>
  <c r="I48" i="1"/>
  <c r="I49" i="1"/>
  <c r="I50" i="1"/>
  <c r="I51" i="1"/>
  <c r="I47" i="1"/>
  <c r="I46" i="1"/>
  <c r="I45" i="1"/>
  <c r="I44" i="1"/>
  <c r="I43" i="1"/>
  <c r="I42" i="1"/>
  <c r="I41" i="1"/>
  <c r="I40" i="1"/>
  <c r="I39" i="1"/>
  <c r="K38" i="1"/>
  <c r="I38" i="1"/>
  <c r="I37" i="1"/>
  <c r="J37" i="1"/>
  <c r="K37" i="1" s="1"/>
  <c r="J36" i="1"/>
  <c r="K36" i="1" s="1"/>
  <c r="I36" i="1"/>
  <c r="I35" i="1"/>
  <c r="I34" i="1"/>
  <c r="J35" i="1"/>
  <c r="K35" i="1" s="1"/>
  <c r="B28" i="1"/>
  <c r="G27" i="1" s="1"/>
  <c r="H27" i="1" s="1"/>
  <c r="J34" i="1"/>
  <c r="K34" i="1" s="1"/>
  <c r="H8" i="1"/>
  <c r="I8" i="1" s="1"/>
  <c r="J8" i="1" s="1"/>
  <c r="K8" i="1"/>
  <c r="O8" i="1"/>
  <c r="O5" i="1"/>
  <c r="O6" i="1"/>
  <c r="O7" i="1"/>
  <c r="O4" i="1"/>
  <c r="K7" i="1"/>
  <c r="H7" i="1"/>
  <c r="I7" i="1" s="1"/>
  <c r="J7" i="1" s="1"/>
  <c r="H5" i="1"/>
  <c r="K5" i="1"/>
  <c r="H6" i="1"/>
  <c r="I6" i="1" s="1"/>
  <c r="J6" i="1" s="1"/>
  <c r="K6" i="1"/>
  <c r="K4" i="1"/>
  <c r="I4" i="1"/>
  <c r="J4" i="1" s="1"/>
  <c r="D61" i="1" l="1"/>
  <c r="Q62" i="1"/>
  <c r="I62" i="1"/>
  <c r="P62" i="1"/>
  <c r="H62" i="1"/>
  <c r="F62" i="1"/>
  <c r="O62" i="1"/>
  <c r="G62" i="1"/>
  <c r="S62" i="1"/>
  <c r="N62" i="1"/>
  <c r="T62" i="1"/>
  <c r="M62" i="1"/>
  <c r="U62" i="1"/>
  <c r="L62" i="1"/>
  <c r="V62" i="1"/>
  <c r="K62" i="1"/>
  <c r="R62" i="1"/>
  <c r="P8" i="1"/>
  <c r="Q8" i="1" s="1"/>
  <c r="L8" i="1"/>
  <c r="M8" i="1" s="1"/>
  <c r="S4" i="1"/>
  <c r="L5" i="1"/>
  <c r="M5" i="1" s="1"/>
  <c r="P4" i="1"/>
  <c r="Q4" i="1" s="1"/>
  <c r="P7" i="1"/>
  <c r="Q7" i="1" s="1"/>
  <c r="L7" i="1"/>
  <c r="M7" i="1" s="1"/>
  <c r="I5" i="1"/>
  <c r="J5" i="1" s="1"/>
  <c r="P6" i="1"/>
  <c r="Q6" i="1" s="1"/>
  <c r="L6" i="1"/>
  <c r="M6" i="1" s="1"/>
  <c r="L4" i="1"/>
  <c r="M4" i="1" s="1"/>
  <c r="P5" i="1" l="1"/>
  <c r="Q5" i="1" s="1"/>
  <c r="E6" i="4"/>
  <c r="E9" i="4" s="1"/>
  <c r="E23" i="4" l="1"/>
  <c r="E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frivas</author>
    <author>Francisco Rivas</author>
  </authors>
  <commentList>
    <comment ref="Q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Max bits on L6470 &amp; L6480 are 22 bits</t>
        </r>
      </text>
    </comment>
    <comment ref="R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Output shaft rps
</t>
        </r>
      </text>
    </comment>
    <comment ref="S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All acceleration parameters are expressed in step/tick2 and all speed parameters are
expressed in step/tick; the unit of measurement does not depend on the selected step
mode so we need to divide by the microstep</t>
        </r>
      </text>
    </comment>
    <comment ref="D3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frivas:
0x08A on boot</t>
        </r>
        <r>
          <rPr>
            <sz val="9"/>
            <color indexed="81"/>
            <rFont val="Tahoma"/>
            <family val="2"/>
          </rPr>
          <t xml:space="preserve">
The value in the ACC register is [(steps/s/s)*(tick^2)]/(2^-40)
Multiply desired steps/s/s by 0.068719476736 to get an appropriate value for this register.
// This is a 12-bit value, so we need to make sure the value is at or below 0xFFF.</t>
        </r>
      </text>
    </comment>
    <comment ref="D3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available range is from 15.25 to 15,610 step/s with a resolution of 15.25 step/s.
All acceleration parameters are expressed in step/tick2 and all speed parameters are
expressed in step/tick; the unit of measurement does not depend on the selected step
mode</t>
        </r>
      </text>
    </comment>
    <comment ref="A3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Not use, always set to FF
If FS_SPD value is set to hFF (max.) the system always works in Microstepping mode </t>
        </r>
      </text>
    </comment>
    <comment ref="N3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0xFF is off</t>
        </r>
      </text>
    </comment>
    <comment ref="P38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0xFF is off</t>
        </r>
      </text>
    </comment>
    <comment ref="N39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0x10 = 1.4A</t>
        </r>
      </text>
    </comment>
    <comment ref="P39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0x10 = 1.4A</t>
        </r>
      </text>
    </comment>
    <comment ref="N40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0x2E = 2.8A</t>
        </r>
      </text>
    </comment>
    <comment ref="P40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0x64= 6A</t>
        </r>
      </text>
    </comment>
    <comment ref="N4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0x2E = 2.8A</t>
        </r>
      </text>
    </comment>
    <comment ref="P4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0x64= 6A</t>
        </r>
      </text>
    </comment>
    <comment ref="N42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0x2E = 2.8A</t>
        </r>
      </text>
    </comment>
    <comment ref="P42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0x64= 6A</t>
        </r>
      </text>
    </comment>
    <comment ref="N43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0xC14</t>
        </r>
      </text>
    </comment>
    <comment ref="P4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0xC14</t>
        </r>
      </text>
    </comment>
    <comment ref="N4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0x68</t>
        </r>
      </text>
    </comment>
    <comment ref="P45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0x68</t>
        </r>
      </text>
    </comment>
    <comment ref="N46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0x68</t>
        </r>
      </text>
    </comment>
    <comment ref="P46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BEMF tool was 0x68</t>
        </r>
      </text>
    </comment>
    <comment ref="N51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Francisco Rivas:</t>
        </r>
        <r>
          <rPr>
            <sz val="9"/>
            <color indexed="81"/>
            <rFont val="Tahoma"/>
            <family val="2"/>
          </rPr>
          <t xml:space="preserve">
Step Mode:
X = 6 =&gt; 64
Y = 6 =&gt; 64
Z = 7 =&gt; 128
R = 4 =&gt; 16</t>
        </r>
      </text>
    </comment>
    <comment ref="M5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VCCVAL bit sets the internal VCC regulator output voltage
0  = 7.5 V
1  = 15V</t>
        </r>
      </text>
    </comment>
    <comment ref="N59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UVLOVAL bit sets the UVLO protection thresholds.</t>
        </r>
      </text>
    </comment>
    <comment ref="O5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OC_SD bit sets if an overcurrent event causes or not the bridges to turn off;
1  Bridges shut down</t>
        </r>
      </text>
    </comment>
    <comment ref="Q5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EN_VSCOMP bit sets if the motor supply voltage compensation is enabled or not.</t>
        </r>
      </text>
    </comment>
    <comment ref="R5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frivas:</t>
        </r>
        <r>
          <rPr>
            <sz val="9"/>
            <color indexed="81"/>
            <rFont val="Tahoma"/>
            <family val="2"/>
          </rPr>
          <t xml:space="preserve">
The SW_MODE bit sets the external switch to act as HardStop interrupt or not:
0 = Hardstop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<sst xmlns="http://schemas.openxmlformats.org/spreadsheetml/2006/main" count="1179" uniqueCount="816">
  <si>
    <t>Input</t>
  </si>
  <si>
    <t>Calculation</t>
  </si>
  <si>
    <t>Stage Name</t>
  </si>
  <si>
    <t>Calculator</t>
  </si>
  <si>
    <t>Encoder Res (um/count)</t>
  </si>
  <si>
    <t>Pitch (mm/rev)</t>
  </si>
  <si>
    <t>Stepper (count/rev)</t>
  </si>
  <si>
    <t>Microstep</t>
  </si>
  <si>
    <t>Gearbox</t>
  </si>
  <si>
    <t>Encoder (counts/rev)</t>
  </si>
  <si>
    <t>Travel (in)</t>
  </si>
  <si>
    <t>Travel (mm)</t>
  </si>
  <si>
    <t>Travel max Steps</t>
  </si>
  <si>
    <t>Step (um/step)</t>
  </si>
  <si>
    <t>Step (nm/step)</t>
  </si>
  <si>
    <t>Step (step/rev)</t>
  </si>
  <si>
    <t>counts_per_unit (step/count)</t>
  </si>
  <si>
    <t>Bits required</t>
  </si>
  <si>
    <t>Stage Calculations</t>
  </si>
  <si>
    <t xml:space="preserve">ACC </t>
  </si>
  <si>
    <t>Reg</t>
  </si>
  <si>
    <t>Value (dec)</t>
  </si>
  <si>
    <t>Acceleration (step/sec^2)</t>
  </si>
  <si>
    <t>Address [Hex]</t>
  </si>
  <si>
    <t>0x01</t>
  </si>
  <si>
    <t>Len (bits)</t>
  </si>
  <si>
    <t>ABS_POS</t>
  </si>
  <si>
    <t>Register function</t>
  </si>
  <si>
    <t>Current position</t>
  </si>
  <si>
    <t>EL_POS</t>
  </si>
  <si>
    <t>Electrical position</t>
  </si>
  <si>
    <t>0x02</t>
  </si>
  <si>
    <t>Drive Calculations L6480</t>
  </si>
  <si>
    <t>0x03</t>
  </si>
  <si>
    <t>MARK</t>
  </si>
  <si>
    <t>Mark position</t>
  </si>
  <si>
    <t>0x05</t>
  </si>
  <si>
    <t>0x06</t>
  </si>
  <si>
    <t>0x04</t>
  </si>
  <si>
    <t>Current speed</t>
  </si>
  <si>
    <t>SPEED</t>
  </si>
  <si>
    <t>DEC</t>
  </si>
  <si>
    <t>Acceleration</t>
  </si>
  <si>
    <t>Deceleration</t>
  </si>
  <si>
    <t>Deceleration (step/sec^2)</t>
  </si>
  <si>
    <t>R/W</t>
  </si>
  <si>
    <t>R</t>
  </si>
  <si>
    <t>MAX_SPEED</t>
  </si>
  <si>
    <t>MIN_SPEED</t>
  </si>
  <si>
    <t>FS_SPD</t>
  </si>
  <si>
    <t>KVAL_HOLD</t>
  </si>
  <si>
    <t>KVAL_RUN</t>
  </si>
  <si>
    <t>KVAL_ACC</t>
  </si>
  <si>
    <t>KVAL_DEC</t>
  </si>
  <si>
    <t>INT_SPEED</t>
  </si>
  <si>
    <t>ST_SLP</t>
  </si>
  <si>
    <t>FN_SLP_ACC</t>
  </si>
  <si>
    <t>FN_SLP_DEC</t>
  </si>
  <si>
    <t>K_THERM</t>
  </si>
  <si>
    <t>ADC_OUT</t>
  </si>
  <si>
    <t>0x07</t>
  </si>
  <si>
    <t>0x08</t>
  </si>
  <si>
    <t xml:space="preserve"> Maximum speed</t>
  </si>
  <si>
    <t xml:space="preserve"> Minimum speed</t>
  </si>
  <si>
    <t xml:space="preserve"> Full-step speed</t>
  </si>
  <si>
    <t>Default (HEX)</t>
  </si>
  <si>
    <t>08A</t>
  </si>
  <si>
    <t>Calc Value (dec)</t>
  </si>
  <si>
    <t>Calc Value (Hex)</t>
  </si>
  <si>
    <t>Step Speed (steps/sec)</t>
  </si>
  <si>
    <t>(steps/sec)</t>
  </si>
  <si>
    <t>tick (s)</t>
  </si>
  <si>
    <t>Output (rps)</t>
  </si>
  <si>
    <t>Always set to 0xFF</t>
  </si>
  <si>
    <t>0x15</t>
  </si>
  <si>
    <t>0x0A</t>
  </si>
  <si>
    <t>Holding KVAL</t>
  </si>
  <si>
    <t xml:space="preserve"> Constant speed KVAL</t>
  </si>
  <si>
    <t>Acceleration starting KVAL</t>
  </si>
  <si>
    <t>Deceleration starting KVAL</t>
  </si>
  <si>
    <t>Intersect speed</t>
  </si>
  <si>
    <t>Start slope</t>
  </si>
  <si>
    <t>0x0E</t>
  </si>
  <si>
    <t>0x0F</t>
  </si>
  <si>
    <t>0x10</t>
  </si>
  <si>
    <t>0x0B</t>
  </si>
  <si>
    <t>0x0C</t>
  </si>
  <si>
    <t>0x0D</t>
  </si>
  <si>
    <t>Acceleration final slope</t>
  </si>
  <si>
    <t xml:space="preserve"> Deceleration final slope</t>
  </si>
  <si>
    <t>Thermal compensation factor</t>
  </si>
  <si>
    <t xml:space="preserve">ADC output </t>
  </si>
  <si>
    <t>OCD threshold</t>
  </si>
  <si>
    <t xml:space="preserve"> STALL threshold</t>
  </si>
  <si>
    <t>Step mode</t>
  </si>
  <si>
    <t>OCD_TH</t>
  </si>
  <si>
    <t>STALL_TH</t>
  </si>
  <si>
    <t>STEP_MODE</t>
  </si>
  <si>
    <t>0x16</t>
  </si>
  <si>
    <t>0x14</t>
  </si>
  <si>
    <t>0x13</t>
  </si>
  <si>
    <t>0x12</t>
  </si>
  <si>
    <t>0x11</t>
  </si>
  <si>
    <t>Use Tool for these</t>
  </si>
  <si>
    <t>ALARM_EN</t>
  </si>
  <si>
    <t>GATECFG1</t>
  </si>
  <si>
    <t>GATECFG2</t>
  </si>
  <si>
    <t>CONFIG</t>
  </si>
  <si>
    <t>STATUS</t>
  </si>
  <si>
    <t>0x17</t>
  </si>
  <si>
    <t>0x18</t>
  </si>
  <si>
    <t>0x19</t>
  </si>
  <si>
    <t>0x1A</t>
  </si>
  <si>
    <t>0x1B</t>
  </si>
  <si>
    <t>Alarms enables</t>
  </si>
  <si>
    <t>Gate driver configuration</t>
  </si>
  <si>
    <t>IC configuration</t>
  </si>
  <si>
    <t>Status</t>
  </si>
  <si>
    <t>FF</t>
  </si>
  <si>
    <t>2C88</t>
  </si>
  <si>
    <t>Config Reg</t>
  </si>
  <si>
    <t>Bit 15</t>
  </si>
  <si>
    <t>Bit 14</t>
  </si>
  <si>
    <t>Bit 13</t>
  </si>
  <si>
    <t>Bit 12</t>
  </si>
  <si>
    <t>Bit 11</t>
  </si>
  <si>
    <t>Bit 10</t>
  </si>
  <si>
    <t>Bit 9</t>
  </si>
  <si>
    <t>Bit 8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</si>
  <si>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</si>
  <si>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</si>
  <si>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</si>
  <si>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</si>
  <si>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</si>
  <si>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</si>
  <si>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</si>
  <si>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</si>
  <si>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F_PWM_INT</t>
  </si>
  <si>
    <t xml:space="preserve"> F_PWM_DEC</t>
  </si>
  <si>
    <t>VCCVAL</t>
  </si>
  <si>
    <t>UVLOVAL</t>
  </si>
  <si>
    <t>OC_SD</t>
  </si>
  <si>
    <t>RESERVED</t>
  </si>
  <si>
    <t>EN_VSCOMP</t>
  </si>
  <si>
    <t>SW_MODE</t>
  </si>
  <si>
    <t>EXT_CLK</t>
  </si>
  <si>
    <t>OSC_SEL</t>
  </si>
  <si>
    <t>Val (hex)</t>
  </si>
  <si>
    <t>Val (dec)</t>
  </si>
  <si>
    <t>Default</t>
  </si>
  <si>
    <t>Val (bin)</t>
  </si>
  <si>
    <t>Messo Scope X</t>
  </si>
  <si>
    <t>Messo Scope Z</t>
  </si>
  <si>
    <t>Messo Scope Y</t>
  </si>
  <si>
    <t>Messo Scope R</t>
  </si>
  <si>
    <t>Motors</t>
  </si>
  <si>
    <t>Where used</t>
  </si>
  <si>
    <t>Encoders</t>
  </si>
  <si>
    <t>Resolution (counts/um)</t>
  </si>
  <si>
    <t>Gear Boxes</t>
  </si>
  <si>
    <t>Acutal</t>
  </si>
  <si>
    <t>5:1 Base</t>
  </si>
  <si>
    <t>Rotation</t>
  </si>
  <si>
    <t>4"</t>
  </si>
  <si>
    <t>12"</t>
  </si>
  <si>
    <t>//steps * this coef = milli-arc-sec, added x2 for change to 64 micro-steps/step</t>
  </si>
  <si>
    <t>Lin 4418S-51D-02RO</t>
  </si>
  <si>
    <t>B-Scope Stage X, Y and Z</t>
  </si>
  <si>
    <t>Amps</t>
  </si>
  <si>
    <t>R(ohms)</t>
  </si>
  <si>
    <t>L (mH)</t>
  </si>
  <si>
    <t>holding torque ( N-m)</t>
  </si>
  <si>
    <t>Ke (V/Hz)</t>
  </si>
  <si>
    <t>B-Scope Rotation</t>
  </si>
  <si>
    <t>Lin 4118C-03P-RO</t>
  </si>
  <si>
    <t>Lin 5718L-01P</t>
  </si>
  <si>
    <t>B-Scope Base, Messo Scope</t>
  </si>
  <si>
    <t>Lin 4118M-01-RO</t>
  </si>
  <si>
    <t>Convert hex to dec</t>
  </si>
  <si>
    <t>Hex</t>
  </si>
  <si>
    <t>Dec</t>
  </si>
  <si>
    <t>Reverse cal</t>
  </si>
  <si>
    <t>Cal</t>
  </si>
  <si>
    <t>F88</t>
  </si>
  <si>
    <t>(hex)</t>
  </si>
  <si>
    <t>(dec)</t>
  </si>
  <si>
    <t>Status Reg</t>
  </si>
  <si>
    <t>Messo Scope X,Y,Z</t>
  </si>
  <si>
    <t>C8</t>
  </si>
  <si>
    <t>Convert dec to hex</t>
  </si>
  <si>
    <t>2C00</t>
  </si>
  <si>
    <t>2c00</t>
  </si>
  <si>
    <t>6A4</t>
  </si>
  <si>
    <t>4F</t>
  </si>
  <si>
    <t>1F</t>
  </si>
  <si>
    <t>js_3d</t>
  </si>
  <si>
    <t>dec</t>
  </si>
  <si>
    <t>hex</t>
  </si>
  <si>
    <t>Max speed calc form below for run</t>
  </si>
  <si>
    <t>Max Speed</t>
  </si>
  <si>
    <t>Min Speed</t>
  </si>
  <si>
    <t>Speed</t>
  </si>
  <si>
    <t>Joystick value</t>
  </si>
  <si>
    <t>ShuttleXpress</t>
  </si>
  <si>
    <t>Messo Scope R (hex)</t>
  </si>
  <si>
    <t>Messo Scope R (dec)</t>
  </si>
  <si>
    <t>3E80</t>
  </si>
  <si>
    <t>coef 162,500</t>
  </si>
  <si>
    <t>Ascope XY</t>
  </si>
  <si>
    <t>Ascope Z</t>
  </si>
  <si>
    <t>nm/count</t>
  </si>
  <si>
    <t>counts_per_unit (x 100,000)</t>
  </si>
  <si>
    <t>Bscope Z</t>
  </si>
  <si>
    <t>Ti0004</t>
  </si>
  <si>
    <t>TI0020</t>
  </si>
  <si>
    <t>TI0040</t>
  </si>
  <si>
    <t>TI0200</t>
  </si>
  <si>
    <t>TI0100</t>
  </si>
  <si>
    <t>PWM clock</t>
  </si>
  <si>
    <t>Max count</t>
  </si>
  <si>
    <t>period</t>
  </si>
  <si>
    <t>set vel</t>
  </si>
  <si>
    <t>Vin</t>
  </si>
  <si>
    <t>Vout</t>
  </si>
  <si>
    <t>AFEC Vref</t>
  </si>
  <si>
    <t>Current feedback</t>
  </si>
  <si>
    <t>compare window low value</t>
  </si>
  <si>
    <t>compare window high value</t>
  </si>
  <si>
    <t>gain = 0</t>
  </si>
  <si>
    <t>comapir volts/count</t>
  </si>
  <si>
    <t>compare Vlow</t>
  </si>
  <si>
    <t>compare Vhigh</t>
  </si>
  <si>
    <t>comapir max counts</t>
  </si>
  <si>
    <t>(cal val)</t>
  </si>
  <si>
    <t>Temperature</t>
  </si>
  <si>
    <t>25LC1024</t>
  </si>
  <si>
    <t>EEPROM_25LC1024_PAGE_SIZE</t>
  </si>
  <si>
    <t>EEPROM_START_ADDRESS</t>
  </si>
  <si>
    <t>Slots</t>
  </si>
  <si>
    <t>SLOT_EEPROM_PAGES</t>
  </si>
  <si>
    <t>Slot number</t>
  </si>
  <si>
    <t>Start address</t>
  </si>
  <si>
    <t>End address</t>
  </si>
  <si>
    <t>USB HID Mapping</t>
  </si>
  <si>
    <t>HID_EEPROM_START</t>
  </si>
  <si>
    <t>HID_EEPROM_PAGES</t>
  </si>
  <si>
    <t>HUB_MAX_HUBS</t>
  </si>
  <si>
    <t>USB_NUM_PORTS</t>
  </si>
  <si>
    <t>HID_EEPROM_END</t>
  </si>
  <si>
    <t>R1</t>
  </si>
  <si>
    <t>R2</t>
  </si>
  <si>
    <t>R2/(R1+r2)</t>
  </si>
  <si>
    <t>ADC bits</t>
  </si>
  <si>
    <t>adc max</t>
  </si>
  <si>
    <t>ADC ref (V)</t>
  </si>
  <si>
    <t>counts</t>
  </si>
  <si>
    <t>Volts</t>
  </si>
  <si>
    <t>volt/count</t>
  </si>
  <si>
    <t>Vm</t>
  </si>
  <si>
    <t>Hexapod NEMA8 coarse</t>
  </si>
  <si>
    <t>Hexapod NEMA8 fine</t>
  </si>
  <si>
    <t>OTM Focus</t>
  </si>
  <si>
    <t>Bscope X</t>
  </si>
  <si>
    <t>Bscope Y</t>
  </si>
  <si>
    <t>CPU temperature</t>
  </si>
  <si>
    <t>adc val</t>
  </si>
  <si>
    <t>volts</t>
  </si>
  <si>
    <t>The output voltage VT = 0.72V at 27C and the temperature slope dVT/dT = 2.33 mV/C</t>
  </si>
  <si>
    <t>temp_c</t>
  </si>
  <si>
    <t>Bscope R 15to1</t>
  </si>
  <si>
    <t>Lower light path detent angle</t>
  </si>
  <si>
    <t>Magnetic sensor max counts</t>
  </si>
  <si>
    <t>degrees</t>
  </si>
  <si>
    <t>angle per count</t>
  </si>
  <si>
    <t>deviation counts CW to CCW</t>
  </si>
  <si>
    <t>Total deviation (angle)</t>
  </si>
  <si>
    <t>Max count deviation</t>
  </si>
  <si>
    <t>EPI detent angle</t>
  </si>
  <si>
    <t>Degrees</t>
  </si>
  <si>
    <t>Counts</t>
  </si>
  <si>
    <t>Tunning the step and enc coef</t>
  </si>
  <si>
    <t>step_pos</t>
  </si>
  <si>
    <t>enc_pos</t>
  </si>
  <si>
    <t>current count/unit</t>
  </si>
  <si>
    <t>ratio enc/step</t>
  </si>
  <si>
    <t>new</t>
  </si>
  <si>
    <t>Z stage</t>
  </si>
  <si>
    <t>um/rev</t>
  </si>
  <si>
    <t>actual</t>
  </si>
  <si>
    <t>enc cnt</t>
  </si>
  <si>
    <t>travel (um)</t>
  </si>
  <si>
    <t>EPI turrent</t>
  </si>
  <si>
    <t>Pos</t>
  </si>
  <si>
    <t>value</t>
  </si>
  <si>
    <t>delta</t>
  </si>
  <si>
    <t>enc counts</t>
  </si>
  <si>
    <t>delta 1 rev enc_cnts</t>
  </si>
  <si>
    <t>delta between revs</t>
  </si>
  <si>
    <t>motor rev (move by hand)</t>
  </si>
  <si>
    <t>delat um/rev</t>
  </si>
  <si>
    <t>avg</t>
  </si>
  <si>
    <t>Remove 4:1</t>
  </si>
  <si>
    <t>(60:1)</t>
  </si>
  <si>
    <t>Inverted direct</t>
  </si>
  <si>
    <t>Time to adjacent postion</t>
  </si>
  <si>
    <t>EPI</t>
  </si>
  <si>
    <t>Stage</t>
  </si>
  <si>
    <t>time end</t>
  </si>
  <si>
    <t>time start</t>
  </si>
  <si>
    <t>time (ms)</t>
  </si>
  <si>
    <t>EPI stepper settings</t>
  </si>
  <si>
    <t>angle</t>
  </si>
  <si>
    <t>delta counts</t>
  </si>
  <si>
    <t>delat T1</t>
  </si>
  <si>
    <t>delat T2</t>
  </si>
  <si>
    <t>degress T1</t>
  </si>
  <si>
    <t>degress T2</t>
  </si>
  <si>
    <t>angle between positions</t>
  </si>
  <si>
    <t>counts/deg</t>
  </si>
  <si>
    <t>Turret pos</t>
  </si>
  <si>
    <t>index to P1 counts</t>
  </si>
  <si>
    <t>calculated</t>
  </si>
  <si>
    <t>counts between P's</t>
  </si>
  <si>
    <t>delat T1-T2</t>
  </si>
  <si>
    <t>AF/PMT switcher</t>
  </si>
  <si>
    <t>gear 1 pitch dia (mm)</t>
  </si>
  <si>
    <t>gear 2 pitch dia (mm)</t>
  </si>
  <si>
    <t>ratio</t>
  </si>
  <si>
    <t>Bscope Y TI0020</t>
  </si>
  <si>
    <t>uC freq (Hz)</t>
  </si>
  <si>
    <t>uC freq (MHz)</t>
  </si>
  <si>
    <t>configTICK_RATE_HZ (Hz)</t>
  </si>
  <si>
    <t>pdMS_TO_TICKS</t>
  </si>
  <si>
    <t>pdMS_TO_TICKS (ms)</t>
  </si>
  <si>
    <t>pdMS_TO_TICKS (ticks)</t>
  </si>
  <si>
    <t>us</t>
  </si>
  <si>
    <t>hz</t>
  </si>
  <si>
    <t>piezo task rate (Hz)</t>
  </si>
  <si>
    <t>CPLD</t>
  </si>
  <si>
    <t>clk_1MHz (Hz)</t>
  </si>
  <si>
    <t>clk_1MHz (us)</t>
  </si>
  <si>
    <t>Cnt</t>
  </si>
  <si>
    <t>MA_Temp(us)</t>
  </si>
  <si>
    <t>MA_Temp(Hz)</t>
  </si>
  <si>
    <t>Biss clock</t>
  </si>
  <si>
    <t>Magnetic encoder</t>
  </si>
  <si>
    <t>SSI clock</t>
  </si>
  <si>
    <t>Bits</t>
  </si>
  <si>
    <t>Biss Fagor encoder (L2ABC10)</t>
  </si>
  <si>
    <t>Read rate max (Hz)</t>
  </si>
  <si>
    <t>Read rate max (us)</t>
  </si>
  <si>
    <t>Currrent</t>
  </si>
  <si>
    <t>task rate(Hz)</t>
  </si>
  <si>
    <t>ms</t>
  </si>
  <si>
    <t>Hz</t>
  </si>
  <si>
    <t>Encoder resolution</t>
  </si>
  <si>
    <t>Calculators</t>
  </si>
  <si>
    <t>Accuracy (um)</t>
  </si>
  <si>
    <t>travel time for given distance</t>
  </si>
  <si>
    <t>Speed max (V/ms)</t>
  </si>
  <si>
    <t>Distance (um)</t>
  </si>
  <si>
    <t>Piezo Displacement (um)</t>
  </si>
  <si>
    <t>Time (ms)</t>
  </si>
  <si>
    <t>V min (V)</t>
  </si>
  <si>
    <t>Time (us)</t>
  </si>
  <si>
    <t>V max (V)</t>
  </si>
  <si>
    <t>(V/um)</t>
  </si>
  <si>
    <t>Time max displacement (ms)</t>
  </si>
  <si>
    <t>Speed max (um/ms)</t>
  </si>
  <si>
    <t>Hz min</t>
  </si>
  <si>
    <t>Volts for 10nm (mV)</t>
  </si>
  <si>
    <t>PID Hz min</t>
  </si>
  <si>
    <t>Amp in Vmin (V)</t>
  </si>
  <si>
    <t>PID (us)</t>
  </si>
  <si>
    <t>Amp in Vmax (V)</t>
  </si>
  <si>
    <t>Gain of amp</t>
  </si>
  <si>
    <t>BISS read rate (kHz)</t>
  </si>
  <si>
    <t>Amp input V for 10 nm (mV)</t>
  </si>
  <si>
    <t>Fastest we can read encoder (kHz)</t>
  </si>
  <si>
    <t>DAC Vout min (V)</t>
  </si>
  <si>
    <t>DAC Vout max (V)</t>
  </si>
  <si>
    <t>DAC 13 bit step voltage (mV)</t>
  </si>
  <si>
    <t xml:space="preserve">RTOS current task rate  </t>
  </si>
  <si>
    <t>piezo task time max (us)</t>
  </si>
  <si>
    <t>need for 4kHz task</t>
  </si>
  <si>
    <t xml:space="preserve">new for 4kHz task change for BISS </t>
  </si>
  <si>
    <t>Update needed  (2 x (max speed / accuracy)</t>
  </si>
  <si>
    <t>ADC</t>
  </si>
  <si>
    <t>bits</t>
  </si>
  <si>
    <t>Vref</t>
  </si>
  <si>
    <t>Input range</t>
  </si>
  <si>
    <t>ADC max count</t>
  </si>
  <si>
    <t>ADC Val</t>
  </si>
  <si>
    <t>ADC voltage</t>
  </si>
  <si>
    <t>ADC voltage/count</t>
  </si>
  <si>
    <t>range</t>
  </si>
  <si>
    <t>start</t>
  </si>
  <si>
    <t>end</t>
  </si>
  <si>
    <t>Task (Hz)</t>
  </si>
  <si>
    <t>input wave (Hz)</t>
  </si>
  <si>
    <t>input wave (ms)</t>
  </si>
  <si>
    <t>Task (ms)</t>
  </si>
  <si>
    <t>input Samples/period</t>
  </si>
  <si>
    <t>Plot</t>
  </si>
  <si>
    <t>sample rate</t>
  </si>
  <si>
    <t>DAC</t>
  </si>
  <si>
    <t>Piezo displacement from analog input</t>
  </si>
  <si>
    <t>Start position (um)</t>
  </si>
  <si>
    <t>Stack size (um)</t>
  </si>
  <si>
    <t>Start voltage</t>
  </si>
  <si>
    <t>step voltage</t>
  </si>
  <si>
    <t>analog in first stack</t>
  </si>
  <si>
    <t>Displacement (um)</t>
  </si>
  <si>
    <t xml:space="preserve">first displacement </t>
  </si>
  <si>
    <t>piezo position</t>
  </si>
  <si>
    <t>displacement (um)</t>
  </si>
  <si>
    <t>Dac V</t>
  </si>
  <si>
    <t>dac_val</t>
  </si>
  <si>
    <t>1/delta</t>
  </si>
  <si>
    <t>kp</t>
  </si>
  <si>
    <t>ki</t>
  </si>
  <si>
    <t>kd</t>
  </si>
  <si>
    <t>time 40um (ms)</t>
  </si>
  <si>
    <t xml:space="preserve">start </t>
  </si>
  <si>
    <t>imax</t>
  </si>
  <si>
    <t>Goal to move 10lbs stage 100um in 20ms</t>
  </si>
  <si>
    <t>v(m/s)</t>
  </si>
  <si>
    <t>d(um)</t>
  </si>
  <si>
    <t>t(ms)</t>
  </si>
  <si>
    <t>Velocity</t>
  </si>
  <si>
    <t>u = initial velocity (m/s)</t>
  </si>
  <si>
    <t>v = final velocity (m/s)</t>
  </si>
  <si>
    <t>s = displacement (m)</t>
  </si>
  <si>
    <t>t = time (s)</t>
  </si>
  <si>
    <t>a = acceleration (m/s2)</t>
  </si>
  <si>
    <t>acceleration</t>
  </si>
  <si>
    <t>a=(v2-u2)/2s</t>
  </si>
  <si>
    <t>m (lb)</t>
  </si>
  <si>
    <t>Fpu (N)</t>
  </si>
  <si>
    <t>Fpu = ma (lb*m)/s2</t>
  </si>
  <si>
    <t>m (kg)</t>
  </si>
  <si>
    <t>Fs = Fg + Fspring</t>
  </si>
  <si>
    <t>Fg (N)</t>
  </si>
  <si>
    <t>Hooke</t>
  </si>
  <si>
    <t>Fs(N)</t>
  </si>
  <si>
    <t>kspring(lb/in)</t>
  </si>
  <si>
    <t>kspring(N/m)</t>
  </si>
  <si>
    <t>Fspring(N)</t>
  </si>
  <si>
    <t>a gravity</t>
  </si>
  <si>
    <t>enc</t>
  </si>
  <si>
    <t>Free fall</t>
  </si>
  <si>
    <t>g(m/s2)</t>
  </si>
  <si>
    <t>v initial (m/s)</t>
  </si>
  <si>
    <t>t (s)</t>
  </si>
  <si>
    <t>d(m)</t>
  </si>
  <si>
    <t>dac</t>
  </si>
  <si>
    <t>um</t>
  </si>
  <si>
    <t>y</t>
  </si>
  <si>
    <t>x</t>
  </si>
  <si>
    <t>PID tunning using Ziegler-Nichols</t>
  </si>
  <si>
    <t>Kp</t>
  </si>
  <si>
    <t>Ti</t>
  </si>
  <si>
    <t>Kcu</t>
  </si>
  <si>
    <t>Pcr (s)</t>
  </si>
  <si>
    <t>Ki</t>
  </si>
  <si>
    <t>test enc position output on dac</t>
  </si>
  <si>
    <t>Vmin</t>
  </si>
  <si>
    <t>Vmax</t>
  </si>
  <si>
    <t>ecn_count_range (um)</t>
  </si>
  <si>
    <t>ecn_count_range_cnounts (cnt)</t>
  </si>
  <si>
    <t>enc (nm/cnt)</t>
  </si>
  <si>
    <t>enc (um/cnt)</t>
  </si>
  <si>
    <t>dac val</t>
  </si>
  <si>
    <t>enc (cnt/um)</t>
  </si>
  <si>
    <t>enc_cnt_range</t>
  </si>
  <si>
    <t>enc_delta</t>
  </si>
  <si>
    <t>pos (um)</t>
  </si>
  <si>
    <t>V</t>
  </si>
  <si>
    <t>Encoder resolution (nm)</t>
  </si>
  <si>
    <t>Enc count/um (cnt/um)</t>
  </si>
  <si>
    <t>Encoder resolution (um)</t>
  </si>
  <si>
    <t>Encoder</t>
  </si>
  <si>
    <t>Dac</t>
  </si>
  <si>
    <t>Vmin (V)</t>
  </si>
  <si>
    <t>Vmax (V)</t>
  </si>
  <si>
    <t>Max(counts)</t>
  </si>
  <si>
    <t>volts/count (V/counts)</t>
  </si>
  <si>
    <t>Piezo</t>
  </si>
  <si>
    <t>Bill</t>
  </si>
  <si>
    <t>Amp</t>
  </si>
  <si>
    <t>BPC</t>
  </si>
  <si>
    <t>V in min (V)</t>
  </si>
  <si>
    <t>V in max (V)</t>
  </si>
  <si>
    <t>V out min (V)</t>
  </si>
  <si>
    <t>V out max (V)</t>
  </si>
  <si>
    <t>Max displacement (um)</t>
  </si>
  <si>
    <t>Volts/um (V/um)</t>
  </si>
  <si>
    <t>Task</t>
  </si>
  <si>
    <t>Rate (us)</t>
  </si>
  <si>
    <t>Max slope of dac voltage</t>
  </si>
  <si>
    <t>Max freq</t>
  </si>
  <si>
    <t>Kd</t>
  </si>
  <si>
    <t>Error (%)</t>
  </si>
  <si>
    <t>Error (um)</t>
  </si>
  <si>
    <t>Error (cnt)</t>
  </si>
  <si>
    <t>Time to reach within 5% (ms)</t>
  </si>
  <si>
    <t>iMax</t>
  </si>
  <si>
    <t>Comment</t>
  </si>
  <si>
    <t>ringing</t>
  </si>
  <si>
    <t>Inverted</t>
  </si>
  <si>
    <t>Development</t>
  </si>
  <si>
    <t>20 lbs.</t>
  </si>
  <si>
    <t>5 lbs</t>
  </si>
  <si>
    <t>28..2</t>
  </si>
  <si>
    <t>PID Responses (filtered)</t>
  </si>
  <si>
    <t>small ring for 130ms</t>
  </si>
  <si>
    <t>small ring for 90ms</t>
  </si>
  <si>
    <t>Vin amp</t>
  </si>
  <si>
    <t>Sorting above by system</t>
  </si>
  <si>
    <t>Cal Kp (ln)</t>
  </si>
  <si>
    <t>poly</t>
  </si>
  <si>
    <t>linear</t>
  </si>
  <si>
    <t>Displacement (cnt)</t>
  </si>
  <si>
    <t>ln(x) average</t>
  </si>
  <si>
    <t>4kHz task</t>
  </si>
  <si>
    <t>Time/displacement to 5%</t>
  </si>
  <si>
    <t>First term</t>
  </si>
  <si>
    <t>second term</t>
  </si>
  <si>
    <t>first term</t>
  </si>
  <si>
    <t>Equation</t>
  </si>
  <si>
    <t>Enc (cnt)</t>
  </si>
  <si>
    <t>t (ms)</t>
  </si>
  <si>
    <t>Logrithmic calc</t>
  </si>
  <si>
    <t>y=-74.34ln(x)+487.64</t>
  </si>
  <si>
    <t>y(kp)</t>
  </si>
  <si>
    <t>Inverted (up w/ filter)</t>
  </si>
  <si>
    <t>Development  (up w/ filter)</t>
  </si>
  <si>
    <t>Displ</t>
  </si>
  <si>
    <t>Mult</t>
  </si>
  <si>
    <t>filter cnt</t>
  </si>
  <si>
    <t>Second term</t>
  </si>
  <si>
    <t>(um)</t>
  </si>
  <si>
    <t>%</t>
  </si>
  <si>
    <t>Calculated time/enc_cnts</t>
  </si>
  <si>
    <t>(enc_cnt)</t>
  </si>
  <si>
    <t>y=-47.76ln(x)+588.53</t>
  </si>
  <si>
    <t>Slope calc</t>
  </si>
  <si>
    <t>ADC volts/um</t>
  </si>
  <si>
    <t>ADC count/um</t>
  </si>
  <si>
    <t>ADC adc_count/enc_count</t>
  </si>
  <si>
    <t>ADC input (V)</t>
  </si>
  <si>
    <t>ADC input volts to (um)</t>
  </si>
  <si>
    <t>Vin (V)</t>
  </si>
  <si>
    <t>ADC(counts)</t>
  </si>
  <si>
    <t>DAC (V)</t>
  </si>
  <si>
    <t>ADC/DAC (V/V)</t>
  </si>
  <si>
    <t>dac_cmd_val</t>
  </si>
  <si>
    <t>delta (um)</t>
  </si>
  <si>
    <t>delta enc (cnt)</t>
  </si>
  <si>
    <t>delta piezo voltage (V)</t>
  </si>
  <si>
    <t>dac (V)</t>
  </si>
  <si>
    <t>dac counts (counts)</t>
  </si>
  <si>
    <t>Dac voltage to displacement</t>
  </si>
  <si>
    <t>dac_cnt</t>
  </si>
  <si>
    <t>Rise time (ms)</t>
  </si>
  <si>
    <t>dac(v)</t>
  </si>
  <si>
    <t>dac (v)</t>
  </si>
  <si>
    <t>dac cnt/task</t>
  </si>
  <si>
    <t>error(cnt)</t>
  </si>
  <si>
    <t>real (um)</t>
  </si>
  <si>
    <t>actual (um)</t>
  </si>
  <si>
    <t>Dac (cnt)</t>
  </si>
  <si>
    <t>vals[0]</t>
  </si>
  <si>
    <t>float</t>
  </si>
  <si>
    <t>vals[1]</t>
  </si>
  <si>
    <t>vals[2]</t>
  </si>
  <si>
    <t>vals[3]</t>
  </si>
  <si>
    <t>vals[4]</t>
  </si>
  <si>
    <t>vals[5]</t>
  </si>
  <si>
    <t>vals[6]</t>
  </si>
  <si>
    <t>vals[7]</t>
  </si>
  <si>
    <t>vals[8]</t>
  </si>
  <si>
    <t>vals[9]</t>
  </si>
  <si>
    <t>vals[10]</t>
  </si>
  <si>
    <t>vals[11]</t>
  </si>
  <si>
    <t>vals[12]</t>
  </si>
  <si>
    <t>vals[13]</t>
  </si>
  <si>
    <t>vals[14]</t>
  </si>
  <si>
    <t>vals[15]</t>
  </si>
  <si>
    <t>vals[16]</t>
  </si>
  <si>
    <t>vals[17]</t>
  </si>
  <si>
    <t>vals[18]</t>
  </si>
  <si>
    <t>vals[19]</t>
  </si>
  <si>
    <t>vals[20]</t>
  </si>
  <si>
    <t>vals[21]</t>
  </si>
  <si>
    <t>vals[22]</t>
  </si>
  <si>
    <t>vals[23]</t>
  </si>
  <si>
    <t>vals[24]</t>
  </si>
  <si>
    <t>vals[25]</t>
  </si>
  <si>
    <t>vals[26]</t>
  </si>
  <si>
    <t>vals[27]</t>
  </si>
  <si>
    <t>vals[28]</t>
  </si>
  <si>
    <t>vals[29]</t>
  </si>
  <si>
    <t>vals[30]</t>
  </si>
  <si>
    <t>vals[31]</t>
  </si>
  <si>
    <t>vals[32]</t>
  </si>
  <si>
    <t>vals[33]</t>
  </si>
  <si>
    <t>vals[34]</t>
  </si>
  <si>
    <t>vals[35]</t>
  </si>
  <si>
    <t>vals[36]</t>
  </si>
  <si>
    <t>vals[37]</t>
  </si>
  <si>
    <t>vals[38]</t>
  </si>
  <si>
    <t>vals[39]</t>
  </si>
  <si>
    <t>vals[40]</t>
  </si>
  <si>
    <t>vals[41]</t>
  </si>
  <si>
    <t>vals[42]</t>
  </si>
  <si>
    <t>vals[43]</t>
  </si>
  <si>
    <t>vals[44]</t>
  </si>
  <si>
    <t>vals[45]</t>
  </si>
  <si>
    <t>vals[46]</t>
  </si>
  <si>
    <t>vals[47]</t>
  </si>
  <si>
    <t>vals[48]</t>
  </si>
  <si>
    <t>vals[49]</t>
  </si>
  <si>
    <t>vals[50]</t>
  </si>
  <si>
    <t>vals[51]</t>
  </si>
  <si>
    <t>vals[52]</t>
  </si>
  <si>
    <t>vals[53]</t>
  </si>
  <si>
    <t>vals[54]</t>
  </si>
  <si>
    <t>vals[55]</t>
  </si>
  <si>
    <t>vals[56]</t>
  </si>
  <si>
    <t>vals[57]</t>
  </si>
  <si>
    <t>vals[58]</t>
  </si>
  <si>
    <t>vals[59]</t>
  </si>
  <si>
    <t>vals[60]</t>
  </si>
  <si>
    <t>vals[61]</t>
  </si>
  <si>
    <t>vals[62]</t>
  </si>
  <si>
    <t>vals[63]</t>
  </si>
  <si>
    <t>vals[64]</t>
  </si>
  <si>
    <t>vals[65]</t>
  </si>
  <si>
    <t>vals[66]</t>
  </si>
  <si>
    <t>vals[67]</t>
  </si>
  <si>
    <t>vals[68]</t>
  </si>
  <si>
    <t>vals[69]</t>
  </si>
  <si>
    <t>vals[70]</t>
  </si>
  <si>
    <t>vals[71]</t>
  </si>
  <si>
    <t>vals[72]</t>
  </si>
  <si>
    <t>vals[73]</t>
  </si>
  <si>
    <t>vals[74]</t>
  </si>
  <si>
    <t>vals[75]</t>
  </si>
  <si>
    <t>vals[76]</t>
  </si>
  <si>
    <t>vals[77]</t>
  </si>
  <si>
    <t>vals[78]</t>
  </si>
  <si>
    <t>vals[79]</t>
  </si>
  <si>
    <t>vals[80]</t>
  </si>
  <si>
    <t>vals[81]</t>
  </si>
  <si>
    <t>vals[82]</t>
  </si>
  <si>
    <t>vals[83]</t>
  </si>
  <si>
    <t>vals[84]</t>
  </si>
  <si>
    <t>vals[85]</t>
  </si>
  <si>
    <t>vals[86]</t>
  </si>
  <si>
    <t>vals[87]</t>
  </si>
  <si>
    <t>vals[88]</t>
  </si>
  <si>
    <t>vals[89]</t>
  </si>
  <si>
    <t>vals[90]</t>
  </si>
  <si>
    <t>vals[91]</t>
  </si>
  <si>
    <t>vals[92]</t>
  </si>
  <si>
    <t>vals[93]</t>
  </si>
  <si>
    <t>vals[94]</t>
  </si>
  <si>
    <t>vals[95]</t>
  </si>
  <si>
    <t>vals[96]</t>
  </si>
  <si>
    <t>vals[97]</t>
  </si>
  <si>
    <t>vals[98]</t>
  </si>
  <si>
    <t>vals[99]</t>
  </si>
  <si>
    <t>dac_cnt/ecn_cnt</t>
  </si>
  <si>
    <t>Move (um)</t>
  </si>
  <si>
    <t>Vout (V)</t>
  </si>
  <si>
    <t>Vin(V)</t>
  </si>
  <si>
    <t>Vin for Vout = 0V</t>
  </si>
  <si>
    <t>Wanted move (um)</t>
  </si>
  <si>
    <t>Vdac (V)</t>
  </si>
  <si>
    <t>BELOW OLD STUFF</t>
  </si>
  <si>
    <t>Inverted log tuning data</t>
  </si>
  <si>
    <t>ykp</t>
  </si>
  <si>
    <t>Move (cnt)</t>
  </si>
  <si>
    <t>Factor</t>
  </si>
  <si>
    <t>adc to dac ratio</t>
  </si>
  <si>
    <t>ADC Input range</t>
  </si>
  <si>
    <t>DAC Vmax (V)</t>
  </si>
  <si>
    <t>adc_val_in_enc_counts</t>
  </si>
  <si>
    <t>DAC Volts/um (V/um)</t>
  </si>
  <si>
    <t>(V)</t>
  </si>
  <si>
    <t>Dac_counts (count)</t>
  </si>
  <si>
    <t>adc_val</t>
  </si>
  <si>
    <t>start_val</t>
  </si>
  <si>
    <t>adc_c/enc_c</t>
  </si>
  <si>
    <t>dac counts (dac_cnts)</t>
  </si>
  <si>
    <t xml:space="preserve">     </t>
  </si>
  <si>
    <t>PLS (step angle 1.8)</t>
  </si>
  <si>
    <t>PLS (step angle 1.8) inches</t>
  </si>
  <si>
    <t xml:space="preserve">EPI  </t>
  </si>
  <si>
    <t xml:space="preserve">Homing </t>
  </si>
  <si>
    <t>enc value</t>
  </si>
  <si>
    <t>raw</t>
  </si>
  <si>
    <t xml:space="preserve">Filtered </t>
  </si>
  <si>
    <t>power cycle</t>
  </si>
  <si>
    <t>zero,then home</t>
  </si>
  <si>
    <t>Rev dir cal</t>
  </si>
  <si>
    <t>error</t>
  </si>
  <si>
    <t>abs error</t>
  </si>
  <si>
    <t>error1</t>
  </si>
  <si>
    <t>max_pos</t>
  </si>
  <si>
    <t>going from p1 to p5</t>
  </si>
  <si>
    <t>error2</t>
  </si>
  <si>
    <t>Plots</t>
  </si>
  <si>
    <t>amp_out_min (V)</t>
  </si>
  <si>
    <t>amp_out_max (V)</t>
  </si>
  <si>
    <t>amp_zero (V)</t>
  </si>
  <si>
    <t>dac_max (V)</t>
  </si>
  <si>
    <t>dac_min (V)</t>
  </si>
  <si>
    <t>ADC Input</t>
  </si>
  <si>
    <t>analog_in_min (V)</t>
  </si>
  <si>
    <t>analog_in_max (V)</t>
  </si>
  <si>
    <t>dac_out_min (V)</t>
  </si>
  <si>
    <t>dac_out_max (V)</t>
  </si>
  <si>
    <t>displacment_min (um)</t>
  </si>
  <si>
    <t>displacment_max (um)</t>
  </si>
  <si>
    <t>analog_volts_per_um (V)</t>
  </si>
  <si>
    <t>enc_counts_min</t>
  </si>
  <si>
    <t>enc_counts_max</t>
  </si>
  <si>
    <t>dac_counts_min</t>
  </si>
  <si>
    <t>dac_counts_max</t>
  </si>
  <si>
    <t xml:space="preserve">EPI </t>
  </si>
  <si>
    <t>Avg home unit</t>
  </si>
  <si>
    <t>AMP out (V)</t>
  </si>
  <si>
    <t>Dac in (V)</t>
  </si>
  <si>
    <t>cmd_pos</t>
  </si>
  <si>
    <t>max_pos div 2</t>
  </si>
  <si>
    <t>if1</t>
  </si>
  <si>
    <t>if2</t>
  </si>
  <si>
    <t>input_enc</t>
  </si>
  <si>
    <t>error22</t>
  </si>
  <si>
    <t>EPI new board vs old board without EEPROM IC</t>
  </si>
  <si>
    <t>p1</t>
  </si>
  <si>
    <t>p2</t>
  </si>
  <si>
    <t>offset old</t>
  </si>
  <si>
    <t>raw old</t>
  </si>
  <si>
    <t>offset new</t>
  </si>
  <si>
    <t>raw new</t>
  </si>
  <si>
    <t>diff offset</t>
  </si>
  <si>
    <t>diff raw</t>
  </si>
  <si>
    <t>p3</t>
  </si>
  <si>
    <t>p4</t>
  </si>
  <si>
    <t>p5</t>
  </si>
  <si>
    <t>p6</t>
  </si>
  <si>
    <t>Turret Swap</t>
  </si>
  <si>
    <t>diff in swap</t>
  </si>
  <si>
    <t>delta old</t>
  </si>
  <si>
    <t>delta new</t>
  </si>
  <si>
    <t xml:space="preserve">positions </t>
  </si>
  <si>
    <t>counts per rev</t>
  </si>
  <si>
    <t>counts per position</t>
  </si>
  <si>
    <t>diff optimal</t>
  </si>
  <si>
    <t>encoder</t>
  </si>
  <si>
    <t>stepper</t>
  </si>
  <si>
    <t>diff</t>
  </si>
  <si>
    <t>Plot against stepper counts</t>
  </si>
  <si>
    <t>function</t>
  </si>
  <si>
    <t>radians</t>
  </si>
  <si>
    <t>y=A*sin(Bx-C)+D</t>
  </si>
  <si>
    <t>A</t>
  </si>
  <si>
    <t>B</t>
  </si>
  <si>
    <t>C</t>
  </si>
  <si>
    <t>D</t>
  </si>
  <si>
    <t>t</t>
  </si>
  <si>
    <t>z</t>
  </si>
  <si>
    <t>2nd turret</t>
  </si>
  <si>
    <t>slot at 16 degrees</t>
  </si>
  <si>
    <t>val</t>
  </si>
  <si>
    <t>Endurance is per-page, so try not to write less than a page's worth of data at a time!</t>
  </si>
  <si>
    <t>256 bytes/page</t>
  </si>
  <si>
    <t>512 pages</t>
  </si>
  <si>
    <t>32KiB sectors</t>
  </si>
  <si>
    <t>Endurance: 1M erase/write cycles</t>
  </si>
  <si>
    <t>Write Protect</t>
  </si>
  <si>
    <t>BP1</t>
  </si>
  <si>
    <t>BP0</t>
  </si>
  <si>
    <t>Sector</t>
  </si>
  <si>
    <t>WP</t>
  </si>
  <si>
    <t>128 pages/sector</t>
  </si>
  <si>
    <t>HIDs</t>
  </si>
  <si>
    <t>Board Info</t>
  </si>
  <si>
    <t>Bad Power Check</t>
  </si>
  <si>
    <t>Start</t>
  </si>
  <si>
    <t>End</t>
  </si>
  <si>
    <t>Length</t>
  </si>
  <si>
    <t>Pages per Slot Card</t>
  </si>
  <si>
    <t>Number of Slot Cards</t>
  </si>
  <si>
    <t>Number of HIDs</t>
  </si>
  <si>
    <t>Pages per HID</t>
  </si>
  <si>
    <t>Available Space (byte)</t>
  </si>
  <si>
    <t>Page Size (bytes)</t>
  </si>
  <si>
    <t>Per Unit (byte)</t>
  </si>
  <si>
    <t>128 Pages per Sector</t>
  </si>
  <si>
    <t>LUT Pointer Structure</t>
  </si>
  <si>
    <t>Address</t>
  </si>
  <si>
    <t>0 to 1</t>
  </si>
  <si>
    <t>0 to 127</t>
  </si>
  <si>
    <t>Servo Save Params</t>
  </si>
  <si>
    <t>eeprom_data_type</t>
  </si>
  <si>
    <t>servo_paramts</t>
  </si>
  <si>
    <t>position</t>
  </si>
  <si>
    <t>pwm</t>
  </si>
  <si>
    <t>shutter params</t>
  </si>
  <si>
    <t>Save size</t>
  </si>
  <si>
    <t>Entry Data Size</t>
  </si>
  <si>
    <t>Entries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</si>
</sst>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(* #,##0.0000000_);_(* \(#,##0.0000000\);_(* &quot;-&quot;??_);_(@_)"/>
    <numFmt numFmtId="166" formatCode="0.000000"/>
    <numFmt numFmtId="167" formatCode="0.00000"/>
    <numFmt numFmtId="168" formatCode="_(* #,##0.000_);_(* \(#,##0.000\);_(* &quot;-&quot;??_);_(@_)"/>
    <numFmt numFmtId="169" formatCode="0.0"/>
    <numFmt numFmtId="170" formatCode="_(* #,##0.0000_);_(* \(#,##0.0000\);_(* &quot;-&quot;??_);_(@_)"/>
    <numFmt numFmtId="171" formatCode="0.000"/>
    <numFmt numFmtId="172" formatCode="0.000000000000"/>
    <numFmt numFmtId="173" formatCode="0.0000"/>
    <numFmt numFmtId="174" formatCode="0.00000000000000"/>
    <numFmt numFmtId="175" formatCode="0.0000000"/>
    <numFmt numFmtId="176" formatCode="_(* #,##0.00000_);_(* \(#,##0.0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4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indexed="64"/>
      </bottom>
      <diagonal/>
    </border>
    <border>
      <left style="thin">
        <color rgb="FF7F7F7F"/>
      </left>
      <right/>
      <top style="thin">
        <color rgb="FF7F7F7F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43" fontId="2" fillId="0" borderId="0" applyFont="0" applyFill="0" applyBorder="0" applyAlignment="0" applyProtection="0"/>
    <xf numFmtId="0" fontId="3" fillId="3" borderId="1" applyNumberFormat="0" applyAlignment="0" applyProtection="0"/>
    <xf numFmtId="0" fontId="2" fillId="4" borderId="2" applyNumberFormat="0" applyFont="0" applyAlignment="0" applyProtection="0"/>
    <xf numFmtId="0" fontId="7" fillId="5" borderId="0" applyNumberFormat="0" applyBorder="0" applyAlignment="0" applyProtection="0"/>
    <xf numFmtId="0" fontId="10" fillId="9" borderId="0" applyNumberFormat="0" applyBorder="0" applyAlignment="0" applyProtection="0"/>
  </cellStyleXfs>
  <cellXfs count="226">
    <xf numFmtId="0" fontId="0" fillId="0" borderId="0" xfId="0"/>
    <xf numFmtId="0" fontId="3" fillId="3" borderId="1" xfId="3" applyAlignment="1">
      <alignment horizontal="center"/>
    </xf>
    <xf numFmtId="0" fontId="0" fillId="0" borderId="0" xfId="0" applyAlignment="1">
      <alignment horizontal="center"/>
    </xf>
    <xf numFmtId="164" fontId="3" fillId="3" borderId="1" xfId="2" applyNumberFormat="1" applyFont="1" applyFill="1" applyBorder="1"/>
    <xf numFmtId="43" fontId="3" fillId="3" borderId="1" xfId="2" applyNumberFormat="1" applyFont="1" applyFill="1" applyBorder="1"/>
    <xf numFmtId="165" fontId="3" fillId="3" borderId="1" xfId="2" applyNumberFormat="1" applyFont="1" applyFill="1" applyBorder="1"/>
    <xf numFmtId="0" fontId="1" fillId="2" borderId="3" xfId="1" applyBorder="1" applyAlignment="1">
      <alignment horizontal="center"/>
    </xf>
    <xf numFmtId="0" fontId="3" fillId="3" borderId="3" xfId="3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2" borderId="1" xfId="1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1" fontId="3" fillId="3" borderId="1" xfId="3" applyNumberFormat="1" applyAlignment="1">
      <alignment horizontal="center"/>
    </xf>
    <xf numFmtId="164" fontId="1" fillId="2" borderId="1" xfId="2" applyNumberFormat="1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43" fontId="3" fillId="3" borderId="7" xfId="2" applyNumberFormat="1" applyFont="1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0" fillId="0" borderId="11" xfId="0" applyBorder="1"/>
    <xf numFmtId="0" fontId="4" fillId="0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3" fillId="3" borderId="12" xfId="3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/>
    <xf numFmtId="0" fontId="4" fillId="0" borderId="14" xfId="0" applyFont="1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" xfId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1" fillId="2" borderId="16" xfId="1" applyBorder="1" applyAlignment="1">
      <alignment horizontal="center"/>
    </xf>
    <xf numFmtId="164" fontId="3" fillId="3" borderId="16" xfId="2" applyNumberFormat="1" applyFont="1" applyFill="1" applyBorder="1"/>
    <xf numFmtId="165" fontId="3" fillId="3" borderId="16" xfId="2" applyNumberFormat="1" applyFont="1" applyFill="1" applyBorder="1"/>
    <xf numFmtId="43" fontId="3" fillId="3" borderId="16" xfId="2" applyNumberFormat="1" applyFont="1" applyFill="1" applyBorder="1"/>
    <xf numFmtId="43" fontId="3" fillId="3" borderId="17" xfId="2" applyNumberFormat="1" applyFont="1" applyFill="1" applyBorder="1"/>
    <xf numFmtId="0" fontId="0" fillId="4" borderId="18" xfId="4" applyFont="1" applyBorder="1"/>
    <xf numFmtId="0" fontId="1" fillId="2" borderId="19" xfId="1" applyBorder="1" applyAlignment="1">
      <alignment horizontal="center"/>
    </xf>
    <xf numFmtId="164" fontId="3" fillId="3" borderId="19" xfId="2" applyNumberFormat="1" applyFont="1" applyFill="1" applyBorder="1"/>
    <xf numFmtId="165" fontId="3" fillId="3" borderId="19" xfId="2" applyNumberFormat="1" applyFont="1" applyFill="1" applyBorder="1"/>
    <xf numFmtId="43" fontId="3" fillId="3" borderId="19" xfId="2" applyNumberFormat="1" applyFont="1" applyFill="1" applyBorder="1"/>
    <xf numFmtId="43" fontId="3" fillId="3" borderId="20" xfId="2" applyNumberFormat="1" applyFont="1" applyFill="1" applyBorder="1"/>
    <xf numFmtId="0" fontId="1" fillId="2" borderId="19" xfId="1" applyBorder="1"/>
    <xf numFmtId="164" fontId="3" fillId="3" borderId="21" xfId="2" applyNumberFormat="1" applyFont="1" applyFill="1" applyBorder="1"/>
    <xf numFmtId="0" fontId="0" fillId="0" borderId="22" xfId="0" applyBorder="1"/>
    <xf numFmtId="0" fontId="1" fillId="2" borderId="23" xfId="1" applyBorder="1" applyAlignment="1">
      <alignment horizontal="center"/>
    </xf>
    <xf numFmtId="164" fontId="3" fillId="3" borderId="23" xfId="2" applyNumberFormat="1" applyFont="1" applyFill="1" applyBorder="1"/>
    <xf numFmtId="165" fontId="3" fillId="3" borderId="23" xfId="2" applyNumberFormat="1" applyFont="1" applyFill="1" applyBorder="1"/>
    <xf numFmtId="43" fontId="3" fillId="3" borderId="23" xfId="2" applyNumberFormat="1" applyFont="1" applyFill="1" applyBorder="1"/>
    <xf numFmtId="43" fontId="3" fillId="3" borderId="24" xfId="2" applyNumberFormat="1" applyFont="1" applyFill="1" applyBorder="1"/>
    <xf numFmtId="0" fontId="0" fillId="0" borderId="25" xfId="0" applyBorder="1"/>
    <xf numFmtId="20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3" fillId="3" borderId="16" xfId="3" applyBorder="1" applyAlignment="1">
      <alignment horizontal="center"/>
    </xf>
    <xf numFmtId="0" fontId="0" fillId="0" borderId="25" xfId="0" applyBorder="1" applyAlignment="1">
      <alignment horizontal="right"/>
    </xf>
    <xf numFmtId="164" fontId="1" fillId="2" borderId="23" xfId="2" applyNumberFormat="1" applyFont="1" applyFill="1" applyBorder="1"/>
    <xf numFmtId="0" fontId="0" fillId="0" borderId="25" xfId="0" applyBorder="1" applyAlignment="1">
      <alignment horizontal="center"/>
    </xf>
    <xf numFmtId="0" fontId="4" fillId="0" borderId="25" xfId="0" applyFont="1" applyFill="1" applyBorder="1" applyAlignment="1">
      <alignment horizontal="center" vertical="center" wrapText="1"/>
    </xf>
    <xf numFmtId="0" fontId="3" fillId="3" borderId="23" xfId="3" applyBorder="1" applyAlignment="1">
      <alignment horizontal="center"/>
    </xf>
    <xf numFmtId="1" fontId="3" fillId="3" borderId="23" xfId="3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3" fillId="3" borderId="35" xfId="3" applyBorder="1" applyAlignment="1">
      <alignment horizontal="center"/>
    </xf>
    <xf numFmtId="0" fontId="3" fillId="3" borderId="36" xfId="3" applyBorder="1" applyAlignment="1">
      <alignment horizontal="center"/>
    </xf>
    <xf numFmtId="0" fontId="3" fillId="3" borderId="9" xfId="3" applyBorder="1" applyAlignment="1">
      <alignment horizontal="center"/>
    </xf>
    <xf numFmtId="164" fontId="0" fillId="0" borderId="0" xfId="2" applyNumberFormat="1" applyFont="1"/>
    <xf numFmtId="164" fontId="0" fillId="0" borderId="30" xfId="2" applyNumberFormat="1" applyFont="1" applyBorder="1"/>
    <xf numFmtId="0" fontId="0" fillId="0" borderId="37" xfId="0" applyBorder="1"/>
    <xf numFmtId="0" fontId="0" fillId="0" borderId="38" xfId="0" applyBorder="1"/>
    <xf numFmtId="1" fontId="0" fillId="0" borderId="0" xfId="0" applyNumberFormat="1" applyBorder="1"/>
    <xf numFmtId="49" fontId="0" fillId="0" borderId="0" xfId="0" applyNumberFormat="1" applyAlignment="1">
      <alignment horizontal="center"/>
    </xf>
    <xf numFmtId="0" fontId="1" fillId="2" borderId="1" xfId="1" applyNumberFormat="1" applyBorder="1" applyAlignment="1">
      <alignment horizontal="center"/>
    </xf>
    <xf numFmtId="0" fontId="4" fillId="4" borderId="2" xfId="4" applyFont="1" applyAlignment="1">
      <alignment horizontal="center" vertical="center" wrapText="1"/>
    </xf>
    <xf numFmtId="164" fontId="0" fillId="0" borderId="0" xfId="0" applyNumberFormat="1"/>
    <xf numFmtId="0" fontId="1" fillId="2" borderId="1" xfId="1"/>
    <xf numFmtId="0" fontId="0" fillId="0" borderId="0" xfId="0" applyAlignment="1">
      <alignment horizontal="center"/>
    </xf>
    <xf numFmtId="0" fontId="7" fillId="5" borderId="0" xfId="5"/>
    <xf numFmtId="2" fontId="0" fillId="0" borderId="0" xfId="0" applyNumberFormat="1"/>
    <xf numFmtId="166" fontId="0" fillId="0" borderId="0" xfId="0" applyNumberFormat="1"/>
    <xf numFmtId="0" fontId="0" fillId="0" borderId="6" xfId="0" applyFill="1" applyBorder="1"/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0" fontId="8" fillId="0" borderId="0" xfId="0" applyFont="1" applyBorder="1"/>
    <xf numFmtId="0" fontId="8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43" fontId="0" fillId="0" borderId="0" xfId="2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1" fontId="0" fillId="0" borderId="0" xfId="0" applyNumberFormat="1"/>
    <xf numFmtId="168" fontId="3" fillId="3" borderId="19" xfId="2" applyNumberFormat="1" applyFont="1" applyFill="1" applyBorder="1"/>
    <xf numFmtId="0" fontId="0" fillId="0" borderId="0" xfId="0" applyAlignment="1">
      <alignment wrapText="1"/>
    </xf>
    <xf numFmtId="4" fontId="0" fillId="0" borderId="0" xfId="0" applyNumberFormat="1" applyAlignment="1">
      <alignment horizontal="center"/>
    </xf>
    <xf numFmtId="4" fontId="0" fillId="0" borderId="0" xfId="0" applyNumberFormat="1"/>
    <xf numFmtId="164" fontId="3" fillId="3" borderId="40" xfId="2" applyNumberFormat="1" applyFont="1" applyFill="1" applyBorder="1"/>
    <xf numFmtId="164" fontId="3" fillId="7" borderId="39" xfId="2" applyNumberFormat="1" applyFont="1" applyFill="1" applyBorder="1"/>
    <xf numFmtId="46" fontId="0" fillId="0" borderId="0" xfId="0" applyNumberFormat="1"/>
    <xf numFmtId="3" fontId="0" fillId="0" borderId="0" xfId="0" applyNumberFormat="1" applyBorder="1"/>
    <xf numFmtId="3" fontId="0" fillId="0" borderId="0" xfId="0" applyNumberFormat="1"/>
    <xf numFmtId="0" fontId="0" fillId="0" borderId="4" xfId="0" applyBorder="1"/>
    <xf numFmtId="0" fontId="0" fillId="0" borderId="15" xfId="0" applyBorder="1"/>
    <xf numFmtId="3" fontId="0" fillId="0" borderId="42" xfId="0" applyNumberFormat="1" applyBorder="1"/>
    <xf numFmtId="0" fontId="0" fillId="0" borderId="43" xfId="0" applyBorder="1"/>
    <xf numFmtId="3" fontId="0" fillId="0" borderId="41" xfId="0" applyNumberFormat="1" applyBorder="1"/>
    <xf numFmtId="3" fontId="0" fillId="0" borderId="44" xfId="0" applyNumberFormat="1" applyBorder="1"/>
    <xf numFmtId="0" fontId="0" fillId="0" borderId="0" xfId="0" applyAlignment="1">
      <alignment horizontal="center" wrapText="1"/>
    </xf>
    <xf numFmtId="169" fontId="0" fillId="0" borderId="0" xfId="0" applyNumberFormat="1"/>
    <xf numFmtId="3" fontId="0" fillId="0" borderId="0" xfId="0" applyNumberFormat="1" applyFill="1" applyBorder="1"/>
    <xf numFmtId="0" fontId="0" fillId="8" borderId="0" xfId="0" applyFill="1"/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64" fontId="0" fillId="0" borderId="0" xfId="2" applyNumberFormat="1" applyFont="1" applyAlignment="1">
      <alignment horizontal="left"/>
    </xf>
    <xf numFmtId="43" fontId="0" fillId="0" borderId="0" xfId="0" applyNumberFormat="1"/>
    <xf numFmtId="170" fontId="0" fillId="0" borderId="0" xfId="0" applyNumberFormat="1"/>
    <xf numFmtId="164" fontId="0" fillId="0" borderId="0" xfId="2" applyNumberFormat="1" applyFont="1" applyAlignment="1">
      <alignment horizontal="center"/>
    </xf>
    <xf numFmtId="164" fontId="2" fillId="0" borderId="0" xfId="2" applyNumberFormat="1" applyFont="1"/>
    <xf numFmtId="171" fontId="0" fillId="0" borderId="0" xfId="0" applyNumberFormat="1"/>
    <xf numFmtId="172" fontId="0" fillId="0" borderId="0" xfId="0" applyNumberFormat="1"/>
    <xf numFmtId="171" fontId="1" fillId="2" borderId="1" xfId="1" applyNumberFormat="1"/>
    <xf numFmtId="0" fontId="3" fillId="3" borderId="1" xfId="3"/>
    <xf numFmtId="173" fontId="0" fillId="0" borderId="0" xfId="0" applyNumberFormat="1"/>
    <xf numFmtId="173" fontId="3" fillId="3" borderId="1" xfId="3" applyNumberFormat="1"/>
    <xf numFmtId="171" fontId="3" fillId="3" borderId="1" xfId="3" applyNumberFormat="1"/>
    <xf numFmtId="0" fontId="10" fillId="9" borderId="0" xfId="6"/>
    <xf numFmtId="164" fontId="3" fillId="3" borderId="1" xfId="3" applyNumberFormat="1"/>
    <xf numFmtId="0" fontId="4" fillId="0" borderId="0" xfId="0" applyFont="1" applyAlignment="1">
      <alignment horizontal="center"/>
    </xf>
    <xf numFmtId="0" fontId="4" fillId="0" borderId="0" xfId="0" applyFont="1"/>
    <xf numFmtId="174" fontId="0" fillId="0" borderId="0" xfId="0" applyNumberFormat="1"/>
    <xf numFmtId="0" fontId="0" fillId="10" borderId="0" xfId="0" applyFill="1"/>
    <xf numFmtId="0" fontId="0" fillId="11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1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43" fontId="0" fillId="0" borderId="0" xfId="2" applyFont="1"/>
    <xf numFmtId="0" fontId="4" fillId="0" borderId="0" xfId="0" applyFont="1" applyAlignment="1">
      <alignment horizontal="center"/>
    </xf>
    <xf numFmtId="2" fontId="3" fillId="3" borderId="1" xfId="3" applyNumberFormat="1"/>
    <xf numFmtId="0" fontId="10" fillId="9" borderId="1" xfId="6" applyBorder="1"/>
    <xf numFmtId="168" fontId="0" fillId="0" borderId="0" xfId="0" applyNumberFormat="1"/>
    <xf numFmtId="167" fontId="0" fillId="0" borderId="0" xfId="0" applyNumberFormat="1"/>
    <xf numFmtId="175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2" borderId="45" xfId="1" applyBorder="1"/>
    <xf numFmtId="0" fontId="0" fillId="0" borderId="42" xfId="0" applyBorder="1"/>
    <xf numFmtId="164" fontId="0" fillId="0" borderId="42" xfId="0" applyNumberFormat="1" applyBorder="1"/>
    <xf numFmtId="0" fontId="4" fillId="0" borderId="0" xfId="0" applyFont="1" applyAlignment="1">
      <alignment horizontal="center"/>
    </xf>
    <xf numFmtId="0" fontId="0" fillId="0" borderId="44" xfId="0" applyBorder="1"/>
    <xf numFmtId="164" fontId="3" fillId="3" borderId="46" xfId="3" applyNumberFormat="1" applyBorder="1"/>
    <xf numFmtId="2" fontId="0" fillId="0" borderId="42" xfId="0" applyNumberFormat="1" applyBorder="1"/>
    <xf numFmtId="164" fontId="3" fillId="3" borderId="47" xfId="3" applyNumberFormat="1" applyBorder="1"/>
    <xf numFmtId="1" fontId="0" fillId="0" borderId="0" xfId="0" applyNumberFormat="1" applyAlignment="1">
      <alignment horizontal="center"/>
    </xf>
    <xf numFmtId="0" fontId="4" fillId="10" borderId="0" xfId="0" applyFont="1" applyFill="1"/>
    <xf numFmtId="0" fontId="4" fillId="8" borderId="0" xfId="0" applyFont="1" applyFill="1"/>
    <xf numFmtId="0" fontId="10" fillId="9" borderId="5" xfId="6" applyBorder="1"/>
    <xf numFmtId="0" fontId="0" fillId="0" borderId="41" xfId="0" applyBorder="1"/>
    <xf numFmtId="1" fontId="0" fillId="0" borderId="44" xfId="0" applyNumberFormat="1" applyBorder="1"/>
    <xf numFmtId="0" fontId="10" fillId="9" borderId="15" xfId="6" applyBorder="1"/>
    <xf numFmtId="1" fontId="3" fillId="3" borderId="46" xfId="3" applyNumberFormat="1" applyBorder="1"/>
    <xf numFmtId="1" fontId="3" fillId="3" borderId="47" xfId="3" applyNumberFormat="1" applyBorder="1"/>
    <xf numFmtId="0" fontId="0" fillId="12" borderId="0" xfId="0" applyFill="1"/>
    <xf numFmtId="170" fontId="3" fillId="3" borderId="1" xfId="2" applyNumberFormat="1" applyFont="1" applyFill="1" applyBorder="1"/>
    <xf numFmtId="171" fontId="1" fillId="2" borderId="1" xfId="1" applyNumberFormat="1" applyBorder="1" applyAlignment="1">
      <alignment horizontal="center"/>
    </xf>
    <xf numFmtId="164" fontId="12" fillId="8" borderId="19" xfId="2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1" fillId="2" borderId="1" xfId="1" applyNumberFormat="1"/>
    <xf numFmtId="164" fontId="0" fillId="13" borderId="0" xfId="2" applyNumberFormat="1" applyFont="1" applyFill="1"/>
    <xf numFmtId="164" fontId="0" fillId="0" borderId="0" xfId="0" applyNumberFormat="1" applyAlignment="1">
      <alignment horizontal="center"/>
    </xf>
    <xf numFmtId="168" fontId="0" fillId="0" borderId="0" xfId="2" applyNumberFormat="1" applyFont="1"/>
    <xf numFmtId="170" fontId="0" fillId="0" borderId="0" xfId="2" applyNumberFormat="1" applyFont="1"/>
    <xf numFmtId="176" fontId="0" fillId="0" borderId="0" xfId="2" applyNumberFormat="1" applyFont="1"/>
    <xf numFmtId="0" fontId="11" fillId="0" borderId="0" xfId="0" applyFont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/>
    <xf numFmtId="0" fontId="4" fillId="0" borderId="14" xfId="0" applyFont="1" applyBorder="1" applyAlignment="1"/>
    <xf numFmtId="0" fontId="0" fillId="0" borderId="0" xfId="0" applyFill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0" xfId="0" applyAlignment="1"/>
    <xf numFmtId="0" fontId="4" fillId="0" borderId="11" xfId="0" applyFont="1" applyBorder="1" applyAlignment="1">
      <alignment horizontal="center"/>
    </xf>
    <xf numFmtId="0" fontId="0" fillId="0" borderId="25" xfId="0" applyFill="1" applyBorder="1" applyAlignment="1"/>
    <xf numFmtId="0" fontId="0" fillId="0" borderId="0" xfId="0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0" fillId="0" borderId="25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29" xfId="0" applyBorder="1" applyAlignment="1">
      <alignment wrapText="1"/>
    </xf>
    <xf numFmtId="0" fontId="0" fillId="0" borderId="11" xfId="0" applyFill="1" applyBorder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</cellXfs>
  <cellStyles count="7">
    <cellStyle name="Calculation" xfId="3" builtinId="22"/>
    <cellStyle name="Comma" xfId="2" builtinId="3"/>
    <cellStyle name="Good" xfId="5" builtinId="26"/>
    <cellStyle name="Input" xfId="1" builtinId="20"/>
    <cellStyle name="Neutral" xfId="6" builtinId="28"/>
    <cellStyle name="Normal" xfId="0" builtinId="0"/>
    <cellStyle name="Note" xfId="4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Inverted!$D$45:$D$49</c:f>
              <c:numCache>
                <c:formatCode>#,##0.00</c:formatCode>
                <c:ptCount val="5"/>
                <c:pt idx="0">
                  <c:v>11063</c:v>
                </c:pt>
                <c:pt idx="1">
                  <c:v>11126</c:v>
                </c:pt>
                <c:pt idx="2">
                  <c:v>11001</c:v>
                </c:pt>
                <c:pt idx="3">
                  <c:v>10926</c:v>
                </c:pt>
                <c:pt idx="4">
                  <c:v>10714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6-4673-8BAF-AB23D9A2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862976"/>
        <c:axId val="1438863808"/>
      </c:scatterChart>
      <c:valAx>
        <c:axId val="14388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63808"/>
        <c:crosses val="autoZero"/>
        <c:crossBetween val="midCat"/>
      </c:valAx>
      <c:valAx>
        <c:axId val="14388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Inverted!$O$7:$O$12</c:f>
              <c:numCache>
                <c:formatCode>#,##0</c:formatCode>
                <c:ptCount val="6"/>
                <c:pt idx="0">
                  <c:v>7643</c:v>
                </c:pt>
                <c:pt idx="1">
                  <c:v>18426</c:v>
                </c:pt>
                <c:pt idx="2">
                  <c:v>29433</c:v>
                </c:pt>
                <c:pt idx="3">
                  <c:v>40341</c:v>
                </c:pt>
                <c:pt idx="4">
                  <c:v>51193</c:v>
                </c:pt>
                <c:pt idx="5">
                  <c:v>62193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4-4200-B2B7-B645BF2F2777}"/>
            </c:ext>
          </c:extLst>
        </c:ser>
        <c:ser>
          <c:idx val="1"/>
          <c:order val="1"/>
          <c:tx>
            <c:v>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0598940334910297E-2"/>
                  <c:y val="-0.28026296856272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Inverted!$P$7:$P$12</c:f>
              <c:numCache>
                <c:formatCode>#,##0</c:formatCode>
                <c:ptCount val="6"/>
                <c:pt idx="0">
                  <c:v>8187</c:v>
                </c:pt>
                <c:pt idx="1">
                  <c:v>19088</c:v>
                </c:pt>
                <c:pt idx="2">
                  <c:v>29961</c:v>
                </c:pt>
                <c:pt idx="3">
                  <c:v>40951</c:v>
                </c:pt>
                <c:pt idx="4">
                  <c:v>51764</c:v>
                </c:pt>
                <c:pt idx="5">
                  <c:v>62635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64-4200-B2B7-B645BF2F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445119"/>
        <c:axId val="712500607"/>
      </c:scatterChart>
      <c:valAx>
        <c:axId val="8044451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2500607"/>
        <c:crosses val="autoZero"/>
        <c:crossBetween val="midCat"/>
      </c:valAx>
      <c:valAx>
        <c:axId val="71250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44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Angle Delta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600575428420617E-2"/>
          <c:y val="8.8888431802094686E-2"/>
          <c:w val="0.94812424197943823"/>
          <c:h val="0.8555155143330363"/>
        </c:manualLayout>
      </c:layout>
      <c:scatterChart>
        <c:scatterStyle val="smoothMarker"/>
        <c:varyColors val="0"/>
        <c:ser>
          <c:idx val="0"/>
          <c:order val="0"/>
          <c:tx>
            <c:v>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Inverted!$S$7:$S$12</c:f>
              <c:numCache>
                <c:formatCode>0.0</c:formatCode>
                <c:ptCount val="6"/>
                <c:pt idx="0">
                  <c:v>59.233691920347908</c:v>
                </c:pt>
                <c:pt idx="1">
                  <c:v>60.464179446097511</c:v>
                </c:pt>
                <c:pt idx="2">
                  <c:v>59.920347905699252</c:v>
                </c:pt>
                <c:pt idx="3">
                  <c:v>59.612726024261846</c:v>
                </c:pt>
                <c:pt idx="4">
                  <c:v>60.425726710917836</c:v>
                </c:pt>
                <c:pt idx="5">
                  <c:v>60.425726710917836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62-4A96-BE28-A6828B6052B9}"/>
            </c:ext>
          </c:extLst>
        </c:ser>
        <c:ser>
          <c:idx val="1"/>
          <c:order val="1"/>
          <c:tx>
            <c:v>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Inverted!$U$7:$U$12</c:f>
              <c:numCache>
                <c:formatCode>0.0</c:formatCode>
                <c:ptCount val="6"/>
                <c:pt idx="0">
                  <c:v>59.881895170519577</c:v>
                </c:pt>
                <c:pt idx="1">
                  <c:v>59.728084229800878</c:v>
                </c:pt>
                <c:pt idx="2">
                  <c:v>60.370794232089729</c:v>
                </c:pt>
                <c:pt idx="3">
                  <c:v>59.398489356832229</c:v>
                </c:pt>
                <c:pt idx="4">
                  <c:v>59.717097734035256</c:v>
                </c:pt>
                <c:pt idx="5">
                  <c:v>59.717097734035256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62-4A96-BE28-A6828B6052B9}"/>
            </c:ext>
          </c:extLst>
        </c:ser>
        <c:ser>
          <c:idx val="2"/>
          <c:order val="2"/>
          <c:tx>
            <c:v>shift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Inverted!$W$7:$W$12</c:f>
              <c:numCache>
                <c:formatCode>0.0</c:formatCode>
                <c:ptCount val="6"/>
                <c:pt idx="0">
                  <c:v>59.4</c:v>
                </c:pt>
                <c:pt idx="1">
                  <c:v>60.4</c:v>
                </c:pt>
                <c:pt idx="2">
                  <c:v>59.9</c:v>
                </c:pt>
                <c:pt idx="3">
                  <c:v>59.7</c:v>
                </c:pt>
                <c:pt idx="4">
                  <c:v>59.9</c:v>
                </c:pt>
                <c:pt idx="5">
                  <c:v>59.7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62-4A96-BE28-A6828B6052B9}"/>
            </c:ext>
          </c:extLst>
        </c:ser>
        <c:ser>
          <c:idx val="3"/>
          <c:order val="3"/>
          <c:tx>
            <c:v>Idea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Inverted!$X$7:$X$12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62-4A96-BE28-A6828B60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77903"/>
        <c:axId val="844705631"/>
      </c:scatterChart>
      <c:scatterChart>
        <c:scatterStyle val="smoothMarker"/>
        <c:varyColors val="0"/>
        <c:ser>
          <c:idx val="4"/>
          <c:order val="4"/>
          <c:tx>
            <c:v>delta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Inverted!$N$7:$N$12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Inverted!$Q$7:$Q$12</c:f>
              <c:numCache>
                <c:formatCode>#,##0</c:formatCode>
                <c:ptCount val="6"/>
                <c:pt idx="0">
                  <c:v>-544</c:v>
                </c:pt>
                <c:pt idx="1">
                  <c:v>-662</c:v>
                </c:pt>
                <c:pt idx="2">
                  <c:v>-528</c:v>
                </c:pt>
                <c:pt idx="3">
                  <c:v>-610</c:v>
                </c:pt>
                <c:pt idx="4">
                  <c:v>-571</c:v>
                </c:pt>
                <c:pt idx="5">
                  <c:v>-442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62-4A96-BE28-A6828B60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630751"/>
        <c:axId val="802646143"/>
      </c:scatterChart>
      <c:valAx>
        <c:axId val="79727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705631"/>
        <c:crosses val="autoZero"/>
        <c:crossBetween val="midCat"/>
      </c:valAx>
      <c:valAx>
        <c:axId val="8447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77903"/>
        <c:crosses val="autoZero"/>
        <c:crossBetween val="midCat"/>
      </c:valAx>
      <c:valAx>
        <c:axId val="80264614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30751"/>
        <c:crosses val="max"/>
        <c:crossBetween val="midCat"/>
      </c:valAx>
      <c:valAx>
        <c:axId val="80263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264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3881425450979"/>
          <c:y val="0.10626556829875715"/>
          <c:w val="6.3012041150489542E-2"/>
          <c:h val="0.10729388016762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50640397126943"/>
                  <c:y val="-0.511072651877230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Inverted!$C$108:$C$113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Inverted!$D$108:$D$113</c:f>
              <c:numCache>
                <c:formatCode>General</c:formatCode>
                <c:ptCount val="6"/>
                <c:pt idx="0">
                  <c:v>62295</c:v>
                </c:pt>
                <c:pt idx="1">
                  <c:v>51530</c:v>
                </c:pt>
                <c:pt idx="2">
                  <c:v>40570</c:v>
                </c:pt>
                <c:pt idx="3">
                  <c:v>29575</c:v>
                </c:pt>
                <c:pt idx="4">
                  <c:v>18736</c:v>
                </c:pt>
                <c:pt idx="5">
                  <c:v>7735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C9-4908-846E-8F67263E1A3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Inverted!$C$108:$C$113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Inverted!$F$108:$F$113</c:f>
              <c:numCache>
                <c:formatCode>General</c:formatCode>
                <c:ptCount val="6"/>
                <c:pt idx="0">
                  <c:v>62325</c:v>
                </c:pt>
                <c:pt idx="1">
                  <c:v>51460</c:v>
                </c:pt>
                <c:pt idx="2">
                  <c:v>40575</c:v>
                </c:pt>
                <c:pt idx="3">
                  <c:v>29600</c:v>
                </c:pt>
                <c:pt idx="4">
                  <c:v>18688</c:v>
                </c:pt>
                <c:pt idx="5">
                  <c:v>7776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C9-4908-846E-8F67263E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284496"/>
        <c:axId val="1281286992"/>
      </c:scatterChart>
      <c:valAx>
        <c:axId val="128128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86992"/>
        <c:crosses val="autoZero"/>
        <c:crossBetween val="midCat"/>
      </c:valAx>
      <c:valAx>
        <c:axId val="12812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8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Integral</a:t>
            </a:r>
            <a:r>
              <a:rPr lang="en-US" baseline="0"/>
              <a:t> Non-Linearity Errror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51424772677242E-2"/>
          <c:y val="9.6562750984246631E-2"/>
          <c:w val="0.92651869754880678"/>
          <c:h val="0.889672067122061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6.1957294989252142E-3"/>
                  <c:y val="-0.3520656646792542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-1E-24x</a:t>
                    </a:r>
                    <a:r>
                      <a:rPr lang="en-US" sz="1600" baseline="30000"/>
                      <a:t>6</a:t>
                    </a:r>
                    <a:r>
                      <a:rPr lang="en-US" sz="1600" baseline="0"/>
                      <a:t> + 3E-19x</a:t>
                    </a:r>
                    <a:r>
                      <a:rPr lang="en-US" sz="1600" baseline="30000"/>
                      <a:t>5</a:t>
                    </a:r>
                    <a:r>
                      <a:rPr lang="en-US" sz="1600" baseline="0"/>
                      <a:t> - 3E-14x</a:t>
                    </a:r>
                    <a:r>
                      <a:rPr lang="en-US" sz="1600" baseline="30000"/>
                      <a:t>4</a:t>
                    </a:r>
                    <a:r>
                      <a:rPr lang="en-US" sz="1600" baseline="0"/>
                      <a:t> + 1E-09x</a:t>
                    </a:r>
                    <a:r>
                      <a:rPr lang="en-US" sz="1600" baseline="30000"/>
                      <a:t>3</a:t>
                    </a:r>
                    <a:r>
                      <a:rPr lang="en-US" sz="1600" baseline="0"/>
                      <a:t> - 2E-05x</a:t>
                    </a:r>
                    <a:r>
                      <a:rPr lang="en-US" sz="1600" baseline="30000"/>
                      <a:t>2</a:t>
                    </a:r>
                    <a:r>
                      <a:rPr lang="en-US" sz="1600" baseline="0"/>
                      <a:t> + 0.1767x - 225.58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Inverted!$D$152:$D$183</c:f>
              <c:numCache>
                <c:formatCode>_(* #,##0_);_(* \(#,##0\);_(* "-"??_);_(@_)</c:formatCode>
                <c:ptCount val="3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</c:numCache>
            </c:numRef>
          </c:xVal>
          <c:yVal>
            <c:numRef>
              <c:f>Inverted!$F$152:$F$183</c:f>
              <c:numCache>
                <c:formatCode>_(* #,##0_);_(* \(#,##0\);_(* "-"??_);_(@_)</c:formatCode>
                <c:ptCount val="32"/>
                <c:pt idx="0">
                  <c:v>95</c:v>
                </c:pt>
                <c:pt idx="1">
                  <c:v>132</c:v>
                </c:pt>
                <c:pt idx="2">
                  <c:v>188</c:v>
                </c:pt>
                <c:pt idx="3">
                  <c:v>188</c:v>
                </c:pt>
                <c:pt idx="4">
                  <c:v>198</c:v>
                </c:pt>
                <c:pt idx="5">
                  <c:v>170</c:v>
                </c:pt>
                <c:pt idx="6">
                  <c:v>128</c:v>
                </c:pt>
                <c:pt idx="7">
                  <c:v>47</c:v>
                </c:pt>
                <c:pt idx="8">
                  <c:v>-30</c:v>
                </c:pt>
                <c:pt idx="9">
                  <c:v>-20</c:v>
                </c:pt>
                <c:pt idx="10">
                  <c:v>-8</c:v>
                </c:pt>
                <c:pt idx="11">
                  <c:v>35</c:v>
                </c:pt>
                <c:pt idx="12">
                  <c:v>30</c:v>
                </c:pt>
                <c:pt idx="13">
                  <c:v>78</c:v>
                </c:pt>
                <c:pt idx="14">
                  <c:v>133</c:v>
                </c:pt>
                <c:pt idx="15">
                  <c:v>140</c:v>
                </c:pt>
                <c:pt idx="16">
                  <c:v>165</c:v>
                </c:pt>
                <c:pt idx="17">
                  <c:v>232</c:v>
                </c:pt>
                <c:pt idx="18">
                  <c:v>243</c:v>
                </c:pt>
                <c:pt idx="19">
                  <c:v>258</c:v>
                </c:pt>
                <c:pt idx="20">
                  <c:v>198</c:v>
                </c:pt>
                <c:pt idx="21">
                  <c:v>177</c:v>
                </c:pt>
                <c:pt idx="22">
                  <c:v>137</c:v>
                </c:pt>
                <c:pt idx="23">
                  <c:v>17</c:v>
                </c:pt>
                <c:pt idx="24">
                  <c:v>-39</c:v>
                </c:pt>
                <c:pt idx="25">
                  <c:v>-75</c:v>
                </c:pt>
                <c:pt idx="26">
                  <c:v>-39</c:v>
                </c:pt>
                <c:pt idx="27">
                  <c:v>-61</c:v>
                </c:pt>
                <c:pt idx="28">
                  <c:v>-66</c:v>
                </c:pt>
                <c:pt idx="29">
                  <c:v>-15</c:v>
                </c:pt>
                <c:pt idx="30">
                  <c:v>7</c:v>
                </c:pt>
                <c:pt idx="31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E4-49E6-8F8A-CC26D2FAEC75}"/>
            </c:ext>
          </c:extLst>
        </c:ser>
        <c:ser>
          <c:idx val="1"/>
          <c:order val="1"/>
          <c:tx>
            <c:v>func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Inverted!$D$152:$D$183</c:f>
              <c:numCache>
                <c:formatCode>_(* #,##0_);_(* \(#,##0\);_(* "-"??_);_(@_)</c:formatCode>
                <c:ptCount val="3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</c:numCache>
            </c:numRef>
          </c:xVal>
          <c:yVal>
            <c:numRef>
              <c:f>Inverted!$G$152:$G$183</c:f>
              <c:numCache>
                <c:formatCode>_(* #,##0.00_);_(* \(#,##0.00\);_(* "-"??_);_(@_)</c:formatCode>
                <c:ptCount val="32"/>
                <c:pt idx="0">
                  <c:v>121.1475887225613</c:v>
                </c:pt>
                <c:pt idx="1">
                  <c:v>155.71284493684033</c:v>
                </c:pt>
                <c:pt idx="2">
                  <c:v>178.16640430583021</c:v>
                </c:pt>
                <c:pt idx="3">
                  <c:v>184.91639672609261</c:v>
                </c:pt>
                <c:pt idx="4">
                  <c:v>174.88303366279672</c:v>
                </c:pt>
                <c:pt idx="5">
                  <c:v>149.67134068145572</c:v>
                </c:pt>
                <c:pt idx="6">
                  <c:v>113.31440335164807</c:v>
                </c:pt>
                <c:pt idx="7">
                  <c:v>71.628199180613692</c:v>
                </c:pt>
                <c:pt idx="8">
                  <c:v>31.281222371305475</c:v>
                </c:pt>
                <c:pt idx="9">
                  <c:v>-1.2722675362222304</c:v>
                </c:pt>
                <c:pt idx="10">
                  <c:v>-20.824726150458844</c:v>
                </c:pt>
                <c:pt idx="11">
                  <c:v>-24.248369123672603</c:v>
                </c:pt>
                <c:pt idx="12">
                  <c:v>-10.995520221630571</c:v>
                </c:pt>
                <c:pt idx="13">
                  <c:v>16.813777538239258</c:v>
                </c:pt>
                <c:pt idx="14">
                  <c:v>54.730902733391105</c:v>
                </c:pt>
                <c:pt idx="15">
                  <c:v>96.690296395704536</c:v>
                </c:pt>
                <c:pt idx="16">
                  <c:v>135.97976251307611</c:v>
                </c:pt>
                <c:pt idx="17">
                  <c:v>166.3142103162466</c:v>
                </c:pt>
                <c:pt idx="18">
                  <c:v>182.84107303048029</c:v>
                </c:pt>
                <c:pt idx="19">
                  <c:v>182.91656740914982</c:v>
                </c:pt>
                <c:pt idx="20">
                  <c:v>166.52861670320772</c:v>
                </c:pt>
                <c:pt idx="21">
                  <c:v>136.29878256486114</c:v>
                </c:pt>
                <c:pt idx="22">
                  <c:v>97.062896841036846</c:v>
                </c:pt>
                <c:pt idx="23">
                  <c:v>55.097479106977552</c:v>
                </c:pt>
                <c:pt idx="24">
                  <c:v>17.115689038624886</c:v>
                </c:pt>
                <c:pt idx="25">
                  <c:v>-10.806570030404956</c:v>
                </c:pt>
                <c:pt idx="26">
                  <c:v>-24.202606386680372</c:v>
                </c:pt>
                <c:pt idx="27">
                  <c:v>-20.929471480176332</c:v>
                </c:pt>
                <c:pt idx="28">
                  <c:v>-1.5107649425585947</c:v>
                </c:pt>
                <c:pt idx="29">
                  <c:v>30.947125044517769</c:v>
                </c:pt>
                <c:pt idx="30">
                  <c:v>71.251947099016519</c:v>
                </c:pt>
                <c:pt idx="31">
                  <c:v>112.95618512859404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E4-49E6-8F8A-CC26D2FAEC75}"/>
            </c:ext>
          </c:extLst>
        </c:ser>
        <c:ser>
          <c:idx val="2"/>
          <c:order val="2"/>
          <c:tx>
            <c:v>2nd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Inverted!$D$185:$D$217</c:f>
              <c:numCache>
                <c:formatCode>_(* #,##0_);_(* \(#,##0\);_(* "-"??_);_(@_)</c:formatCode>
                <c:ptCount val="33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</c:numCache>
            </c:numRef>
          </c:xVal>
          <c:yVal>
            <c:numRef>
              <c:f>Inverted!$F$185:$F$217</c:f>
              <c:numCache>
                <c:formatCode>_(* #,##0_);_(* \(#,##0\);_(* "-"??_);_(@_)</c:formatCode>
                <c:ptCount val="33"/>
                <c:pt idx="0" formatCode="General">
                  <c:v>0</c:v>
                </c:pt>
                <c:pt idx="1">
                  <c:v>73</c:v>
                </c:pt>
                <c:pt idx="2">
                  <c:v>70</c:v>
                </c:pt>
                <c:pt idx="3">
                  <c:v>56</c:v>
                </c:pt>
                <c:pt idx="4">
                  <c:v>45</c:v>
                </c:pt>
                <c:pt idx="5">
                  <c:v>44</c:v>
                </c:pt>
                <c:pt idx="6">
                  <c:v>20</c:v>
                </c:pt>
                <c:pt idx="7">
                  <c:v>-29</c:v>
                </c:pt>
                <c:pt idx="8">
                  <c:v>-50</c:v>
                </c:pt>
                <c:pt idx="9">
                  <c:v>-53</c:v>
                </c:pt>
                <c:pt idx="10">
                  <c:v>-37</c:v>
                </c:pt>
                <c:pt idx="11">
                  <c:v>-57</c:v>
                </c:pt>
                <c:pt idx="12">
                  <c:v>-52</c:v>
                </c:pt>
                <c:pt idx="13">
                  <c:v>-15</c:v>
                </c:pt>
                <c:pt idx="14">
                  <c:v>11</c:v>
                </c:pt>
                <c:pt idx="15">
                  <c:v>75</c:v>
                </c:pt>
                <c:pt idx="16">
                  <c:v>143</c:v>
                </c:pt>
                <c:pt idx="17">
                  <c:v>192</c:v>
                </c:pt>
                <c:pt idx="18">
                  <c:v>206</c:v>
                </c:pt>
                <c:pt idx="19">
                  <c:v>182</c:v>
                </c:pt>
                <c:pt idx="20">
                  <c:v>154</c:v>
                </c:pt>
                <c:pt idx="21">
                  <c:v>119</c:v>
                </c:pt>
                <c:pt idx="22">
                  <c:v>63</c:v>
                </c:pt>
                <c:pt idx="23">
                  <c:v>-5</c:v>
                </c:pt>
                <c:pt idx="24">
                  <c:v>-47</c:v>
                </c:pt>
                <c:pt idx="25">
                  <c:v>-60</c:v>
                </c:pt>
                <c:pt idx="26">
                  <c:v>-117</c:v>
                </c:pt>
                <c:pt idx="27">
                  <c:v>-167</c:v>
                </c:pt>
                <c:pt idx="28">
                  <c:v>-190</c:v>
                </c:pt>
                <c:pt idx="29">
                  <c:v>-176</c:v>
                </c:pt>
                <c:pt idx="30">
                  <c:v>-129</c:v>
                </c:pt>
                <c:pt idx="31">
                  <c:v>-145</c:v>
                </c:pt>
                <c:pt idx="32">
                  <c:v>-70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E4-49E6-8F8A-CC26D2FAEC75}"/>
            </c:ext>
          </c:extLst>
        </c:ser>
        <c:ser>
          <c:idx val="3"/>
          <c:order val="3"/>
          <c:tx>
            <c:v>corrected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Inverted!$D$152:$D$183</c:f>
              <c:numCache>
                <c:formatCode>_(* #,##0_);_(* \(#,##0\);_(* "-"??_);_(@_)</c:formatCode>
                <c:ptCount val="3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</c:numCache>
            </c:numRef>
          </c:xVal>
          <c:yVal>
            <c:numRef>
              <c:f>Inverted!$I$152:$I$183</c:f>
              <c:numCache>
                <c:formatCode>_(* #,##0.00_);_(* \(#,##0.00\);_(* "-"??_);_(@_)</c:formatCode>
                <c:ptCount val="32"/>
                <c:pt idx="0">
                  <c:v>-26.147588722561295</c:v>
                </c:pt>
                <c:pt idx="1">
                  <c:v>-23.712844936840156</c:v>
                </c:pt>
                <c:pt idx="2">
                  <c:v>9.8335956941700715</c:v>
                </c:pt>
                <c:pt idx="3">
                  <c:v>3.0836032739071015</c:v>
                </c:pt>
                <c:pt idx="4">
                  <c:v>23.116966337203849</c:v>
                </c:pt>
                <c:pt idx="5">
                  <c:v>20.328659318543941</c:v>
                </c:pt>
                <c:pt idx="6">
                  <c:v>14.685596648352657</c:v>
                </c:pt>
                <c:pt idx="7">
                  <c:v>-24.628199180613592</c:v>
                </c:pt>
                <c:pt idx="8">
                  <c:v>-61.281222371304466</c:v>
                </c:pt>
                <c:pt idx="9">
                  <c:v>-18.727732463776192</c:v>
                </c:pt>
                <c:pt idx="10">
                  <c:v>12.824726150458446</c:v>
                </c:pt>
                <c:pt idx="11">
                  <c:v>59.248369123673911</c:v>
                </c:pt>
                <c:pt idx="12">
                  <c:v>40.995520221629704</c:v>
                </c:pt>
                <c:pt idx="13">
                  <c:v>61.186222461761645</c:v>
                </c:pt>
                <c:pt idx="14">
                  <c:v>78.269097266609606</c:v>
                </c:pt>
                <c:pt idx="15">
                  <c:v>43.309703604296374</c:v>
                </c:pt>
                <c:pt idx="16">
                  <c:v>29.020237486925907</c:v>
                </c:pt>
                <c:pt idx="17">
                  <c:v>65.685789683753683</c:v>
                </c:pt>
                <c:pt idx="18">
                  <c:v>60.158926969517779</c:v>
                </c:pt>
                <c:pt idx="19">
                  <c:v>75.083432590850862</c:v>
                </c:pt>
                <c:pt idx="20">
                  <c:v>31.471383296790009</c:v>
                </c:pt>
                <c:pt idx="21">
                  <c:v>40.701217435140279</c:v>
                </c:pt>
                <c:pt idx="22">
                  <c:v>39.93710315896169</c:v>
                </c:pt>
                <c:pt idx="23">
                  <c:v>-38.097479106974788</c:v>
                </c:pt>
                <c:pt idx="24">
                  <c:v>-56.115689038626442</c:v>
                </c:pt>
                <c:pt idx="25">
                  <c:v>-64.193429969593126</c:v>
                </c:pt>
                <c:pt idx="26">
                  <c:v>-14.79739361332031</c:v>
                </c:pt>
                <c:pt idx="27">
                  <c:v>-40.070528519820073</c:v>
                </c:pt>
                <c:pt idx="28">
                  <c:v>-64.489235057444603</c:v>
                </c:pt>
                <c:pt idx="29">
                  <c:v>-45.947125044520362</c:v>
                </c:pt>
                <c:pt idx="30">
                  <c:v>-64.251947099015524</c:v>
                </c:pt>
                <c:pt idx="31">
                  <c:v>-60.956185128590732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02-45C2-9D58-5B4847FC874A}"/>
            </c:ext>
          </c:extLst>
        </c:ser>
        <c:ser>
          <c:idx val="4"/>
          <c:order val="4"/>
          <c:tx>
            <c:v>rise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092359950305104E-3"/>
                  <c:y val="0.287140610429816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0.0083x - 200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Inverted!$M$159:$M$160</c:f>
              <c:numCache>
                <c:formatCode>General</c:formatCode>
                <c:ptCount val="2"/>
                <c:pt idx="0">
                  <c:v>24000</c:v>
                </c:pt>
                <c:pt idx="1">
                  <c:v>36000</c:v>
                </c:pt>
              </c:numCache>
            </c:numRef>
          </c:xVal>
          <c:yVal>
            <c:numRef>
              <c:f>Inverted!$L$159:$L$160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02-45C2-9D58-5B4847FC874A}"/>
            </c:ext>
          </c:extLst>
        </c:ser>
        <c:ser>
          <c:idx val="5"/>
          <c:order val="5"/>
          <c:tx>
            <c:v>fall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8758772029137074E-3"/>
                  <c:y val="0.123088003589785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-0.0083x + 400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Inverted!$M$161:$M$162</c:f>
              <c:numCache>
                <c:formatCode>General</c:formatCode>
                <c:ptCount val="2"/>
                <c:pt idx="0">
                  <c:v>36000</c:v>
                </c:pt>
                <c:pt idx="1">
                  <c:v>48000</c:v>
                </c:pt>
              </c:numCache>
            </c:numRef>
          </c:xVal>
          <c:yVal>
            <c:numRef>
              <c:f>Inverted!$L$161:$L$162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02-45C2-9D58-5B4847FC8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506816"/>
        <c:axId val="1276507232"/>
      </c:scatterChart>
      <c:valAx>
        <c:axId val="127650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07232"/>
        <c:crosses val="autoZero"/>
        <c:crossBetween val="midCat"/>
      </c:valAx>
      <c:valAx>
        <c:axId val="12765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0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Piezo displacement from analog input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35923009623797"/>
                  <c:y val="8.16236512102653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Piezo!$D$132:$D$133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Piezo!$C$132:$C$133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5-455B-9308-ED580D608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364640"/>
        <c:axId val="1276436704"/>
      </c:scatterChart>
      <c:valAx>
        <c:axId val="114936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36704"/>
        <c:crosses val="autoZero"/>
        <c:crossBetween val="midCat"/>
      </c:valAx>
      <c:valAx>
        <c:axId val="12764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36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Vin/Vout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159667541557304E-2"/>
          <c:y val="0.17171296296296298"/>
          <c:w val="0.90339588801399828"/>
          <c:h val="0.614984324876057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69072615923009E-2"/>
                  <c:y val="-9.6026538349372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Piezo!$M$133:$M$134</c:f>
              <c:numCache>
                <c:formatCode>General</c:formatCode>
                <c:ptCount val="2"/>
                <c:pt idx="0">
                  <c:v>-15</c:v>
                </c:pt>
                <c:pt idx="1">
                  <c:v>150</c:v>
                </c:pt>
              </c:numCache>
            </c:numRef>
          </c:xVal>
          <c:yVal>
            <c:numRef>
              <c:f>Piezo!$L$133:$L$134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8-4650-AE73-FD7FDD048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06207"/>
        <c:axId val="432133343"/>
      </c:scatterChart>
      <c:valAx>
        <c:axId val="583906207"/>
        <c:scaling>
          <c:orientation val="minMax"/>
          <c:max val="160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33343"/>
        <c:crosses val="autoZero"/>
        <c:crossBetween val="midCat"/>
        <c:majorUnit val="15"/>
        <c:minorUnit val="5"/>
      </c:valAx>
      <c:valAx>
        <c:axId val="4321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0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426509186351704E-2"/>
                  <c:y val="-1.096894138232721E-3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Piezo!$Q$103:$Q$104</c:f>
              <c:numCache>
                <c:formatCode>General</c:formatCode>
                <c:ptCount val="2"/>
                <c:pt idx="0">
                  <c:v>0</c:v>
                </c:pt>
                <c:pt idx="1">
                  <c:v>65535</c:v>
                </c:pt>
              </c:numCache>
            </c:numRef>
          </c:xVal>
          <c:yVal>
            <c:numRef>
              <c:f>Piezo!$P$103:$P$104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4-4D5D-82ED-52EDE5E8D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216031"/>
        <c:axId val="666268303"/>
      </c:scatterChart>
      <c:valAx>
        <c:axId val="67121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68303"/>
        <c:crosses val="autoZero"/>
        <c:crossBetween val="midCat"/>
      </c:valAx>
      <c:valAx>
        <c:axId val="6662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1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814523184601922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Piezo!$O$126:$O$127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Piezo!$N$126:$N$127</c:f>
              <c:numCache>
                <c:formatCode>General</c:formatCode>
                <c:ptCount val="2"/>
                <c:pt idx="0">
                  <c:v>0</c:v>
                </c:pt>
                <c:pt idx="1">
                  <c:v>65535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E-4990-AA21-BD37E68E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453359"/>
        <c:axId val="1226048159"/>
      </c:scatterChart>
      <c:valAx>
        <c:axId val="12754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48159"/>
        <c:crosses val="autoZero"/>
        <c:crossBetween val="midCat"/>
      </c:valAx>
      <c:valAx>
        <c:axId val="12260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5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encoder</a:t>
            </a:r>
            <a:r>
              <a:rPr lang="en-US" baseline="0"/>
              <a:t> position out to dac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31894138232721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Piezo!$R$154:$R$155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Piezo!$Q$154:$Q$155</c:f>
              <c:numCache>
                <c:formatCode>General</c:formatCode>
                <c:ptCount val="2"/>
                <c:pt idx="0">
                  <c:v>0</c:v>
                </c:pt>
                <c:pt idx="1">
                  <c:v>65535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5-4DA0-ACA1-13BE7767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496448"/>
        <c:axId val="1745517136"/>
      </c:scatterChart>
      <c:valAx>
        <c:axId val="20344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17136"/>
        <c:crosses val="autoZero"/>
        <c:crossBetween val="midCat"/>
      </c:valAx>
      <c:valAx>
        <c:axId val="1745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9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BPC303 to displacement (um)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578652668416447"/>
                  <c:y val="4.2129629629629626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15x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Piezo!$V$103:$V$104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Piezo!$W$103:$W$104</c:f>
              <c:numCache>
                <c:formatCode>General</c:formatCode>
                <c:ptCount val="2"/>
                <c:pt idx="0">
                  <c:v>0</c:v>
                </c:pt>
                <c:pt idx="1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4-4D26-B983-83E713CB9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225072"/>
        <c:axId val="1683163712"/>
      </c:scatterChart>
      <c:valAx>
        <c:axId val="19592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63712"/>
        <c:crosses val="autoZero"/>
        <c:crossBetween val="midCat"/>
      </c:valAx>
      <c:valAx>
        <c:axId val="16831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2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BPC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205600859107456E-2"/>
                  <c:y val="6.3867806250446938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0.0667x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Piezo!$AF$111:$AF$112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Piezo!$AF$109:$AF$110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B2-45E5-BF3F-EB66B3CC93CE}"/>
            </c:ext>
          </c:extLst>
        </c:ser>
        <c:ser>
          <c:idx val="1"/>
          <c:order val="1"/>
          <c:tx>
            <c:v>Bill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482856987059257E-2"/>
                  <c:y val="0.1230786025923711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0.0303x + 0.4545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Piezo!$AG$111:$AG$112</c:f>
              <c:numCache>
                <c:formatCode>General</c:formatCode>
                <c:ptCount val="2"/>
                <c:pt idx="0">
                  <c:v>-15</c:v>
                </c:pt>
                <c:pt idx="1">
                  <c:v>150</c:v>
                </c:pt>
              </c:numCache>
            </c:numRef>
          </c:xVal>
          <c:yVal>
            <c:numRef>
              <c:f>Piezo!$AG$109:$AG$110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B2-45E5-BF3F-EB66B3CC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196272"/>
        <c:axId val="1961795824"/>
      </c:scatterChart>
      <c:valAx>
        <c:axId val="2931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95824"/>
        <c:crosses val="autoZero"/>
        <c:crossBetween val="midCat"/>
      </c:valAx>
      <c:valAx>
        <c:axId val="19617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9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Kp/Displacement(um)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Inverted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og"/>
            <c:forward val="50"/>
            <c:backward val="0.5"/>
            <c:dispRSqr val="0"/>
            <c:dispEq val="1"/>
            <c:trendlineLbl>
              <c:layout>
                <c:manualLayout>
                  <c:x val="2.1897348935677196E-2"/>
                  <c:y val="6.20363829035676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Piezo!$C$239:$C$247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</c:numCache>
            </c:numRef>
          </c:xVal>
          <c:yVal>
            <c:numRef>
              <c:f>Piezo!$G$239:$G$247</c:f>
              <c:numCache>
                <c:formatCode>General</c:formatCode>
                <c:ptCount val="9"/>
                <c:pt idx="0">
                  <c:v>500</c:v>
                </c:pt>
                <c:pt idx="1">
                  <c:v>450</c:v>
                </c:pt>
                <c:pt idx="2">
                  <c:v>425</c:v>
                </c:pt>
                <c:pt idx="3">
                  <c:v>425</c:v>
                </c:pt>
                <c:pt idx="4">
                  <c:v>300</c:v>
                </c:pt>
                <c:pt idx="5">
                  <c:v>300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6B-410B-BA48-E2534685049A}"/>
            </c:ext>
          </c:extLst>
        </c:ser>
        <c:ser>
          <c:idx val="1"/>
          <c:order val="1"/>
          <c:tx>
            <c:v>Development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og"/>
            <c:forward val="50"/>
            <c:backward val="0.5"/>
            <c:dispRSqr val="0"/>
            <c:dispEq val="1"/>
            <c:trendlineLbl>
              <c:layout>
                <c:manualLayout>
                  <c:x val="6.478080257454355E-2"/>
                  <c:y val="-0.14162360642317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Piezo!$C$252:$C$260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</c:numCache>
            </c:numRef>
          </c:xVal>
          <c:yVal>
            <c:numRef>
              <c:f>Piezo!$G$252:$G$260</c:f>
              <c:numCache>
                <c:formatCode>General</c:formatCode>
                <c:ptCount val="9"/>
                <c:pt idx="0">
                  <c:v>700</c:v>
                </c:pt>
                <c:pt idx="1">
                  <c:v>650</c:v>
                </c:pt>
                <c:pt idx="2">
                  <c:v>425</c:v>
                </c:pt>
                <c:pt idx="3">
                  <c:v>425</c:v>
                </c:pt>
                <c:pt idx="4">
                  <c:v>425</c:v>
                </c:pt>
                <c:pt idx="5">
                  <c:v>425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6B-410B-BA48-E2534685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87824"/>
        <c:axId val="1178746496"/>
      </c:scatterChart>
      <c:valAx>
        <c:axId val="11818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46496"/>
        <c:crosses val="autoZero"/>
        <c:crossBetween val="midCat"/>
      </c:valAx>
      <c:valAx>
        <c:axId val="11787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8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Time(ms)/Displacement(cnt) 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Inverted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865479898867495"/>
                  <c:y val="-3.69703592242285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Piezo!$C$239:$C$247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</c:numCache>
            </c:numRef>
          </c:xVal>
          <c:yVal>
            <c:numRef>
              <c:f>Piezo!$F$239:$F$247</c:f>
              <c:numCache>
                <c:formatCode>General</c:formatCode>
                <c:ptCount val="9"/>
                <c:pt idx="0">
                  <c:v>22.5</c:v>
                </c:pt>
                <c:pt idx="1">
                  <c:v>27.5</c:v>
                </c:pt>
                <c:pt idx="2">
                  <c:v>32.799999999999997</c:v>
                </c:pt>
                <c:pt idx="3">
                  <c:v>22.6</c:v>
                </c:pt>
                <c:pt idx="4">
                  <c:v>37.9</c:v>
                </c:pt>
                <c:pt idx="5">
                  <c:v>30.6</c:v>
                </c:pt>
                <c:pt idx="6">
                  <c:v>39.299999999999997</c:v>
                </c:pt>
                <c:pt idx="7">
                  <c:v>47.7</c:v>
                </c:pt>
                <c:pt idx="8">
                  <c:v>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E9-47AF-A2E4-D6CD386A3694}"/>
            </c:ext>
          </c:extLst>
        </c:ser>
        <c:ser>
          <c:idx val="1"/>
          <c:order val="1"/>
          <c:tx>
            <c:v>Develpoment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666047671224547E-3"/>
                  <c:y val="8.6166591503005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Piezo!$C$252:$C$260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</c:numCache>
            </c:numRef>
          </c:xVal>
          <c:yVal>
            <c:numRef>
              <c:f>Piezo!$F$252:$F$260</c:f>
              <c:numCache>
                <c:formatCode>General</c:formatCode>
                <c:ptCount val="9"/>
                <c:pt idx="0">
                  <c:v>28.2</c:v>
                </c:pt>
                <c:pt idx="1">
                  <c:v>21.9</c:v>
                </c:pt>
                <c:pt idx="2">
                  <c:v>30.9</c:v>
                </c:pt>
                <c:pt idx="3">
                  <c:v>22.9</c:v>
                </c:pt>
                <c:pt idx="4">
                  <c:v>23.1</c:v>
                </c:pt>
                <c:pt idx="5">
                  <c:v>23.5</c:v>
                </c:pt>
                <c:pt idx="6">
                  <c:v>31.6</c:v>
                </c:pt>
                <c:pt idx="7">
                  <c:v>33.6</c:v>
                </c:pt>
                <c:pt idx="8">
                  <c:v>33.6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E9-47AF-A2E4-D6CD386A3694}"/>
            </c:ext>
          </c:extLst>
        </c:ser>
        <c:ser>
          <c:idx val="2"/>
          <c:order val="2"/>
          <c:tx>
            <c:v>Equ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4792175136840967E-2"/>
                  <c:y val="4.61115888029043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Piezo!$O$277:$O$278</c:f>
              <c:numCache>
                <c:formatCode>General</c:formatCode>
                <c:ptCount val="2"/>
                <c:pt idx="0">
                  <c:v>100</c:v>
                </c:pt>
                <c:pt idx="1">
                  <c:v>5000</c:v>
                </c:pt>
              </c:numCache>
            </c:numRef>
          </c:xVal>
          <c:yVal>
            <c:numRef>
              <c:f>Piezo!$P$277:$P$278</c:f>
              <c:numCache>
                <c:formatCode>General</c:formatCode>
                <c:ptCount val="2"/>
                <c:pt idx="0">
                  <c:v>26</c:v>
                </c:pt>
                <c:pt idx="1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01-48A6-82CC-2F0DEF90A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897456"/>
        <c:axId val="1178704896"/>
      </c:scatterChart>
      <c:valAx>
        <c:axId val="13128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04896"/>
        <c:crosses val="autoZero"/>
        <c:crossBetween val="midCat"/>
      </c:valAx>
      <c:valAx>
        <c:axId val="1178704896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9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Term/Second Term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31680373108246"/>
                  <c:y val="5.915490939169282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0.0617x + 27.413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Piezo!$B$284:$B$285</c:f>
              <c:numCache>
                <c:formatCode>General</c:formatCode>
                <c:ptCount val="2"/>
                <c:pt idx="0">
                  <c:v>894.81</c:v>
                </c:pt>
                <c:pt idx="1">
                  <c:v>1076.5999999999999</c:v>
                </c:pt>
              </c:numCache>
            </c:numRef>
          </c:xVal>
          <c:yVal>
            <c:numRef>
              <c:f>Piezo!$C$284:$C$285</c:f>
              <c:numCache>
                <c:formatCode>General</c:formatCode>
                <c:ptCount val="2"/>
                <c:pt idx="0">
                  <c:v>82.64</c:v>
                </c:pt>
                <c:pt idx="1">
                  <c:v>93.86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CA-41F4-BA64-D9AFE5E5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453792"/>
        <c:axId val="326327264"/>
      </c:scatterChart>
      <c:valAx>
        <c:axId val="596453792"/>
        <c:scaling>
          <c:orientation val="minMax"/>
          <c:min val="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27264"/>
        <c:crosses val="autoZero"/>
        <c:crossBetween val="midCat"/>
      </c:valAx>
      <c:valAx>
        <c:axId val="3263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5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kp/Displacement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Development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0581882082966586"/>
                  <c:y val="-9.40616025937934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Piezo!$C$297:$C$301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1000</c:v>
                </c:pt>
                <c:pt idx="3">
                  <c:v>3500</c:v>
                </c:pt>
                <c:pt idx="4">
                  <c:v>4000</c:v>
                </c:pt>
              </c:numCache>
            </c:numRef>
          </c:xVal>
          <c:yVal>
            <c:numRef>
              <c:f>Piezo!$G$297:$G$301</c:f>
              <c:numCache>
                <c:formatCode>General</c:formatCode>
                <c:ptCount val="5"/>
                <c:pt idx="0">
                  <c:v>550</c:v>
                </c:pt>
                <c:pt idx="1">
                  <c:v>480</c:v>
                </c:pt>
                <c:pt idx="2">
                  <c:v>300</c:v>
                </c:pt>
                <c:pt idx="3">
                  <c:v>250</c:v>
                </c:pt>
                <c:pt idx="4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8D-4A4D-AAD2-882D40DBFBDC}"/>
            </c:ext>
          </c:extLst>
        </c:ser>
        <c:ser>
          <c:idx val="2"/>
          <c:order val="2"/>
          <c:tx>
            <c:v>Inverted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bg1">
                    <a:lumMod val="75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3302942773417476"/>
                  <c:y val="4.828423652925737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-47.76ln(x) + 588.53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Piezo!$C$311:$C$315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1000</c:v>
                </c:pt>
                <c:pt idx="3">
                  <c:v>3500</c:v>
                </c:pt>
                <c:pt idx="4">
                  <c:v>4000</c:v>
                </c:pt>
              </c:numCache>
            </c:numRef>
          </c:xVal>
          <c:yVal>
            <c:numRef>
              <c:f>Piezo!$G$311:$G$315</c:f>
              <c:numCache>
                <c:formatCode>General</c:formatCode>
                <c:ptCount val="5"/>
                <c:pt idx="0">
                  <c:v>420</c:v>
                </c:pt>
                <c:pt idx="1">
                  <c:v>350</c:v>
                </c:pt>
                <c:pt idx="2">
                  <c:v>250</c:v>
                </c:pt>
                <c:pt idx="3">
                  <c:v>200</c:v>
                </c:pt>
                <c:pt idx="4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88D-4A4D-AAD2-882D40DBFBDC}"/>
            </c:ext>
          </c:extLst>
        </c:ser>
        <c:ser>
          <c:idx val="3"/>
          <c:order val="3"/>
          <c:tx>
            <c:v>Adj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Piezo!$C$325:$C$329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1000</c:v>
                </c:pt>
                <c:pt idx="3">
                  <c:v>3500</c:v>
                </c:pt>
                <c:pt idx="4">
                  <c:v>4000</c:v>
                </c:pt>
              </c:numCache>
            </c:numRef>
          </c:xVal>
          <c:yVal>
            <c:numRef>
              <c:f>Piezo!$D$325:$D$329</c:f>
              <c:numCache>
                <c:formatCode>0</c:formatCode>
                <c:ptCount val="5"/>
                <c:pt idx="0">
                  <c:v>602.5376718911275</c:v>
                </c:pt>
                <c:pt idx="1">
                  <c:v>552.88060787581298</c:v>
                </c:pt>
                <c:pt idx="2">
                  <c:v>387.92341181371967</c:v>
                </c:pt>
                <c:pt idx="3">
                  <c:v>298.17547275071149</c:v>
                </c:pt>
                <c:pt idx="4">
                  <c:v>288.60928378309075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88D-4A4D-AAD2-882D40DBF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371519"/>
        <c:axId val="1174276383"/>
      </c:scatterChart>
      <c:scatterChart>
        <c:scatterStyle val="smoothMarker"/>
        <c:varyColors val="0"/>
        <c:ser>
          <c:idx val="1"/>
          <c:order val="1"/>
          <c:tx>
            <c:v>Time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Piezo!$B$297:$B$301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10</c:v>
                </c:pt>
                <c:pt idx="3">
                  <c:v>35</c:v>
                </c:pt>
                <c:pt idx="4">
                  <c:v>40</c:v>
                </c:pt>
              </c:numCache>
            </c:numRef>
          </c:xVal>
          <c:yVal>
            <c:numRef>
              <c:f>Piezo!$F$297:$F$301</c:f>
              <c:numCache>
                <c:formatCode>General</c:formatCode>
                <c:ptCount val="5"/>
                <c:pt idx="0">
                  <c:v>38</c:v>
                </c:pt>
                <c:pt idx="1">
                  <c:v>29</c:v>
                </c:pt>
                <c:pt idx="2">
                  <c:v>33</c:v>
                </c:pt>
                <c:pt idx="3">
                  <c:v>32</c:v>
                </c:pt>
                <c:pt idx="4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8D-4A4D-AAD2-882D40DBF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61695"/>
        <c:axId val="995868767"/>
      </c:scatterChart>
      <c:valAx>
        <c:axId val="10823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76383"/>
        <c:crosses val="autoZero"/>
        <c:crossBetween val="midCat"/>
      </c:valAx>
      <c:valAx>
        <c:axId val="117427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71519"/>
        <c:crosses val="autoZero"/>
        <c:crossBetween val="midCat"/>
      </c:valAx>
      <c:valAx>
        <c:axId val="995868767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61695"/>
        <c:crosses val="max"/>
        <c:crossBetween val="midCat"/>
      </c:valAx>
      <c:valAx>
        <c:axId val="995861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86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TOF  time/enc_cnts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1136392433704406E-2"/>
                  <c:y val="0.18575734572554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Piezo!$F$322:$F$323</c:f>
              <c:numCache>
                <c:formatCode>General</c:formatCode>
                <c:ptCount val="2"/>
                <c:pt idx="0">
                  <c:v>100</c:v>
                </c:pt>
                <c:pt idx="1">
                  <c:v>4000</c:v>
                </c:pt>
              </c:numCache>
            </c:numRef>
          </c:xVal>
          <c:yVal>
            <c:numRef>
              <c:f>Piezo!$G$322:$G$323</c:f>
              <c:numCache>
                <c:formatCode>General</c:formatCode>
                <c:ptCount val="2"/>
                <c:pt idx="0">
                  <c:v>30</c:v>
                </c:pt>
                <c:pt idx="1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C8-426F-969B-26E4AC879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119711"/>
        <c:axId val="1306240703"/>
      </c:scatterChart>
      <c:valAx>
        <c:axId val="92511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40703"/>
        <c:crosses val="autoZero"/>
        <c:crossBetween val="midCat"/>
      </c:valAx>
      <c:valAx>
        <c:axId val="13062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11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Piezo!$J$339</c:f>
              <c:strCache>
                <c:ptCount val="1"/>
                <c:pt idx="0">
                  <c:v>dac cnt/task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Piezo!$H$340:$H$344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50</c:v>
                </c:pt>
              </c:numCache>
            </c:numRef>
          </c:xVal>
          <c:yVal>
            <c:numRef>
              <c:f>Piezo!$J$340:$J$344</c:f>
              <c:numCache>
                <c:formatCode>0</c:formatCode>
                <c:ptCount val="5"/>
                <c:pt idx="0">
                  <c:v>218.54999999999998</c:v>
                </c:pt>
                <c:pt idx="1">
                  <c:v>437.09999999999997</c:v>
                </c:pt>
                <c:pt idx="2">
                  <c:v>749.31428571428569</c:v>
                </c:pt>
                <c:pt idx="3">
                  <c:v>524.52</c:v>
                </c:pt>
                <c:pt idx="4">
                  <c:v>1365.9375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05-47D1-BC04-241867EA0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037792"/>
        <c:axId val="408477680"/>
      </c:scatterChart>
      <c:valAx>
        <c:axId val="8510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7680"/>
        <c:crosses val="autoZero"/>
        <c:crossBetween val="midCat"/>
      </c:valAx>
      <c:valAx>
        <c:axId val="40847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03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Piezo!$L$339</c:f>
              <c:strCache>
                <c:ptCount val="1"/>
                <c:pt idx="0">
                  <c:v>kp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Piezo!$H$340:$H$344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50</c:v>
                </c:pt>
              </c:numCache>
            </c:numRef>
          </c:xVal>
          <c:yVal>
            <c:numRef>
              <c:f>Piezo!$L$340:$L$344</c:f>
              <c:numCache>
                <c:formatCode>General</c:formatCode>
                <c:ptCount val="5"/>
                <c:pt idx="0">
                  <c:v>4.3709999999999996</c:v>
                </c:pt>
                <c:pt idx="1">
                  <c:v>4.3709999999999996</c:v>
                </c:pt>
                <c:pt idx="2">
                  <c:v>3.7465714285714284</c:v>
                </c:pt>
                <c:pt idx="3">
                  <c:v>0.52451999999999999</c:v>
                </c:pt>
                <c:pt idx="4">
                  <c:v>0.27318750000000003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9-4E1B-8908-C2F3BD12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71584"/>
        <c:axId val="408485584"/>
      </c:scatterChart>
      <c:valAx>
        <c:axId val="40497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85584"/>
        <c:crosses val="autoZero"/>
        <c:crossBetween val="midCat"/>
      </c:valAx>
      <c:valAx>
        <c:axId val="4084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7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Piezo!$M$367:$M$466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Piezo!$L$367:$L$466</c:f>
              <c:numCache>
                <c:formatCode>General</c:formatCode>
                <c:ptCount val="100"/>
                <c:pt idx="0">
                  <c:v>13.1070004</c:v>
                </c:pt>
                <c:pt idx="1">
                  <c:v>19.660499600000001</c:v>
                </c:pt>
                <c:pt idx="2">
                  <c:v>26.2140007</c:v>
                </c:pt>
                <c:pt idx="3">
                  <c:v>26.2140007</c:v>
                </c:pt>
                <c:pt idx="4">
                  <c:v>32.767501799999998</c:v>
                </c:pt>
                <c:pt idx="5">
                  <c:v>32.767501799999998</c:v>
                </c:pt>
                <c:pt idx="6">
                  <c:v>39.320999100000002</c:v>
                </c:pt>
                <c:pt idx="7">
                  <c:v>45.874500300000001</c:v>
                </c:pt>
                <c:pt idx="8">
                  <c:v>39.320999100000002</c:v>
                </c:pt>
                <c:pt idx="9">
                  <c:v>39.320999100000002</c:v>
                </c:pt>
                <c:pt idx="10">
                  <c:v>32.767501799999998</c:v>
                </c:pt>
                <c:pt idx="11">
                  <c:v>26.2140007</c:v>
                </c:pt>
                <c:pt idx="12">
                  <c:v>19.660499600000001</c:v>
                </c:pt>
                <c:pt idx="13">
                  <c:v>0</c:v>
                </c:pt>
                <c:pt idx="14">
                  <c:v>0</c:v>
                </c:pt>
                <c:pt idx="15">
                  <c:v>-19.660499600000001</c:v>
                </c:pt>
                <c:pt idx="16">
                  <c:v>-19.660499600000001</c:v>
                </c:pt>
                <c:pt idx="17">
                  <c:v>-26.2140007</c:v>
                </c:pt>
                <c:pt idx="18">
                  <c:v>-32.767501799999998</c:v>
                </c:pt>
                <c:pt idx="19">
                  <c:v>-26.2140007</c:v>
                </c:pt>
                <c:pt idx="20">
                  <c:v>-26.2140007</c:v>
                </c:pt>
                <c:pt idx="21">
                  <c:v>-26.2140007</c:v>
                </c:pt>
                <c:pt idx="22">
                  <c:v>-19.660499600000001</c:v>
                </c:pt>
                <c:pt idx="23">
                  <c:v>-19.660499600000001</c:v>
                </c:pt>
                <c:pt idx="24">
                  <c:v>-26.2140007</c:v>
                </c:pt>
                <c:pt idx="25">
                  <c:v>-32.767501799999998</c:v>
                </c:pt>
                <c:pt idx="26">
                  <c:v>-32.767501799999998</c:v>
                </c:pt>
                <c:pt idx="27">
                  <c:v>-39.320999100000002</c:v>
                </c:pt>
                <c:pt idx="28">
                  <c:v>-45.874500300000001</c:v>
                </c:pt>
                <c:pt idx="29">
                  <c:v>-45.874500300000001</c:v>
                </c:pt>
                <c:pt idx="30">
                  <c:v>-52.428001399999999</c:v>
                </c:pt>
                <c:pt idx="31">
                  <c:v>-52.428001399999999</c:v>
                </c:pt>
                <c:pt idx="32">
                  <c:v>-52.428001399999999</c:v>
                </c:pt>
                <c:pt idx="33">
                  <c:v>-52.428001399999999</c:v>
                </c:pt>
                <c:pt idx="34">
                  <c:v>-39.320999100000002</c:v>
                </c:pt>
                <c:pt idx="35">
                  <c:v>-39.320999100000002</c:v>
                </c:pt>
                <c:pt idx="36">
                  <c:v>-39.320999100000002</c:v>
                </c:pt>
                <c:pt idx="37">
                  <c:v>-32.767501799999998</c:v>
                </c:pt>
                <c:pt idx="38">
                  <c:v>-26.2140007</c:v>
                </c:pt>
                <c:pt idx="39">
                  <c:v>-19.660499600000001</c:v>
                </c:pt>
                <c:pt idx="40">
                  <c:v>-19.660499600000001</c:v>
                </c:pt>
                <c:pt idx="41">
                  <c:v>-19.660499600000001</c:v>
                </c:pt>
                <c:pt idx="42">
                  <c:v>-26.2140007</c:v>
                </c:pt>
                <c:pt idx="43">
                  <c:v>-26.2140007</c:v>
                </c:pt>
                <c:pt idx="44">
                  <c:v>-26.2140007</c:v>
                </c:pt>
                <c:pt idx="45">
                  <c:v>-32.767501799999998</c:v>
                </c:pt>
                <c:pt idx="46">
                  <c:v>-39.320999100000002</c:v>
                </c:pt>
                <c:pt idx="47">
                  <c:v>-45.874500300000001</c:v>
                </c:pt>
                <c:pt idx="48">
                  <c:v>-45.874500300000001</c:v>
                </c:pt>
                <c:pt idx="49">
                  <c:v>-39.320999100000002</c:v>
                </c:pt>
                <c:pt idx="50">
                  <c:v>-32.767501799999998</c:v>
                </c:pt>
                <c:pt idx="51">
                  <c:v>-26.2140007</c:v>
                </c:pt>
                <c:pt idx="52">
                  <c:v>-13.1070004</c:v>
                </c:pt>
                <c:pt idx="53">
                  <c:v>-6.5535001800000003</c:v>
                </c:pt>
                <c:pt idx="54">
                  <c:v>-52.428001399999999</c:v>
                </c:pt>
                <c:pt idx="55">
                  <c:v>-52.428001399999999</c:v>
                </c:pt>
                <c:pt idx="56">
                  <c:v>-45.874500300000001</c:v>
                </c:pt>
                <c:pt idx="57">
                  <c:v>-39.320999100000002</c:v>
                </c:pt>
                <c:pt idx="58">
                  <c:v>-32.767501799999998</c:v>
                </c:pt>
                <c:pt idx="59">
                  <c:v>-26.2140007</c:v>
                </c:pt>
                <c:pt idx="60">
                  <c:v>-19.660499600000001</c:v>
                </c:pt>
                <c:pt idx="61">
                  <c:v>-26.2140007</c:v>
                </c:pt>
                <c:pt idx="62">
                  <c:v>-19.660499600000001</c:v>
                </c:pt>
                <c:pt idx="63">
                  <c:v>-19.660499600000001</c:v>
                </c:pt>
                <c:pt idx="64">
                  <c:v>-26.2140007</c:v>
                </c:pt>
                <c:pt idx="65">
                  <c:v>-32.767501799999998</c:v>
                </c:pt>
                <c:pt idx="66">
                  <c:v>-32.767501799999998</c:v>
                </c:pt>
                <c:pt idx="67">
                  <c:v>-45.874500300000001</c:v>
                </c:pt>
                <c:pt idx="68">
                  <c:v>-45.874500300000001</c:v>
                </c:pt>
                <c:pt idx="69">
                  <c:v>-45.874500300000001</c:v>
                </c:pt>
                <c:pt idx="70">
                  <c:v>-45.874500300000001</c:v>
                </c:pt>
                <c:pt idx="71">
                  <c:v>-26.2140007</c:v>
                </c:pt>
                <c:pt idx="72">
                  <c:v>-26.2140007</c:v>
                </c:pt>
                <c:pt idx="73">
                  <c:v>-19.660499600000001</c:v>
                </c:pt>
                <c:pt idx="74">
                  <c:v>0</c:v>
                </c:pt>
                <c:pt idx="75">
                  <c:v>6.5535001800000003</c:v>
                </c:pt>
                <c:pt idx="76">
                  <c:v>19.660499600000001</c:v>
                </c:pt>
                <c:pt idx="77">
                  <c:v>19.660499600000001</c:v>
                </c:pt>
                <c:pt idx="78">
                  <c:v>26.2140007</c:v>
                </c:pt>
                <c:pt idx="79">
                  <c:v>26.2140007</c:v>
                </c:pt>
                <c:pt idx="80">
                  <c:v>26.2140007</c:v>
                </c:pt>
                <c:pt idx="81">
                  <c:v>32.767501799999998</c:v>
                </c:pt>
                <c:pt idx="82">
                  <c:v>26.2140007</c:v>
                </c:pt>
                <c:pt idx="83">
                  <c:v>26.2140007</c:v>
                </c:pt>
                <c:pt idx="84">
                  <c:v>32.767501799999998</c:v>
                </c:pt>
                <c:pt idx="85">
                  <c:v>32.767501799999998</c:v>
                </c:pt>
                <c:pt idx="86">
                  <c:v>32.767501799999998</c:v>
                </c:pt>
                <c:pt idx="87">
                  <c:v>39.320999100000002</c:v>
                </c:pt>
                <c:pt idx="88">
                  <c:v>39.320999100000002</c:v>
                </c:pt>
                <c:pt idx="89">
                  <c:v>45.874500300000001</c:v>
                </c:pt>
                <c:pt idx="90">
                  <c:v>52.428001399999999</c:v>
                </c:pt>
                <c:pt idx="91">
                  <c:v>52.428001399999999</c:v>
                </c:pt>
                <c:pt idx="92">
                  <c:v>52.428001399999999</c:v>
                </c:pt>
                <c:pt idx="93">
                  <c:v>58.981498700000003</c:v>
                </c:pt>
                <c:pt idx="94">
                  <c:v>52.428001399999999</c:v>
                </c:pt>
                <c:pt idx="95">
                  <c:v>45.874500300000001</c:v>
                </c:pt>
                <c:pt idx="96">
                  <c:v>45.874500300000001</c:v>
                </c:pt>
                <c:pt idx="97">
                  <c:v>32.767501799999998</c:v>
                </c:pt>
                <c:pt idx="98">
                  <c:v>26.2140007</c:v>
                </c:pt>
                <c:pt idx="99">
                  <c:v>26.2140007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AA-4F47-9127-B559967F2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720480"/>
        <c:axId val="719100976"/>
      </c:scatterChart>
      <c:valAx>
        <c:axId val="8507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100976"/>
        <c:crosses val="autoZero"/>
        <c:crossBetween val="midCat"/>
      </c:valAx>
      <c:valAx>
        <c:axId val="7191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2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Amp Vin/Vout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035149862586802"/>
                  <c:y val="-4.394245600010332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500" baseline="0"/>
                      <a:t>y = 33x - 15</a:t>
                    </a:r>
                    <a:endParaRPr lang="en-US" sz="15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Piezo!$C$39:$C$40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Piezo!$C$41:$C$42</c:f>
              <c:numCache>
                <c:formatCode>General</c:formatCode>
                <c:ptCount val="2"/>
                <c:pt idx="0">
                  <c:v>-15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7E-47D7-B95E-78DD87BCE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756016"/>
        <c:axId val="1036304128"/>
      </c:scatterChart>
      <c:valAx>
        <c:axId val="117875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04128"/>
        <c:crosses val="autoZero"/>
        <c:crossBetween val="midCat"/>
      </c:valAx>
      <c:valAx>
        <c:axId val="10363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5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Gain/Displacement(um)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Inverted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forward val="50"/>
            <c:backward val="0.5"/>
            <c:dispRSqr val="0"/>
            <c:dispEq val="1"/>
            <c:trendlineLbl>
              <c:layout>
                <c:manualLayout>
                  <c:x val="-2.4140390787311679E-2"/>
                  <c:y val="-0.12027384744845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Piezo!$C$53:$C$63</c:f>
              <c:numCache>
                <c:formatCode>General</c:formatCode>
                <c:ptCount val="11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10000</c:v>
                </c:pt>
              </c:numCache>
            </c:numRef>
          </c:xVal>
          <c:yVal>
            <c:numRef>
              <c:f>Piezo!$G$53:$G$63</c:f>
              <c:numCache>
                <c:formatCode>General</c:formatCode>
                <c:ptCount val="11"/>
                <c:pt idx="0">
                  <c:v>500</c:v>
                </c:pt>
                <c:pt idx="1">
                  <c:v>400</c:v>
                </c:pt>
                <c:pt idx="2">
                  <c:v>400</c:v>
                </c:pt>
                <c:pt idx="3">
                  <c:v>220</c:v>
                </c:pt>
                <c:pt idx="4">
                  <c:v>220</c:v>
                </c:pt>
                <c:pt idx="5">
                  <c:v>200</c:v>
                </c:pt>
                <c:pt idx="6">
                  <c:v>170</c:v>
                </c:pt>
                <c:pt idx="7">
                  <c:v>105</c:v>
                </c:pt>
                <c:pt idx="8">
                  <c:v>105</c:v>
                </c:pt>
                <c:pt idx="9">
                  <c:v>100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99-44B3-99EE-58685F1DC887}"/>
            </c:ext>
          </c:extLst>
        </c:ser>
        <c:ser>
          <c:idx val="1"/>
          <c:order val="1"/>
          <c:tx>
            <c:v>Factor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Piezo!$F$66:$F$72</c:f>
              <c:numCache>
                <c:formatCode>General</c:formatCode>
                <c:ptCount val="7"/>
                <c:pt idx="0">
                  <c:v>50</c:v>
                </c:pt>
                <c:pt idx="1">
                  <c:v>100</c:v>
                </c:pt>
                <c:pt idx="2">
                  <c:v>1000</c:v>
                </c:pt>
                <c:pt idx="3">
                  <c:v>3500</c:v>
                </c:pt>
                <c:pt idx="4">
                  <c:v>4000</c:v>
                </c:pt>
                <c:pt idx="5">
                  <c:v>5000</c:v>
                </c:pt>
                <c:pt idx="6">
                  <c:v>10000</c:v>
                </c:pt>
              </c:numCache>
            </c:numRef>
          </c:xVal>
          <c:yVal>
            <c:numRef>
              <c:f>Piezo!$G$66:$G$72</c:f>
              <c:numCache>
                <c:formatCode>0</c:formatCode>
                <c:ptCount val="7"/>
                <c:pt idx="0">
                  <c:v>756.45064609225233</c:v>
                </c:pt>
                <c:pt idx="1">
                  <c:v>598.87128474042765</c:v>
                </c:pt>
                <c:pt idx="2">
                  <c:v>275.63444553089391</c:v>
                </c:pt>
                <c:pt idx="3">
                  <c:v>180.71015510721008</c:v>
                </c:pt>
                <c:pt idx="4">
                  <c:v>172.75843952191815</c:v>
                </c:pt>
                <c:pt idx="5">
                  <c:v>160.24356494154455</c:v>
                </c:pt>
                <c:pt idx="6">
                  <c:v>126.86256546104607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99-44B3-99EE-58685F1DC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87824"/>
        <c:axId val="1178746496"/>
      </c:scatterChart>
      <c:valAx>
        <c:axId val="11818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46496"/>
        <c:crosses val="autoZero"/>
        <c:crossBetween val="midCat"/>
      </c:valAx>
      <c:valAx>
        <c:axId val="11787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8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Piezo Amp Vout</a:t>
            </a:r>
            <a:r>
              <a:rPr lang="en-US" baseline="0"/>
              <a:t> vs Dac 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56407694067749"/>
          <c:y val="0.2015758125127782"/>
          <c:w val="0.73221205660513122"/>
          <c:h val="0.636399287858309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272747156605424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Piezo!$K$6:$K$7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Piezo!$K$4:$K$5</c:f>
              <c:numCache>
                <c:formatCode>General</c:formatCode>
                <c:ptCount val="2"/>
                <c:pt idx="0">
                  <c:v>-12</c:v>
                </c:pt>
                <c:pt idx="1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73-42FD-A065-6CF569FBF6E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876485326826481E-2"/>
                  <c:y val="0.17682816505910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Piezo!$L$6:$L$7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Piezo!$L$4:$L$5</c:f>
              <c:numCache>
                <c:formatCode>General</c:formatCode>
                <c:ptCount val="2"/>
                <c:pt idx="0">
                  <c:v>-13.69</c:v>
                </c:pt>
                <c:pt idx="1">
                  <c:v>111.6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F0-494E-A3A4-D77146CB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65088"/>
        <c:axId val="75069664"/>
      </c:scatterChart>
      <c:valAx>
        <c:axId val="7506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 In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9664"/>
        <c:crosses val="autoZero"/>
        <c:crossBetween val="midCat"/>
      </c:valAx>
      <c:valAx>
        <c:axId val="7506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 Out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Input/Discplament</a:t>
            </a:r>
            <a:r>
              <a:rPr lang="en-US" baseline="0"/>
              <a:t> vs DAC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0.14615770849402931"/>
                  <c:y val="1.8349309685726092E-2"/>
                </c:manualLayout>
              </c:layout>
              <c:numFmt formatCode="General" sourceLinked="0"/>
            </c:trendlineLbl>
          </c:trendline>
          <c:cat>
            <c:numRef>
              <c:f>Piezo!$K$19:$K$20</c:f>
              <c:numCache>
                <c:formatCode>0.0000</c:formatCode>
                <c:ptCount val="2"/>
                <c:pt idx="0">
                  <c:v>0.3592814371257485</c:v>
                </c:pt>
                <c:pt idx="1">
                  <c:v>4.6407185628742518</c:v>
                </c:pt>
              </c:numCache>
            </c:numRef>
          </c:cat>
          <c:val>
            <c:numRef>
              <c:f>Piezo!$K$17:$K$18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C9-4B72-842F-1271CF7AE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235072"/>
        <c:axId val="689247968"/>
      </c:lineChart>
      <c:lineChart>
        <c:grouping val="standard"/>
        <c:varyColors val="0"/>
        <c:ser>
          <c:idx val="0"/>
          <c:order val="1"/>
          <c:trendline>
            <c:trendlineType val="linear"/>
            <c:dispRSqr val="0"/>
            <c:dispEq val="1"/>
            <c:trendlineLbl>
              <c:layout>
                <c:manualLayout>
                  <c:x val="0.1022105070601282"/>
                  <c:y val="3.7626425434560455E-2"/>
                </c:manualLayout>
              </c:layout>
              <c:numFmt formatCode="General" sourceLinked="0"/>
            </c:trendlineLbl>
          </c:trendline>
          <c:val>
            <c:numRef>
              <c:f>Piezo!$K$21:$K$22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C9-4B72-842F-1271CF7AE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09600"/>
        <c:axId val="127524576"/>
      </c:lineChart>
      <c:catAx>
        <c:axId val="6892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 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47968"/>
        <c:crosses val="autoZero"/>
        <c:auto val="1"/>
        <c:lblAlgn val="ctr"/>
        <c:lblOffset val="100"/>
        <c:noMultiLvlLbl val="0"/>
      </c:catAx>
      <c:valAx>
        <c:axId val="689247968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</a:t>
                </a:r>
                <a:r>
                  <a:rPr lang="en-US" baseline="0"/>
                  <a:t> Input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35072"/>
        <c:crosses val="autoZero"/>
        <c:crossBetween val="between"/>
      </c:valAx>
      <c:valAx>
        <c:axId val="12752457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crossAx val="127509600"/>
        <c:crosses val="max"/>
        <c:crossBetween val="between"/>
      </c:valAx>
      <c:catAx>
        <c:axId val="127509600"/>
        <c:scaling>
          <c:orientation val="minMax"/>
        </c:scaling>
        <c:delete val="1"/>
        <c:axPos val="b"/>
        <c:majorTickMark val="out"/>
        <c:minorTickMark val="none"/>
        <c:tickLblPos val="nextTo"/>
        <c:crossAx val="12752457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In vs</a:t>
            </a:r>
            <a:r>
              <a:rPr lang="en-US" baseline="0"/>
              <a:t> Displacment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147222222222222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Piezo!$K$21:$K$22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Piezo!$K$17:$K$18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75-4CF8-A745-500D8B512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004832"/>
        <c:axId val="725011488"/>
      </c:scatterChart>
      <c:valAx>
        <c:axId val="7250048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Displacment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11488"/>
        <c:crosses val="autoZero"/>
        <c:crossBetween val="midCat"/>
      </c:valAx>
      <c:valAx>
        <c:axId val="7250114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In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Encoder Counts vs DAC Counts 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297240412395394"/>
                  <c:y val="5.7506047920381272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2444.4x - 1111.1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Piezo!$K$24:$K$25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Piezo!$K$26:$K$27</c:f>
              <c:numCache>
                <c:formatCode>0</c:formatCode>
                <c:ptCount val="2"/>
                <c:pt idx="0">
                  <c:v>4709.1017964071852</c:v>
                </c:pt>
                <c:pt idx="1">
                  <c:v>60825.89820359282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7-4511-8336-331B62691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0880"/>
        <c:axId val="127482560"/>
      </c:scatterChart>
      <c:valAx>
        <c:axId val="12749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DAC</a:t>
                </a:r>
                <a:r>
                  <a:rPr lang="en-US" baseline="0"/>
                  <a:t> Counts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82560"/>
        <c:crosses val="autoZero"/>
        <c:crossBetween val="midCat"/>
      </c:valAx>
      <c:valAx>
        <c:axId val="1274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Encoder </a:t>
                </a:r>
              </a:p>
              <a:p>
                <a:pPr>
                  <a:defRPr/>
                </a:pPr>
                <a:r>
                  <a:rPr lang="en-US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JS_3D joysticjk</a:t>
            </a:r>
            <a:r>
              <a:rPr lang="en-US" baseline="0"/>
              <a:t> Slope for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1226815398075239E-2"/>
                  <c:y val="-0.51304024496937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Joysticks!$D$3:$D$4</c:f>
              <c:numCache>
                <c:formatCode>General</c:formatCode>
                <c:ptCount val="2"/>
                <c:pt idx="0">
                  <c:v>0</c:v>
                </c:pt>
                <c:pt idx="1">
                  <c:v>507</c:v>
                </c:pt>
              </c:numCache>
            </c:numRef>
          </c:xVal>
          <c:yVal>
            <c:numRef>
              <c:f>Joysticks!$C$3:$C$4</c:f>
              <c:numCache>
                <c:formatCode>General</c:formatCode>
                <c:ptCount val="2"/>
                <c:pt idx="0">
                  <c:v>32883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BA-4176-9973-731F9C30778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924540682414693E-2"/>
                  <c:y val="9.680555555555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Joysticks!$D$5:$D$6</c:f>
              <c:numCache>
                <c:formatCode>General</c:formatCode>
                <c:ptCount val="2"/>
                <c:pt idx="0">
                  <c:v>518</c:v>
                </c:pt>
                <c:pt idx="1">
                  <c:v>1024</c:v>
                </c:pt>
              </c:numCache>
            </c:numRef>
          </c:xVal>
          <c:yVal>
            <c:numRef>
              <c:f>Joysticks!$C$5:$C$6</c:f>
              <c:numCache>
                <c:formatCode>General</c:formatCode>
                <c:ptCount val="2"/>
                <c:pt idx="0">
                  <c:v>200</c:v>
                </c:pt>
                <c:pt idx="1">
                  <c:v>32883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BA-4176-9973-731F9C307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876000"/>
        <c:axId val="489881040"/>
      </c:scatterChart>
      <c:valAx>
        <c:axId val="4898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81040"/>
        <c:crosses val="autoZero"/>
        <c:crossBetween val="midCat"/>
      </c:valAx>
      <c:valAx>
        <c:axId val="4898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ShttleXpress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13467592592592595"/>
          <c:w val="0.85853018372703416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Joysticks!$I$3:$I$9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Joysticks!$J$3:$J$9</c:f>
              <c:numCache>
                <c:formatCode>General</c:formatCode>
                <c:ptCount val="7"/>
                <c:pt idx="0">
                  <c:v>100</c:v>
                </c:pt>
                <c:pt idx="1">
                  <c:v>400</c:v>
                </c:pt>
                <c:pt idx="2">
                  <c:v>800</c:v>
                </c:pt>
                <c:pt idx="3">
                  <c:v>1500</c:v>
                </c:pt>
                <c:pt idx="4">
                  <c:v>4000</c:v>
                </c:pt>
                <c:pt idx="5">
                  <c:v>14000</c:v>
                </c:pt>
                <c:pt idx="6">
                  <c:v>32883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CB-4D6E-A38B-7B1923E9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09696"/>
        <c:axId val="293809136"/>
      </c:scatterChart>
      <c:valAx>
        <c:axId val="29380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09136"/>
        <c:crosses val="autoZero"/>
        <c:crossBetween val="midCat"/>
      </c:valAx>
      <c:valAx>
        <c:axId val="2938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0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hart" Target="../charts/chart4.xml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3" Type="http://schemas.openxmlformats.org/officeDocument/2006/relationships/chart" Target="../charts/chart7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6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image" Target="../media/image8.png"/><Relationship Id="rId6" Type="http://schemas.openxmlformats.org/officeDocument/2006/relationships/image" Target="../media/image10.png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image" Target="../media/image9.png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8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542925</xdr:colOff>
      <xdr:row>1</xdr:row>
      <xdr:rowOff>123825</xdr:rowOff>
    </xdr:from>
    <xdr:to>
      <xdr:col>8</xdr:col>
      <xdr:colOff>664387</xdr:colOff>
      <xdr:row>14</xdr:row>
      <xdr:rowOff>8884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14325"/>
          <a:ext cx="2774174" cy="2361559"/>
        </a:xfrm>
        <a:prstGeom prst="rect">
          <a:avLst/>
        </a:prstGeom>
      </xdr:spPr>
    </xdr:pic>
    <xdr:clientData/>
  </xdr:twoCellAnchor>
  <xdr:twoCellAnchor>
    <xdr:from>
      <xdr:col>7</xdr:col>
      <xdr:colOff>271743</xdr:colOff>
      <xdr:row>39</xdr:row>
      <xdr:rowOff>71156</xdr:rowOff>
    </xdr:from>
    <xdr:to>
      <xdr:col>13</xdr:col>
      <xdr:colOff>557492</xdr:colOff>
      <xdr:row>54</xdr:row>
      <xdr:rowOff>124944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65812</xdr:colOff>
      <xdr:row>16</xdr:row>
      <xdr:rowOff>132917</xdr:rowOff>
    </xdr:from>
    <xdr:to>
      <xdr:col>8</xdr:col>
      <xdr:colOff>249586</xdr:colOff>
      <xdr:row>29</xdr:row>
      <xdr:rowOff>14583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2221" y="3042372"/>
          <a:ext cx="2973530" cy="2245598"/>
        </a:xfrm>
        <a:prstGeom prst="rect">
          <a:avLst/>
        </a:prstGeom>
      </xdr:spPr>
    </xdr:pic>
    <xdr:clientData/>
  </xdr:twoCellAnchor>
  <xdr:twoCellAnchor editAs="oneCell">
    <xdr:from>
      <xdr:col>9</xdr:col>
      <xdr:colOff>56030</xdr:colOff>
      <xdr:row>18</xdr:row>
      <xdr:rowOff>22412</xdr:rowOff>
    </xdr:from>
    <xdr:to>
      <xdr:col>12</xdr:col>
      <xdr:colOff>225228</xdr:colOff>
      <xdr:row>26</xdr:row>
      <xdr:rowOff>166380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EA5D39-04B1-499B-B774-46071B45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3265" y="3451412"/>
          <a:ext cx="2516832" cy="1858468"/>
        </a:xfrm>
        <a:prstGeom prst="rect">
          <a:avLst/>
        </a:prstGeom>
      </xdr:spPr>
    </xdr:pic>
    <xdr:clientData/>
  </xdr:twoCellAnchor>
  <xdr:twoCellAnchor editAs="oneCell">
    <xdr:from>
      <xdr:col>25</xdr:col>
      <xdr:colOff>425823</xdr:colOff>
      <xdr:row>1</xdr:row>
      <xdr:rowOff>72838</xdr:rowOff>
    </xdr:from>
    <xdr:to>
      <xdr:col>65</xdr:col>
      <xdr:colOff>473189</xdr:colOff>
      <xdr:row>70</xdr:row>
      <xdr:rowOff>27910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C266C7F-B730-4BD1-BAAC-E5AE4718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8103" y="263338"/>
          <a:ext cx="24476190" cy="14276190"/>
        </a:xfrm>
        <a:prstGeom prst="rect">
          <a:avLst/>
        </a:prstGeom>
      </xdr:spPr>
    </xdr:pic>
    <xdr:clientData/>
  </xdr:twoCellAnchor>
  <xdr:twoCellAnchor editAs="oneCell">
    <xdr:from>
      <xdr:col>13</xdr:col>
      <xdr:colOff>415234</xdr:colOff>
      <xdr:row>35</xdr:row>
      <xdr:rowOff>77931</xdr:rowOff>
    </xdr:from>
    <xdr:to>
      <xdr:col>18</xdr:col>
      <xdr:colOff>86591</xdr:colOff>
      <xdr:row>50</xdr:row>
      <xdr:rowOff>16011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0CD4E9-BEE3-41C5-9AE4-01C9B9ADC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485" y="6806046"/>
          <a:ext cx="4355924" cy="2665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248641</xdr:colOff>
      <xdr:row>24</xdr:row>
      <xdr:rowOff>69272</xdr:rowOff>
    </xdr:from>
    <xdr:to>
      <xdr:col>2</xdr:col>
      <xdr:colOff>834694</xdr:colOff>
      <xdr:row>37</xdr:row>
      <xdr:rowOff>129887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E6847B-48D7-445E-8AEA-A00CD1ECB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8641" y="4433454"/>
          <a:ext cx="3209758" cy="2788229"/>
        </a:xfrm>
        <a:prstGeom prst="rect">
          <a:avLst/>
        </a:prstGeom>
      </xdr:spPr>
    </xdr:pic>
    <xdr:clientData/>
  </xdr:twoCellAnchor>
  <xdr:twoCellAnchor>
    <xdr:from>
      <xdr:col>13</xdr:col>
      <xdr:colOff>242454</xdr:colOff>
      <xdr:row>15</xdr:row>
      <xdr:rowOff>147203</xdr:rowOff>
    </xdr:from>
    <xdr:to>
      <xdr:col>16</xdr:col>
      <xdr:colOff>1160317</xdr:colOff>
      <xdr:row>30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CE5A34-847E-4C83-93E9-3AD06EC50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917863</xdr:colOff>
      <xdr:row>15</xdr:row>
      <xdr:rowOff>121225</xdr:rowOff>
    </xdr:from>
    <xdr:to>
      <xdr:col>25</xdr:col>
      <xdr:colOff>92195</xdr:colOff>
      <xdr:row>29</xdr:row>
      <xdr:rowOff>8658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6CC54E-A204-44BA-B430-B0DDFC552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420585</xdr:colOff>
      <xdr:row>2</xdr:row>
      <xdr:rowOff>89742</xdr:rowOff>
    </xdr:from>
    <xdr:to>
      <xdr:col>12</xdr:col>
      <xdr:colOff>239398</xdr:colOff>
      <xdr:row>14</xdr:row>
      <xdr:rowOff>32451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DD70EB5-9646-44BF-8019-935D22A0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4040" y="453424"/>
          <a:ext cx="2307029" cy="212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409575</xdr:colOff>
      <xdr:row>103</xdr:row>
      <xdr:rowOff>104775</xdr:rowOff>
    </xdr:from>
    <xdr:to>
      <xdr:col>16</xdr:col>
      <xdr:colOff>171451</xdr:colOff>
      <xdr:row>118</xdr:row>
      <xdr:rowOff>109536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DA50A-2BE2-49C4-BA24-945142D8D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369793</xdr:colOff>
      <xdr:row>154</xdr:row>
      <xdr:rowOff>11205</xdr:rowOff>
    </xdr:from>
    <xdr:to>
      <xdr:col>28</xdr:col>
      <xdr:colOff>53787</xdr:colOff>
      <xdr:row>183</xdr:row>
      <xdr:rowOff>22411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37D65F-CBCC-48D3-A570-0F6647213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523875</xdr:colOff>
      <xdr:row>85</xdr:row>
      <xdr:rowOff>66675</xdr:rowOff>
    </xdr:from>
    <xdr:to>
      <xdr:col>15</xdr:col>
      <xdr:colOff>520300</xdr:colOff>
      <xdr:row>98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FC4637-DA9A-4199-8D21-0F312DE4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1781175"/>
          <a:ext cx="10267950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1247775</xdr:colOff>
      <xdr:row>130</xdr:row>
      <xdr:rowOff>157162</xdr:rowOff>
    </xdr:from>
    <xdr:to>
      <xdr:col>9</xdr:col>
      <xdr:colOff>1352550</xdr:colOff>
      <xdr:row>145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26FD7-819B-4E53-B563-FDD9EE760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135</xdr:row>
      <xdr:rowOff>42862</xdr:rowOff>
    </xdr:from>
    <xdr:to>
      <xdr:col>15</xdr:col>
      <xdr:colOff>600075</xdr:colOff>
      <xdr:row>149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957A57-E250-4C5B-A3B1-57A17A8C1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223837</xdr:colOff>
      <xdr:row>108</xdr:row>
      <xdr:rowOff>119062</xdr:rowOff>
    </xdr:from>
    <xdr:to>
      <xdr:col>19</xdr:col>
      <xdr:colOff>166687</xdr:colOff>
      <xdr:row>122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B8D71F-64A8-4DA5-BBBA-480495CCA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238125</xdr:colOff>
      <xdr:row>161</xdr:row>
      <xdr:rowOff>123825</xdr:rowOff>
    </xdr:from>
    <xdr:to>
      <xdr:col>3</xdr:col>
      <xdr:colOff>102870</xdr:colOff>
      <xdr:row>178</xdr:row>
      <xdr:rowOff>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5C2735-4243-4983-A523-C27CAFF08333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6506825"/>
          <a:ext cx="2950845" cy="3108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112939</xdr:colOff>
      <xdr:row>168</xdr:row>
      <xdr:rowOff>15060</xdr:rowOff>
    </xdr:from>
    <xdr:to>
      <xdr:col>16</xdr:col>
      <xdr:colOff>391337</xdr:colOff>
      <xdr:row>194</xdr:row>
      <xdr:rowOff>44904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C9934B-EED7-4213-BD92-084EF1975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37172" y="17731560"/>
          <a:ext cx="8078314" cy="4982844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122</xdr:row>
      <xdr:rowOff>128587</xdr:rowOff>
    </xdr:from>
    <xdr:to>
      <xdr:col>21</xdr:col>
      <xdr:colOff>228600</xdr:colOff>
      <xdr:row>134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AABEC4-114C-4D9E-817C-4B9740A9A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540882</xdr:colOff>
      <xdr:row>150</xdr:row>
      <xdr:rowOff>40140</xdr:rowOff>
    </xdr:from>
    <xdr:to>
      <xdr:col>26</xdr:col>
      <xdr:colOff>119060</xdr:colOff>
      <xdr:row>164</xdr:row>
      <xdr:rowOff>116340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095FFF-50BB-46B7-9A27-2AE3CD136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561293</xdr:colOff>
      <xdr:row>104</xdr:row>
      <xdr:rowOff>135390</xdr:rowOff>
    </xdr:from>
    <xdr:to>
      <xdr:col>29</xdr:col>
      <xdr:colOff>506864</xdr:colOff>
      <xdr:row>118</xdr:row>
      <xdr:rowOff>21090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51CDFF-39F6-4BDD-A33D-E29072B16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274544</xdr:colOff>
      <xdr:row>88</xdr:row>
      <xdr:rowOff>33617</xdr:rowOff>
    </xdr:from>
    <xdr:to>
      <xdr:col>42</xdr:col>
      <xdr:colOff>403412</xdr:colOff>
      <xdr:row>100</xdr:row>
      <xdr:rowOff>110936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96183E-817D-471A-BAAF-D4065B56D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409013</xdr:colOff>
      <xdr:row>261</xdr:row>
      <xdr:rowOff>190499</xdr:rowOff>
    </xdr:from>
    <xdr:to>
      <xdr:col>5</xdr:col>
      <xdr:colOff>638737</xdr:colOff>
      <xdr:row>279</xdr:row>
      <xdr:rowOff>123262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2A81D3-7778-465C-9627-84F914F23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5600</xdr:colOff>
      <xdr:row>262</xdr:row>
      <xdr:rowOff>12325</xdr:rowOff>
    </xdr:from>
    <xdr:to>
      <xdr:col>13</xdr:col>
      <xdr:colOff>952500</xdr:colOff>
      <xdr:row>279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2C0F6D-443B-4E08-889B-FFC81818D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793749</xdr:colOff>
      <xdr:row>281</xdr:row>
      <xdr:rowOff>42334</xdr:rowOff>
    </xdr:from>
    <xdr:to>
      <xdr:col>8</xdr:col>
      <xdr:colOff>179916</xdr:colOff>
      <xdr:row>291</xdr:row>
      <xdr:rowOff>91018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A492F3-9BA9-4563-A37D-8BD5E95AF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222248</xdr:colOff>
      <xdr:row>290</xdr:row>
      <xdr:rowOff>42333</xdr:rowOff>
    </xdr:from>
    <xdr:to>
      <xdr:col>19</xdr:col>
      <xdr:colOff>317499</xdr:colOff>
      <xdr:row>324</xdr:row>
      <xdr:rowOff>42333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D94D17F-09F9-4056-913E-A90ABE48D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486833</xdr:colOff>
      <xdr:row>318</xdr:row>
      <xdr:rowOff>14817</xdr:rowOff>
    </xdr:from>
    <xdr:to>
      <xdr:col>9</xdr:col>
      <xdr:colOff>1449917</xdr:colOff>
      <xdr:row>329</xdr:row>
      <xdr:rowOff>169333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AD6C381-3D5C-4B4D-BA98-C8E6C2F3B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1322917</xdr:colOff>
      <xdr:row>351</xdr:row>
      <xdr:rowOff>14817</xdr:rowOff>
    </xdr:from>
    <xdr:to>
      <xdr:col>5</xdr:col>
      <xdr:colOff>254000</xdr:colOff>
      <xdr:row>365</xdr:row>
      <xdr:rowOff>91017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742B506-DFAA-4614-AEDA-864183247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529167</xdr:colOff>
      <xdr:row>335</xdr:row>
      <xdr:rowOff>184150</xdr:rowOff>
    </xdr:from>
    <xdr:to>
      <xdr:col>16</xdr:col>
      <xdr:colOff>296333</xdr:colOff>
      <xdr:row>350</xdr:row>
      <xdr:rowOff>69850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A8DD73A-C1CB-43B4-A436-16FAF3860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391584</xdr:colOff>
      <xdr:row>429</xdr:row>
      <xdr:rowOff>110067</xdr:rowOff>
    </xdr:from>
    <xdr:to>
      <xdr:col>7</xdr:col>
      <xdr:colOff>169333</xdr:colOff>
      <xdr:row>447</xdr:row>
      <xdr:rowOff>52917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FFD3902-BB7C-4A9F-BE57-FAF692C7D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391584</xdr:colOff>
      <xdr:row>37</xdr:row>
      <xdr:rowOff>10583</xdr:rowOff>
    </xdr:from>
    <xdr:to>
      <xdr:col>7</xdr:col>
      <xdr:colOff>994833</xdr:colOff>
      <xdr:row>46</xdr:row>
      <xdr:rowOff>158750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F6CC940-EB5A-4101-98C0-183EB09E9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75328</xdr:colOff>
      <xdr:row>43</xdr:row>
      <xdr:rowOff>26147</xdr:rowOff>
    </xdr:from>
    <xdr:to>
      <xdr:col>19</xdr:col>
      <xdr:colOff>20544</xdr:colOff>
      <xdr:row>65</xdr:row>
      <xdr:rowOff>89647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ED35FB-8276-436D-B8B8-E7EA860AF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254000</xdr:colOff>
      <xdr:row>1</xdr:row>
      <xdr:rowOff>35984</xdr:rowOff>
    </xdr:from>
    <xdr:to>
      <xdr:col>16</xdr:col>
      <xdr:colOff>63499</xdr:colOff>
      <xdr:row>13</xdr:row>
      <xdr:rowOff>95250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C0D959-C14C-4AB7-89D4-DD54100DE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257736</xdr:colOff>
      <xdr:row>13</xdr:row>
      <xdr:rowOff>178404</xdr:rowOff>
    </xdr:from>
    <xdr:to>
      <xdr:col>23</xdr:col>
      <xdr:colOff>336177</xdr:colOff>
      <xdr:row>27</xdr:row>
      <xdr:rowOff>146653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6BB37D7-4E43-4A15-B305-780F02E37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299357</xdr:colOff>
      <xdr:row>1</xdr:row>
      <xdr:rowOff>22375</xdr:rowOff>
    </xdr:from>
    <xdr:to>
      <xdr:col>23</xdr:col>
      <xdr:colOff>357564</xdr:colOff>
      <xdr:row>13</xdr:row>
      <xdr:rowOff>81643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BAE051E-7916-4FB7-9352-AB4826EE6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291353</xdr:colOff>
      <xdr:row>28</xdr:row>
      <xdr:rowOff>78442</xdr:rowOff>
    </xdr:from>
    <xdr:to>
      <xdr:col>23</xdr:col>
      <xdr:colOff>369795</xdr:colOff>
      <xdr:row>40</xdr:row>
      <xdr:rowOff>56030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B2E3C8-61BD-407A-8EFC-A194A6CD3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7</xdr:row>
      <xdr:rowOff>66675</xdr:rowOff>
    </xdr:from>
    <xdr:to>
      <xdr:col>6</xdr:col>
      <xdr:colOff>38100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109537</xdr:colOff>
      <xdr:row>8</xdr:row>
      <xdr:rowOff>180975</xdr:rowOff>
    </xdr:from>
    <xdr:to>
      <xdr:col>14</xdr:col>
      <xdr:colOff>442912</xdr:colOff>
      <xdr:row>23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12</v>
    <v>80665</v>
    <v>0</v>
  </rv>
  <rv s="1">
    <v>12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field" t="s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zoomScale="85" zoomScaleNormal="85" workbookViewId="0">
      <selection activeCell="P68" sqref="P68"/>
    </sheetView>
  </sheetViews>
  <sheetFormatPr defaultRowHeight="15" x14ac:dyDescent="0.25"/>
  <cols>
    <col min="1" max="1" width="25.28515625" customWidth="1"/>
    <col min="2" max="2" width="20.7109375" customWidth="1"/>
    <col min="3" max="4" width="12.42578125" customWidth="1"/>
    <col min="5" max="5" width="11.42578125" customWidth="1"/>
    <col min="6" max="6" width="21.7109375" customWidth="1"/>
    <col min="7" max="7" width="12.85546875" customWidth="1"/>
    <col min="8" max="8" width="17.5703125" customWidth="1"/>
    <col min="9" max="9" width="16" customWidth="1"/>
    <col min="10" max="10" width="11.28515625" customWidth="1"/>
    <col min="11" max="11" width="14.85546875" customWidth="1"/>
    <col min="12" max="12" width="16.5703125" customWidth="1"/>
    <col min="13" max="13" width="18" bestFit="1" customWidth="1"/>
    <col min="15" max="15" width="12.85546875" customWidth="1"/>
    <col min="16" max="16" width="15.42578125" customWidth="1"/>
    <col min="17" max="17" width="11.85546875" customWidth="1"/>
    <col min="18" max="18" width="11" customWidth="1"/>
    <col min="19" max="22" width="9.42578125" customWidth="1"/>
    <col min="23" max="23" width="11.140625" customWidth="1"/>
    <col min="24" max="24" width="10" customWidth="1"/>
    <col min="25" max="28" width="9.42578125" customWidth="1"/>
  </cols>
  <sheetData>
    <row r="1" spans="1:20" x14ac:dyDescent="0.25">
      <c r="A1" s="6" t="s">
        <v>0</v>
      </c>
      <c r="B1" s="7" t="s">
        <v>1</v>
      </c>
    </row>
    <row r="2" spans="1:20" x14ac:dyDescent="0.25">
      <c r="A2" s="8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5"/>
    </row>
    <row r="3" spans="1:20" ht="32.25" customHeight="1" thickBot="1" x14ac:dyDescent="0.3">
      <c r="A3" s="10" t="s">
        <v>2</v>
      </c>
      <c r="B3" s="11" t="s">
        <v>6</v>
      </c>
      <c r="C3" s="11" t="s">
        <v>7</v>
      </c>
      <c r="D3" s="11" t="s">
        <v>5</v>
      </c>
      <c r="E3" s="11" t="s">
        <v>8</v>
      </c>
      <c r="F3" s="11" t="s">
        <v>4</v>
      </c>
      <c r="G3" s="95" t="s">
        <v>210</v>
      </c>
      <c r="H3" s="11" t="s">
        <v>15</v>
      </c>
      <c r="I3" s="11" t="s">
        <v>13</v>
      </c>
      <c r="J3" s="95" t="s">
        <v>14</v>
      </c>
      <c r="K3" s="11" t="s">
        <v>9</v>
      </c>
      <c r="L3" s="11" t="s">
        <v>16</v>
      </c>
      <c r="M3" s="95" t="s">
        <v>211</v>
      </c>
      <c r="N3" s="11" t="s">
        <v>10</v>
      </c>
      <c r="O3" s="11" t="s">
        <v>11</v>
      </c>
      <c r="P3" s="11" t="s">
        <v>12</v>
      </c>
      <c r="Q3" s="11" t="s">
        <v>17</v>
      </c>
      <c r="R3" s="18" t="s">
        <v>72</v>
      </c>
      <c r="S3" s="18" t="s">
        <v>69</v>
      </c>
    </row>
    <row r="4" spans="1:20" ht="15.75" thickBot="1" x14ac:dyDescent="0.3">
      <c r="A4" s="48" t="s">
        <v>3</v>
      </c>
      <c r="B4" s="49">
        <v>200</v>
      </c>
      <c r="C4" s="49">
        <v>128</v>
      </c>
      <c r="D4" s="49">
        <v>1</v>
      </c>
      <c r="E4" s="49">
        <v>1</v>
      </c>
      <c r="F4" s="49">
        <v>0.5</v>
      </c>
      <c r="G4" s="50">
        <f>F4*1000</f>
        <v>500</v>
      </c>
      <c r="H4" s="50">
        <f t="shared" ref="H4:H12" si="0">(B4*C4)*E4</f>
        <v>25600</v>
      </c>
      <c r="I4" s="51">
        <f t="shared" ref="I4:I12" si="1">(D4/H4)*1000</f>
        <v>3.90625E-2</v>
      </c>
      <c r="J4" s="52">
        <f t="shared" ref="J4:J12" si="2">I4*1000</f>
        <v>39.0625</v>
      </c>
      <c r="K4" s="50">
        <f t="shared" ref="K4:K12" si="3">(D4*1000)/F4</f>
        <v>2000</v>
      </c>
      <c r="L4" s="52">
        <f t="shared" ref="L4:L12" si="4">H4/K4</f>
        <v>12.8</v>
      </c>
      <c r="M4" s="50">
        <f t="shared" ref="M4:M12" si="5">L4*100000</f>
        <v>1280000</v>
      </c>
      <c r="N4" s="49">
        <v>2</v>
      </c>
      <c r="O4" s="52">
        <f t="shared" ref="O4:O12" si="6">CONVERT(N4,"in","mm")</f>
        <v>50.8</v>
      </c>
      <c r="P4" s="50">
        <f t="shared" ref="P4:P12" si="7">(O4*1000)/I4</f>
        <v>1300480</v>
      </c>
      <c r="Q4" s="53">
        <f t="shared" ref="Q4:Q12" si="8">LOG(P4) / LOG(2)</f>
        <v>20.310612781659529</v>
      </c>
      <c r="R4" s="54">
        <v>1</v>
      </c>
      <c r="S4" s="55">
        <f>(R4*H4)/C4</f>
        <v>200</v>
      </c>
    </row>
    <row r="5" spans="1:20" ht="15.75" thickBot="1" x14ac:dyDescent="0.3">
      <c r="A5" s="13" t="s">
        <v>151</v>
      </c>
      <c r="B5" s="43">
        <v>200</v>
      </c>
      <c r="C5" s="43">
        <v>64</v>
      </c>
      <c r="D5" s="43">
        <v>1</v>
      </c>
      <c r="E5" s="43">
        <v>1</v>
      </c>
      <c r="F5" s="43">
        <v>0.5</v>
      </c>
      <c r="G5" s="50">
        <f t="shared" ref="G5:G10" si="9">F5*1000</f>
        <v>500</v>
      </c>
      <c r="H5" s="44">
        <f t="shared" si="0"/>
        <v>12800</v>
      </c>
      <c r="I5" s="45">
        <f t="shared" si="1"/>
        <v>7.8125E-2</v>
      </c>
      <c r="J5" s="46">
        <f t="shared" si="2"/>
        <v>78.125</v>
      </c>
      <c r="K5" s="44">
        <f t="shared" si="3"/>
        <v>2000</v>
      </c>
      <c r="L5" s="46">
        <f t="shared" si="4"/>
        <v>6.4</v>
      </c>
      <c r="M5" s="44">
        <f t="shared" si="5"/>
        <v>640000</v>
      </c>
      <c r="N5" s="43">
        <v>2</v>
      </c>
      <c r="O5" s="46">
        <f t="shared" si="6"/>
        <v>50.8</v>
      </c>
      <c r="P5" s="44">
        <f t="shared" si="7"/>
        <v>650240</v>
      </c>
      <c r="Q5" s="47">
        <f t="shared" si="8"/>
        <v>19.310612781659529</v>
      </c>
      <c r="R5" s="15"/>
    </row>
    <row r="6" spans="1:20" ht="15.75" thickBot="1" x14ac:dyDescent="0.3">
      <c r="A6" s="56" t="s">
        <v>153</v>
      </c>
      <c r="B6" s="57">
        <v>200</v>
      </c>
      <c r="C6" s="57">
        <v>64</v>
      </c>
      <c r="D6" s="57">
        <v>1</v>
      </c>
      <c r="E6" s="57">
        <v>1</v>
      </c>
      <c r="F6" s="57">
        <v>0.5</v>
      </c>
      <c r="G6" s="50">
        <f t="shared" si="9"/>
        <v>500</v>
      </c>
      <c r="H6" s="58">
        <f t="shared" si="0"/>
        <v>12800</v>
      </c>
      <c r="I6" s="59">
        <f t="shared" si="1"/>
        <v>7.8125E-2</v>
      </c>
      <c r="J6" s="60">
        <f t="shared" si="2"/>
        <v>78.125</v>
      </c>
      <c r="K6" s="58">
        <f t="shared" si="3"/>
        <v>2000</v>
      </c>
      <c r="L6" s="60">
        <f t="shared" si="4"/>
        <v>6.4</v>
      </c>
      <c r="M6" s="58">
        <f t="shared" si="5"/>
        <v>640000</v>
      </c>
      <c r="N6" s="57">
        <v>6</v>
      </c>
      <c r="O6" s="60">
        <f t="shared" si="6"/>
        <v>152.4</v>
      </c>
      <c r="P6" s="58">
        <f t="shared" si="7"/>
        <v>1950720</v>
      </c>
      <c r="Q6" s="61">
        <f t="shared" si="8"/>
        <v>20.895575282380683</v>
      </c>
      <c r="R6" s="62"/>
      <c r="S6" s="62"/>
    </row>
    <row r="7" spans="1:20" ht="16.5" thickTop="1" thickBot="1" x14ac:dyDescent="0.3">
      <c r="A7" s="13" t="s">
        <v>152</v>
      </c>
      <c r="B7" s="43">
        <v>200</v>
      </c>
      <c r="C7" s="43">
        <v>128</v>
      </c>
      <c r="D7" s="43">
        <v>1</v>
      </c>
      <c r="E7" s="43">
        <v>1</v>
      </c>
      <c r="F7" s="43">
        <v>0.1</v>
      </c>
      <c r="G7" s="50">
        <f t="shared" si="9"/>
        <v>100</v>
      </c>
      <c r="H7" s="44">
        <f t="shared" si="0"/>
        <v>25600</v>
      </c>
      <c r="I7" s="45">
        <f t="shared" si="1"/>
        <v>3.90625E-2</v>
      </c>
      <c r="J7" s="46">
        <f t="shared" si="2"/>
        <v>39.0625</v>
      </c>
      <c r="K7" s="44">
        <f t="shared" si="3"/>
        <v>10000</v>
      </c>
      <c r="L7" s="46">
        <f t="shared" si="4"/>
        <v>2.56</v>
      </c>
      <c r="M7" s="44">
        <f t="shared" si="5"/>
        <v>256000</v>
      </c>
      <c r="N7" s="43">
        <v>2</v>
      </c>
      <c r="O7" s="46">
        <f t="shared" si="6"/>
        <v>50.8</v>
      </c>
      <c r="P7" s="44">
        <f t="shared" si="7"/>
        <v>1300480</v>
      </c>
      <c r="Q7" s="47">
        <f t="shared" si="8"/>
        <v>20.310612781659529</v>
      </c>
      <c r="R7" s="15"/>
    </row>
    <row r="8" spans="1:20" ht="15.75" thickBot="1" x14ac:dyDescent="0.3">
      <c r="A8" s="13" t="s">
        <v>154</v>
      </c>
      <c r="B8" s="12">
        <v>200</v>
      </c>
      <c r="C8" s="12">
        <v>16</v>
      </c>
      <c r="D8" s="12">
        <v>1</v>
      </c>
      <c r="E8" s="12">
        <v>5</v>
      </c>
      <c r="F8" s="12">
        <v>0.5</v>
      </c>
      <c r="G8" s="50">
        <f t="shared" si="9"/>
        <v>500</v>
      </c>
      <c r="H8" s="3">
        <f t="shared" si="0"/>
        <v>16000</v>
      </c>
      <c r="I8" s="5">
        <f t="shared" si="1"/>
        <v>6.25E-2</v>
      </c>
      <c r="J8" s="4">
        <f t="shared" si="2"/>
        <v>62.5</v>
      </c>
      <c r="K8" s="3">
        <f t="shared" si="3"/>
        <v>2000</v>
      </c>
      <c r="L8" s="4">
        <f t="shared" si="4"/>
        <v>8</v>
      </c>
      <c r="M8" s="3">
        <f t="shared" si="5"/>
        <v>800000</v>
      </c>
      <c r="N8" s="12">
        <v>5</v>
      </c>
      <c r="O8" s="4">
        <f t="shared" si="6"/>
        <v>127</v>
      </c>
      <c r="P8" s="3">
        <f t="shared" si="7"/>
        <v>2032000</v>
      </c>
      <c r="Q8" s="21">
        <f t="shared" si="8"/>
        <v>20.954468971434252</v>
      </c>
      <c r="R8" s="15"/>
      <c r="T8" t="s">
        <v>207</v>
      </c>
    </row>
    <row r="9" spans="1:20" ht="15.75" thickBot="1" x14ac:dyDescent="0.3">
      <c r="A9" s="13" t="s">
        <v>208</v>
      </c>
      <c r="B9" s="12">
        <v>200</v>
      </c>
      <c r="C9" s="12">
        <v>128</v>
      </c>
      <c r="D9" s="12">
        <v>1</v>
      </c>
      <c r="E9" s="12">
        <v>1</v>
      </c>
      <c r="F9" s="12">
        <v>1</v>
      </c>
      <c r="G9" s="50">
        <f t="shared" si="9"/>
        <v>1000</v>
      </c>
      <c r="H9" s="3">
        <f t="shared" si="0"/>
        <v>25600</v>
      </c>
      <c r="I9" s="5">
        <f t="shared" si="1"/>
        <v>3.90625E-2</v>
      </c>
      <c r="J9" s="4">
        <f t="shared" si="2"/>
        <v>39.0625</v>
      </c>
      <c r="K9" s="3">
        <f t="shared" si="3"/>
        <v>1000</v>
      </c>
      <c r="L9" s="4">
        <f t="shared" si="4"/>
        <v>25.6</v>
      </c>
      <c r="M9" s="3">
        <f t="shared" si="5"/>
        <v>2560000</v>
      </c>
      <c r="N9" s="12">
        <v>5</v>
      </c>
      <c r="O9" s="4">
        <f t="shared" si="6"/>
        <v>127</v>
      </c>
      <c r="P9" s="3">
        <f t="shared" si="7"/>
        <v>3251200</v>
      </c>
      <c r="Q9" s="21">
        <f t="shared" si="8"/>
        <v>21.632540876546891</v>
      </c>
      <c r="R9" s="15"/>
    </row>
    <row r="10" spans="1:20" ht="15.75" thickBot="1" x14ac:dyDescent="0.3">
      <c r="A10" s="13" t="s">
        <v>209</v>
      </c>
      <c r="B10" s="12">
        <v>200</v>
      </c>
      <c r="C10" s="12">
        <v>128</v>
      </c>
      <c r="D10" s="12">
        <v>0.1</v>
      </c>
      <c r="E10" s="94">
        <v>5</v>
      </c>
      <c r="F10" s="12">
        <v>1</v>
      </c>
      <c r="G10" s="50">
        <f t="shared" si="9"/>
        <v>1000</v>
      </c>
      <c r="H10" s="3">
        <f t="shared" si="0"/>
        <v>128000</v>
      </c>
      <c r="I10" s="5">
        <f t="shared" si="1"/>
        <v>7.8125000000000004E-4</v>
      </c>
      <c r="J10" s="4">
        <f t="shared" si="2"/>
        <v>0.78125</v>
      </c>
      <c r="K10" s="3">
        <f t="shared" si="3"/>
        <v>100</v>
      </c>
      <c r="L10" s="4">
        <f t="shared" si="4"/>
        <v>1280</v>
      </c>
      <c r="M10" s="3">
        <f t="shared" si="5"/>
        <v>128000000</v>
      </c>
      <c r="N10" s="12">
        <v>5</v>
      </c>
      <c r="O10" s="4">
        <f t="shared" si="6"/>
        <v>127</v>
      </c>
      <c r="P10" s="3">
        <f t="shared" si="7"/>
        <v>162560000</v>
      </c>
      <c r="Q10" s="21">
        <f t="shared" si="8"/>
        <v>27.276397066321618</v>
      </c>
      <c r="R10" s="15"/>
    </row>
    <row r="11" spans="1:20" ht="15.75" thickBot="1" x14ac:dyDescent="0.3">
      <c r="A11" s="13" t="s">
        <v>262</v>
      </c>
      <c r="B11" s="12">
        <v>200</v>
      </c>
      <c r="C11" s="12">
        <v>64</v>
      </c>
      <c r="D11" s="12">
        <v>1</v>
      </c>
      <c r="E11" s="94">
        <v>5</v>
      </c>
      <c r="F11" s="12">
        <v>0.5</v>
      </c>
      <c r="G11" s="50">
        <f t="shared" ref="G11:G18" si="10">F11*1000</f>
        <v>500</v>
      </c>
      <c r="H11" s="3">
        <f t="shared" si="0"/>
        <v>64000</v>
      </c>
      <c r="I11" s="5">
        <f t="shared" si="1"/>
        <v>1.5625E-2</v>
      </c>
      <c r="J11" s="4">
        <f t="shared" si="2"/>
        <v>15.625</v>
      </c>
      <c r="K11" s="3">
        <f t="shared" si="3"/>
        <v>2000</v>
      </c>
      <c r="L11" s="4">
        <f t="shared" si="4"/>
        <v>32</v>
      </c>
      <c r="M11" s="3">
        <f t="shared" si="5"/>
        <v>3200000</v>
      </c>
      <c r="N11" s="12">
        <v>5</v>
      </c>
      <c r="O11" s="4">
        <f t="shared" si="6"/>
        <v>127</v>
      </c>
      <c r="P11" s="3">
        <f t="shared" si="7"/>
        <v>8128000</v>
      </c>
      <c r="Q11" s="21">
        <f t="shared" si="8"/>
        <v>22.954468971434252</v>
      </c>
      <c r="R11" s="15"/>
    </row>
    <row r="12" spans="1:20" s="106" customFormat="1" ht="15.75" thickBot="1" x14ac:dyDescent="0.3">
      <c r="A12" s="13" t="s">
        <v>263</v>
      </c>
      <c r="B12" s="12">
        <v>200</v>
      </c>
      <c r="C12" s="12">
        <v>128</v>
      </c>
      <c r="D12" s="12">
        <v>1</v>
      </c>
      <c r="E12" s="94">
        <v>1</v>
      </c>
      <c r="F12" s="12">
        <v>0.1</v>
      </c>
      <c r="G12" s="50">
        <f t="shared" ref="G12" si="11">F12*1000</f>
        <v>100</v>
      </c>
      <c r="H12" s="3">
        <f t="shared" si="0"/>
        <v>25600</v>
      </c>
      <c r="I12" s="5">
        <f t="shared" si="1"/>
        <v>3.90625E-2</v>
      </c>
      <c r="J12" s="4">
        <f t="shared" si="2"/>
        <v>39.0625</v>
      </c>
      <c r="K12" s="3">
        <f t="shared" si="3"/>
        <v>10000</v>
      </c>
      <c r="L12" s="4">
        <f t="shared" si="4"/>
        <v>2.56</v>
      </c>
      <c r="M12" s="3">
        <f t="shared" si="5"/>
        <v>256000</v>
      </c>
      <c r="N12" s="12">
        <v>5</v>
      </c>
      <c r="O12" s="4">
        <f t="shared" si="6"/>
        <v>127</v>
      </c>
      <c r="P12" s="3">
        <f t="shared" si="7"/>
        <v>3251200</v>
      </c>
      <c r="Q12" s="21">
        <f t="shared" si="8"/>
        <v>21.632540876546891</v>
      </c>
      <c r="R12" s="105"/>
    </row>
    <row r="13" spans="1:20" s="106" customFormat="1" ht="15.75" thickBot="1" x14ac:dyDescent="0.3">
      <c r="A13" s="13" t="s">
        <v>263</v>
      </c>
      <c r="B13" s="12">
        <v>200</v>
      </c>
      <c r="C13" s="12">
        <v>128</v>
      </c>
      <c r="D13" s="12">
        <v>1</v>
      </c>
      <c r="E13" s="94">
        <v>1</v>
      </c>
      <c r="F13" s="12">
        <v>0.5</v>
      </c>
      <c r="G13" s="50">
        <f t="shared" si="10"/>
        <v>500</v>
      </c>
      <c r="H13" s="3">
        <f t="shared" ref="H13:H18" si="12">(B13*C13)*E13</f>
        <v>25600</v>
      </c>
      <c r="I13" s="5">
        <f t="shared" ref="I13:I18" si="13">(D13/H13)*1000</f>
        <v>3.90625E-2</v>
      </c>
      <c r="J13" s="4">
        <f t="shared" ref="J13:J18" si="14">I13*1000</f>
        <v>39.0625</v>
      </c>
      <c r="K13" s="3">
        <f t="shared" ref="K13:K18" si="15">(D13*1000)/F13</f>
        <v>2000</v>
      </c>
      <c r="L13" s="4">
        <f t="shared" ref="L13:L18" si="16">H13/K13</f>
        <v>12.8</v>
      </c>
      <c r="M13" s="3">
        <f t="shared" ref="M13:M18" si="17">L13*100000</f>
        <v>1280000</v>
      </c>
      <c r="N13" s="12">
        <v>5</v>
      </c>
      <c r="O13" s="4">
        <f t="shared" ref="O13:O18" si="18">CONVERT(N13,"in","mm")</f>
        <v>127</v>
      </c>
      <c r="P13" s="3">
        <f t="shared" ref="P13:P18" si="19">(O13*1000)/I13</f>
        <v>3251200</v>
      </c>
      <c r="Q13" s="21">
        <f t="shared" ref="Q13:Q18" si="20">LOG(P13) / LOG(2)</f>
        <v>21.632540876546891</v>
      </c>
      <c r="R13" s="105"/>
    </row>
    <row r="14" spans="1:20" ht="15.75" thickBot="1" x14ac:dyDescent="0.3">
      <c r="A14" s="13" t="s">
        <v>212</v>
      </c>
      <c r="B14" s="12">
        <v>200</v>
      </c>
      <c r="C14" s="12">
        <v>64</v>
      </c>
      <c r="D14" s="12">
        <v>1</v>
      </c>
      <c r="E14" s="94">
        <v>5</v>
      </c>
      <c r="F14" s="12">
        <v>0.1</v>
      </c>
      <c r="G14" s="50">
        <f t="shared" si="10"/>
        <v>100</v>
      </c>
      <c r="H14" s="3">
        <f t="shared" si="12"/>
        <v>64000</v>
      </c>
      <c r="I14" s="5">
        <f t="shared" si="13"/>
        <v>1.5625E-2</v>
      </c>
      <c r="J14" s="4">
        <f t="shared" si="14"/>
        <v>15.625</v>
      </c>
      <c r="K14" s="3">
        <f t="shared" si="15"/>
        <v>10000</v>
      </c>
      <c r="L14" s="4">
        <f t="shared" si="16"/>
        <v>6.4</v>
      </c>
      <c r="M14" s="3">
        <f t="shared" si="17"/>
        <v>640000</v>
      </c>
      <c r="N14" s="12">
        <v>2</v>
      </c>
      <c r="O14" s="4">
        <f t="shared" si="18"/>
        <v>50.8</v>
      </c>
      <c r="P14" s="3">
        <f t="shared" si="19"/>
        <v>3251200</v>
      </c>
      <c r="Q14" s="21">
        <f t="shared" si="20"/>
        <v>21.632540876546891</v>
      </c>
      <c r="R14" s="15"/>
    </row>
    <row r="15" spans="1:20" ht="15.75" thickBot="1" x14ac:dyDescent="0.3">
      <c r="A15" s="13" t="s">
        <v>269</v>
      </c>
      <c r="B15" s="12">
        <v>200</v>
      </c>
      <c r="C15" s="12">
        <v>64</v>
      </c>
      <c r="D15" s="12">
        <v>1</v>
      </c>
      <c r="E15" s="94">
        <v>5</v>
      </c>
      <c r="F15" s="12">
        <v>0.1</v>
      </c>
      <c r="G15" s="50">
        <f t="shared" si="10"/>
        <v>100</v>
      </c>
      <c r="H15" s="3">
        <f t="shared" si="12"/>
        <v>64000</v>
      </c>
      <c r="I15" s="5">
        <f t="shared" si="13"/>
        <v>1.5625E-2</v>
      </c>
      <c r="J15" s="4">
        <f t="shared" si="14"/>
        <v>15.625</v>
      </c>
      <c r="K15" s="3">
        <f t="shared" si="15"/>
        <v>10000</v>
      </c>
      <c r="L15" s="4">
        <f t="shared" si="16"/>
        <v>6.4</v>
      </c>
      <c r="M15" s="3">
        <f t="shared" si="17"/>
        <v>640000</v>
      </c>
      <c r="N15" s="12">
        <v>2</v>
      </c>
      <c r="O15" s="4">
        <f t="shared" si="18"/>
        <v>50.8</v>
      </c>
      <c r="P15" s="3">
        <f t="shared" si="19"/>
        <v>3251200</v>
      </c>
      <c r="Q15" s="21">
        <f t="shared" si="20"/>
        <v>21.632540876546891</v>
      </c>
      <c r="R15" s="15"/>
    </row>
    <row r="16" spans="1:20" ht="15.75" thickBot="1" x14ac:dyDescent="0.3">
      <c r="A16" s="102" t="s">
        <v>259</v>
      </c>
      <c r="B16" s="12">
        <v>200</v>
      </c>
      <c r="C16" s="12">
        <v>128</v>
      </c>
      <c r="D16" s="12">
        <v>1</v>
      </c>
      <c r="E16" s="94">
        <v>1</v>
      </c>
      <c r="F16" s="12">
        <f>1000/(500*4)</f>
        <v>0.5</v>
      </c>
      <c r="G16" s="50">
        <f t="shared" si="10"/>
        <v>500</v>
      </c>
      <c r="H16" s="3">
        <f t="shared" si="12"/>
        <v>25600</v>
      </c>
      <c r="I16" s="5">
        <f t="shared" si="13"/>
        <v>3.90625E-2</v>
      </c>
      <c r="J16" s="4">
        <f t="shared" si="14"/>
        <v>39.0625</v>
      </c>
      <c r="K16" s="3">
        <f t="shared" si="15"/>
        <v>2000</v>
      </c>
      <c r="L16" s="4">
        <f t="shared" si="16"/>
        <v>12.8</v>
      </c>
      <c r="M16" s="3">
        <f t="shared" si="17"/>
        <v>1280000</v>
      </c>
      <c r="N16" s="12">
        <v>1</v>
      </c>
      <c r="O16" s="4">
        <f t="shared" si="18"/>
        <v>25.4</v>
      </c>
      <c r="P16" s="3">
        <f t="shared" si="19"/>
        <v>650240</v>
      </c>
      <c r="Q16" s="21">
        <f t="shared" si="20"/>
        <v>19.310612781659529</v>
      </c>
      <c r="R16" s="15"/>
    </row>
    <row r="17" spans="1:20" ht="15.75" thickBot="1" x14ac:dyDescent="0.3">
      <c r="A17" s="102" t="s">
        <v>260</v>
      </c>
      <c r="B17" s="12">
        <v>200</v>
      </c>
      <c r="C17" s="12">
        <v>128</v>
      </c>
      <c r="D17" s="12">
        <f>0.0015*200</f>
        <v>0.3</v>
      </c>
      <c r="E17" s="94">
        <v>1</v>
      </c>
      <c r="F17" s="12">
        <f>1000*D17/(360*4)</f>
        <v>0.20833333333333334</v>
      </c>
      <c r="G17" s="50">
        <f t="shared" si="10"/>
        <v>208.33333333333334</v>
      </c>
      <c r="H17" s="3">
        <f t="shared" si="12"/>
        <v>25600</v>
      </c>
      <c r="I17" s="5">
        <f t="shared" si="13"/>
        <v>1.171875E-2</v>
      </c>
      <c r="J17" s="4">
        <f t="shared" si="14"/>
        <v>11.71875</v>
      </c>
      <c r="K17" s="3">
        <f t="shared" si="15"/>
        <v>1440</v>
      </c>
      <c r="L17" s="4">
        <f t="shared" si="16"/>
        <v>17.777777777777779</v>
      </c>
      <c r="M17" s="3">
        <f t="shared" si="17"/>
        <v>1777777.7777777778</v>
      </c>
      <c r="N17" s="12">
        <v>1</v>
      </c>
      <c r="O17" s="4">
        <f t="shared" si="18"/>
        <v>25.4</v>
      </c>
      <c r="P17" s="3">
        <f t="shared" si="19"/>
        <v>2167466.6666666665</v>
      </c>
      <c r="Q17" s="21">
        <f t="shared" si="20"/>
        <v>21.047578375825733</v>
      </c>
      <c r="R17" s="15"/>
    </row>
    <row r="18" spans="1:20" ht="15.75" thickBot="1" x14ac:dyDescent="0.3">
      <c r="A18" s="13" t="s">
        <v>303</v>
      </c>
      <c r="B18" s="12">
        <v>200</v>
      </c>
      <c r="C18" s="12">
        <v>128</v>
      </c>
      <c r="D18" s="12">
        <v>1</v>
      </c>
      <c r="E18" s="94">
        <v>5</v>
      </c>
      <c r="F18" s="12">
        <v>0.01</v>
      </c>
      <c r="G18" s="50">
        <f t="shared" si="10"/>
        <v>10</v>
      </c>
      <c r="H18" s="3">
        <f t="shared" si="12"/>
        <v>128000</v>
      </c>
      <c r="I18" s="5">
        <f t="shared" si="13"/>
        <v>7.8125E-3</v>
      </c>
      <c r="J18" s="4">
        <f t="shared" si="14"/>
        <v>7.8125</v>
      </c>
      <c r="K18" s="3">
        <f t="shared" si="15"/>
        <v>100000</v>
      </c>
      <c r="L18" s="4">
        <f t="shared" si="16"/>
        <v>1.28</v>
      </c>
      <c r="M18" s="3">
        <f t="shared" si="17"/>
        <v>128000</v>
      </c>
      <c r="N18" s="12">
        <v>2</v>
      </c>
      <c r="O18" s="4">
        <f t="shared" si="18"/>
        <v>50.8</v>
      </c>
      <c r="P18" s="3">
        <f t="shared" si="19"/>
        <v>6502400</v>
      </c>
      <c r="Q18" s="21">
        <f t="shared" si="20"/>
        <v>22.632540876546891</v>
      </c>
      <c r="R18" s="15"/>
    </row>
    <row r="19" spans="1:20" s="106" customFormat="1" ht="15.75" thickBot="1" x14ac:dyDescent="0.3">
      <c r="A19" s="13" t="s">
        <v>328</v>
      </c>
      <c r="B19" s="12">
        <v>200</v>
      </c>
      <c r="C19" s="12">
        <v>128</v>
      </c>
      <c r="D19" s="12">
        <v>1</v>
      </c>
      <c r="E19" s="94">
        <v>1</v>
      </c>
      <c r="F19" s="12">
        <v>1</v>
      </c>
      <c r="G19" s="50">
        <f t="shared" ref="G19" si="21">F19*1000</f>
        <v>1000</v>
      </c>
      <c r="H19" s="3">
        <f t="shared" ref="H19" si="22">(B19*C19)*E19</f>
        <v>25600</v>
      </c>
      <c r="I19" s="5">
        <f t="shared" ref="I19" si="23">(D19/H19)*1000</f>
        <v>3.90625E-2</v>
      </c>
      <c r="J19" s="4">
        <f t="shared" ref="J19" si="24">I19*1000</f>
        <v>39.0625</v>
      </c>
      <c r="K19" s="3">
        <f t="shared" ref="K19" si="25">(D19*1000)/F19</f>
        <v>1000</v>
      </c>
      <c r="L19" s="4">
        <f t="shared" ref="L19" si="26">H19/K19</f>
        <v>25.6</v>
      </c>
      <c r="M19" s="3">
        <f t="shared" ref="M19" si="27">L19*100000</f>
        <v>2560000</v>
      </c>
      <c r="N19" s="12">
        <v>5</v>
      </c>
      <c r="O19" s="4">
        <f t="shared" ref="O19" si="28">CONVERT(N19,"in","mm")</f>
        <v>127</v>
      </c>
      <c r="P19" s="3">
        <f t="shared" ref="P19" si="29">(O19*1000)/I19</f>
        <v>3251200</v>
      </c>
      <c r="Q19" s="21">
        <f t="shared" ref="Q19" si="30">LOG(P19) / LOG(2)</f>
        <v>21.632540876546891</v>
      </c>
      <c r="R19" s="105"/>
    </row>
    <row r="20" spans="1:20" ht="15.75" thickBot="1" x14ac:dyDescent="0.3">
      <c r="A20" s="13" t="s">
        <v>697</v>
      </c>
      <c r="B20" s="12">
        <v>200</v>
      </c>
      <c r="C20" s="12">
        <v>128</v>
      </c>
      <c r="D20" s="190">
        <f>B20*0.0015</f>
        <v>0.3</v>
      </c>
      <c r="E20" s="94">
        <v>1</v>
      </c>
      <c r="F20" s="12">
        <f>(D20*1000)/(360*4)</f>
        <v>0.20833333333333334</v>
      </c>
      <c r="G20" s="50">
        <f t="shared" ref="G20" si="31">F20*1000</f>
        <v>208.33333333333334</v>
      </c>
      <c r="H20" s="3">
        <f t="shared" ref="H20" si="32">(B20*C20)*E20</f>
        <v>25600</v>
      </c>
      <c r="I20" s="5">
        <f t="shared" ref="I20" si="33">(D20/H20)*1000</f>
        <v>1.171875E-2</v>
      </c>
      <c r="J20" s="189">
        <f t="shared" ref="J20" si="34">I20*1000</f>
        <v>11.71875</v>
      </c>
      <c r="K20" s="3">
        <f t="shared" ref="K20" si="35">(D20*1000)/F20</f>
        <v>1440</v>
      </c>
      <c r="L20" s="4">
        <f t="shared" ref="L20" si="36">H20/K20</f>
        <v>17.777777777777779</v>
      </c>
      <c r="M20" s="3">
        <f t="shared" ref="M20" si="37">L20*100000</f>
        <v>1777777.7777777778</v>
      </c>
      <c r="N20" s="12">
        <v>5</v>
      </c>
      <c r="O20" s="4">
        <f t="shared" ref="O20" si="38">CONVERT(N20,"in","mm")</f>
        <v>127</v>
      </c>
      <c r="P20" s="3">
        <f t="shared" ref="P20" si="39">(O20*1000)/I20</f>
        <v>10837333.333333334</v>
      </c>
      <c r="Q20" s="21">
        <f t="shared" ref="Q20" si="40">LOG(P20) / LOG(2)</f>
        <v>23.369506470713095</v>
      </c>
    </row>
    <row r="21" spans="1:20" ht="15.75" thickBot="1" x14ac:dyDescent="0.3">
      <c r="A21" s="13" t="s">
        <v>698</v>
      </c>
      <c r="B21" s="12">
        <v>200</v>
      </c>
      <c r="C21" s="12">
        <v>128</v>
      </c>
      <c r="D21" s="190">
        <f>B21*0.0015</f>
        <v>0.3</v>
      </c>
      <c r="E21" s="94">
        <v>1</v>
      </c>
      <c r="F21" s="12">
        <f>(D21*1000)/(360*4)</f>
        <v>0.20833333333333334</v>
      </c>
      <c r="G21" s="191">
        <v>211</v>
      </c>
      <c r="H21" s="3">
        <f t="shared" ref="H21" si="41">(B21*C21)*E21</f>
        <v>25600</v>
      </c>
      <c r="I21" s="5">
        <f t="shared" ref="I21" si="42">(D21/H21)*1000</f>
        <v>1.171875E-2</v>
      </c>
      <c r="J21" s="189">
        <f t="shared" ref="J21" si="43">I21*1000</f>
        <v>11.71875</v>
      </c>
      <c r="K21" s="3">
        <f t="shared" ref="K21" si="44">(D21*1000)/F21</f>
        <v>1440</v>
      </c>
      <c r="L21" s="4">
        <f t="shared" ref="L21" si="45">H21/K21</f>
        <v>17.777777777777779</v>
      </c>
      <c r="M21" s="3">
        <f t="shared" ref="M21" si="46">L21*100000</f>
        <v>1777777.7777777778</v>
      </c>
      <c r="N21" s="12">
        <v>5</v>
      </c>
      <c r="O21" s="4">
        <f t="shared" ref="O21" si="47">CONVERT(N21,"in","mm")</f>
        <v>127</v>
      </c>
      <c r="P21" s="3">
        <f t="shared" ref="P21" si="48">(O21*1000)/I21</f>
        <v>10837333.333333334</v>
      </c>
      <c r="Q21" s="21">
        <f t="shared" ref="Q21" si="49">LOG(P21) / LOG(2)</f>
        <v>23.369506470713095</v>
      </c>
    </row>
    <row r="22" spans="1:20" ht="15.75" thickBot="1" x14ac:dyDescent="0.3">
      <c r="A22" s="104" t="s">
        <v>162</v>
      </c>
      <c r="B22" s="103" t="s">
        <v>6</v>
      </c>
      <c r="C22" s="103" t="s">
        <v>7</v>
      </c>
      <c r="D22" s="14"/>
      <c r="E22" s="14"/>
      <c r="F22" s="10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20" ht="15.75" thickBot="1" x14ac:dyDescent="0.3">
      <c r="A23" s="104" t="s">
        <v>261</v>
      </c>
      <c r="B23" s="49">
        <v>200</v>
      </c>
      <c r="C23" s="49">
        <v>128</v>
      </c>
      <c r="D23" s="49">
        <v>1</v>
      </c>
      <c r="E23" s="49">
        <v>1</v>
      </c>
      <c r="F23" s="49"/>
      <c r="G23" s="50"/>
      <c r="H23" s="50">
        <f>(B23*C23)*E23</f>
        <v>25600</v>
      </c>
      <c r="I23" s="51"/>
      <c r="J23" s="52"/>
      <c r="K23" s="50">
        <f>360*4</f>
        <v>1440</v>
      </c>
      <c r="L23" s="52">
        <f>H23/K23</f>
        <v>17.777777777777779</v>
      </c>
      <c r="M23" s="50">
        <f>L23*100000</f>
        <v>1777777.7777777778</v>
      </c>
      <c r="N23" s="49">
        <v>151</v>
      </c>
      <c r="O23" s="52">
        <f>N23*L23</f>
        <v>2684.4444444444443</v>
      </c>
      <c r="P23" s="50"/>
      <c r="Q23" s="53"/>
    </row>
    <row r="24" spans="1:20" x14ac:dyDescent="0.25">
      <c r="A24" s="104"/>
      <c r="B24" s="14"/>
      <c r="C24" s="14"/>
      <c r="D24" s="14"/>
      <c r="E24" s="14"/>
      <c r="F24" s="14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20" ht="15.75" thickBot="1" x14ac:dyDescent="0.3">
      <c r="A25" s="15"/>
      <c r="B25" s="14"/>
      <c r="C25" s="14"/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20" x14ac:dyDescent="0.25">
      <c r="B26" s="2"/>
      <c r="C26" s="2"/>
      <c r="D26" s="2"/>
      <c r="E26" s="2"/>
      <c r="F26" s="221" t="s">
        <v>198</v>
      </c>
      <c r="G26" s="75" t="s">
        <v>196</v>
      </c>
      <c r="H26" s="76" t="s">
        <v>197</v>
      </c>
      <c r="M26" s="74"/>
      <c r="N26" s="75"/>
      <c r="O26" s="80" t="s">
        <v>179</v>
      </c>
      <c r="P26" s="81" t="s">
        <v>180</v>
      </c>
      <c r="Q26" s="74"/>
      <c r="R26" s="75"/>
      <c r="S26" s="80" t="s">
        <v>180</v>
      </c>
      <c r="T26" s="81" t="s">
        <v>179</v>
      </c>
    </row>
    <row r="27" spans="1:20" ht="15.75" thickBot="1" x14ac:dyDescent="0.3">
      <c r="A27" s="8" t="s">
        <v>32</v>
      </c>
      <c r="F27" s="222"/>
      <c r="G27" s="89">
        <f>(B36*B28)/2^-28</f>
        <v>40265.318399999996</v>
      </c>
      <c r="H27" s="79" t="str">
        <f>DEC2HEX(G27,4)</f>
        <v>9D49</v>
      </c>
      <c r="M27" s="77" t="s">
        <v>178</v>
      </c>
      <c r="N27" s="78"/>
      <c r="O27" s="41" t="s">
        <v>191</v>
      </c>
      <c r="P27" s="1">
        <f>HEX2DEC(O27)</f>
        <v>11264</v>
      </c>
      <c r="Q27" s="77" t="s">
        <v>189</v>
      </c>
      <c r="R27" s="78"/>
      <c r="S27" s="41">
        <v>86</v>
      </c>
      <c r="T27" s="1" t="str">
        <f>DEC2HEX(S27,4)</f>
        <v>0056</v>
      </c>
    </row>
    <row r="28" spans="1:20" x14ac:dyDescent="0.25">
      <c r="A28" s="11" t="s">
        <v>71</v>
      </c>
      <c r="B28">
        <f>(0.00000025)</f>
        <v>2.4999999999999999E-7</v>
      </c>
      <c r="G28" s="88"/>
    </row>
    <row r="29" spans="1:20" ht="45" x14ac:dyDescent="0.25">
      <c r="B29" s="11" t="s">
        <v>0</v>
      </c>
      <c r="C29" s="11" t="s">
        <v>23</v>
      </c>
      <c r="D29" s="11" t="s">
        <v>20</v>
      </c>
      <c r="E29" s="216" t="s">
        <v>27</v>
      </c>
      <c r="F29" s="212"/>
      <c r="G29" s="18" t="s">
        <v>25</v>
      </c>
      <c r="H29" s="18" t="s">
        <v>65</v>
      </c>
      <c r="I29" s="18" t="s">
        <v>21</v>
      </c>
      <c r="J29" s="18" t="s">
        <v>67</v>
      </c>
      <c r="K29" s="18" t="s">
        <v>68</v>
      </c>
      <c r="L29" s="18" t="s">
        <v>45</v>
      </c>
      <c r="M29" s="19" t="s">
        <v>20</v>
      </c>
      <c r="N29" s="19" t="s">
        <v>187</v>
      </c>
      <c r="O29" s="42" t="s">
        <v>187</v>
      </c>
      <c r="P29" s="24" t="s">
        <v>204</v>
      </c>
      <c r="Q29" s="42" t="s">
        <v>205</v>
      </c>
    </row>
    <row r="30" spans="1:20" x14ac:dyDescent="0.25">
      <c r="B30" s="11"/>
      <c r="C30" s="2" t="s">
        <v>24</v>
      </c>
      <c r="D30" t="s">
        <v>26</v>
      </c>
      <c r="E30" s="212" t="s">
        <v>28</v>
      </c>
      <c r="F30" s="212"/>
      <c r="G30" s="18">
        <v>22</v>
      </c>
      <c r="H30" s="18">
        <v>0</v>
      </c>
      <c r="I30" s="18"/>
      <c r="J30" s="18"/>
      <c r="K30" s="18"/>
      <c r="L30" s="2" t="s">
        <v>45</v>
      </c>
    </row>
    <row r="31" spans="1:20" x14ac:dyDescent="0.25">
      <c r="B31" s="11"/>
      <c r="C31" s="2" t="s">
        <v>31</v>
      </c>
      <c r="D31" t="s">
        <v>29</v>
      </c>
      <c r="E31" s="212" t="s">
        <v>30</v>
      </c>
      <c r="F31" s="212"/>
      <c r="G31" s="18">
        <v>9</v>
      </c>
      <c r="H31" s="2"/>
      <c r="I31" s="18"/>
      <c r="J31" s="18"/>
      <c r="K31" s="18"/>
      <c r="L31" s="2" t="s">
        <v>45</v>
      </c>
    </row>
    <row r="32" spans="1:20" x14ac:dyDescent="0.25">
      <c r="C32" s="2" t="s">
        <v>33</v>
      </c>
      <c r="D32" t="s">
        <v>34</v>
      </c>
      <c r="E32" s="212" t="s">
        <v>35</v>
      </c>
      <c r="F32" s="212"/>
      <c r="G32" s="18">
        <v>22</v>
      </c>
      <c r="H32" s="2">
        <v>0</v>
      </c>
      <c r="L32" s="2" t="s">
        <v>45</v>
      </c>
    </row>
    <row r="33" spans="1:19" x14ac:dyDescent="0.25">
      <c r="C33" s="2" t="s">
        <v>38</v>
      </c>
      <c r="D33" t="s">
        <v>40</v>
      </c>
      <c r="E33" s="212" t="s">
        <v>39</v>
      </c>
      <c r="F33" s="212"/>
      <c r="G33" s="18">
        <v>20</v>
      </c>
      <c r="H33" s="2"/>
      <c r="L33" s="2" t="s">
        <v>46</v>
      </c>
      <c r="N33" s="2" t="s">
        <v>184</v>
      </c>
      <c r="O33" s="2" t="s">
        <v>185</v>
      </c>
      <c r="P33" s="65" t="s">
        <v>184</v>
      </c>
      <c r="Q33" s="65" t="s">
        <v>185</v>
      </c>
      <c r="R33" s="98" t="s">
        <v>233</v>
      </c>
    </row>
    <row r="34" spans="1:19" x14ac:dyDescent="0.25">
      <c r="A34" s="20" t="s">
        <v>22</v>
      </c>
      <c r="B34" s="17">
        <v>200</v>
      </c>
      <c r="C34" s="2" t="s">
        <v>36</v>
      </c>
      <c r="D34" t="s">
        <v>19</v>
      </c>
      <c r="E34" s="208" t="s">
        <v>42</v>
      </c>
      <c r="F34" s="208"/>
      <c r="G34" s="2">
        <v>12</v>
      </c>
      <c r="H34" s="2" t="s">
        <v>66</v>
      </c>
      <c r="I34" s="1">
        <f t="shared" ref="I34:I47" si="50">HEX2DEC(H34)</f>
        <v>138</v>
      </c>
      <c r="J34" s="16">
        <f>B34*0.068719476736</f>
        <v>13.743895347200001</v>
      </c>
      <c r="K34" s="1" t="str">
        <f>DEC2HEX(J34,4)</f>
        <v>000D</v>
      </c>
      <c r="L34" s="2" t="s">
        <v>45</v>
      </c>
      <c r="M34" t="s">
        <v>19</v>
      </c>
      <c r="N34" s="2" t="s">
        <v>188</v>
      </c>
      <c r="O34" s="2">
        <f>HEX2DEC(N34)</f>
        <v>200</v>
      </c>
      <c r="P34" s="65" t="s">
        <v>188</v>
      </c>
      <c r="Q34" s="65">
        <f>HEX2DEC(P34)</f>
        <v>200</v>
      </c>
    </row>
    <row r="35" spans="1:19" x14ac:dyDescent="0.25">
      <c r="A35" s="20" t="s">
        <v>44</v>
      </c>
      <c r="B35" s="17">
        <v>200</v>
      </c>
      <c r="C35" s="2" t="s">
        <v>37</v>
      </c>
      <c r="D35" t="s">
        <v>41</v>
      </c>
      <c r="E35" s="208" t="s">
        <v>43</v>
      </c>
      <c r="F35" s="208"/>
      <c r="G35" s="2">
        <v>12</v>
      </c>
      <c r="H35" s="2" t="s">
        <v>66</v>
      </c>
      <c r="I35" s="1">
        <f t="shared" si="50"/>
        <v>138</v>
      </c>
      <c r="J35" s="16">
        <f>B35*0.068719476736</f>
        <v>13.743895347200001</v>
      </c>
      <c r="K35" s="1" t="str">
        <f>DEC2HEX(J35,4)</f>
        <v>000D</v>
      </c>
      <c r="L35" s="2" t="s">
        <v>45</v>
      </c>
      <c r="M35" t="s">
        <v>41</v>
      </c>
      <c r="N35" s="2" t="s">
        <v>188</v>
      </c>
      <c r="O35" s="2">
        <f t="shared" ref="O35:O55" si="51">HEX2DEC(N35)</f>
        <v>200</v>
      </c>
      <c r="P35" s="65" t="s">
        <v>188</v>
      </c>
      <c r="Q35" s="65">
        <f t="shared" ref="Q35:Q55" si="52">HEX2DEC(P35)</f>
        <v>200</v>
      </c>
    </row>
    <row r="36" spans="1:19" x14ac:dyDescent="0.25">
      <c r="A36" s="20" t="s">
        <v>70</v>
      </c>
      <c r="B36" s="17">
        <v>600</v>
      </c>
      <c r="C36" s="2" t="s">
        <v>60</v>
      </c>
      <c r="D36" t="s">
        <v>47</v>
      </c>
      <c r="E36" s="208" t="s">
        <v>62</v>
      </c>
      <c r="F36" s="208"/>
      <c r="G36" s="18">
        <v>10</v>
      </c>
      <c r="H36" s="2">
        <v>41</v>
      </c>
      <c r="I36" s="1">
        <f t="shared" si="50"/>
        <v>65</v>
      </c>
      <c r="J36" s="16">
        <f>B36*0.065536</f>
        <v>39.321599999999997</v>
      </c>
      <c r="K36" s="1" t="str">
        <f>DEC2HEX(J36,4)</f>
        <v>0027</v>
      </c>
      <c r="L36" s="2" t="s">
        <v>45</v>
      </c>
      <c r="M36" t="s">
        <v>47</v>
      </c>
      <c r="N36" s="2">
        <v>20</v>
      </c>
      <c r="O36" s="2">
        <f t="shared" si="51"/>
        <v>32</v>
      </c>
      <c r="P36" s="65">
        <v>14</v>
      </c>
      <c r="Q36" s="65">
        <f t="shared" si="52"/>
        <v>20</v>
      </c>
    </row>
    <row r="37" spans="1:19" ht="15.75" thickBot="1" x14ac:dyDescent="0.3">
      <c r="A37" s="67" t="s">
        <v>70</v>
      </c>
      <c r="B37" s="68">
        <v>490</v>
      </c>
      <c r="C37" s="69" t="s">
        <v>61</v>
      </c>
      <c r="D37" s="62" t="s">
        <v>48</v>
      </c>
      <c r="E37" s="214" t="s">
        <v>63</v>
      </c>
      <c r="F37" s="214"/>
      <c r="G37" s="70">
        <v>12</v>
      </c>
      <c r="H37" s="69">
        <v>0</v>
      </c>
      <c r="I37" s="71">
        <f t="shared" si="50"/>
        <v>0</v>
      </c>
      <c r="J37" s="72">
        <f>B37*0.065536</f>
        <v>32.112639999999999</v>
      </c>
      <c r="K37" s="71" t="str">
        <f>DEC2HEX(J37,4)</f>
        <v>0020</v>
      </c>
      <c r="L37" s="69" t="s">
        <v>45</v>
      </c>
      <c r="M37" s="62" t="s">
        <v>48</v>
      </c>
      <c r="N37" s="69">
        <v>0</v>
      </c>
      <c r="O37" s="73">
        <f t="shared" si="51"/>
        <v>0</v>
      </c>
      <c r="P37" s="73">
        <v>0</v>
      </c>
      <c r="Q37" s="73">
        <f t="shared" si="52"/>
        <v>0</v>
      </c>
      <c r="R37" s="62"/>
      <c r="S37" s="62"/>
    </row>
    <row r="38" spans="1:19" ht="15.75" thickTop="1" x14ac:dyDescent="0.25">
      <c r="A38" s="22" t="s">
        <v>73</v>
      </c>
      <c r="C38" s="23" t="s">
        <v>74</v>
      </c>
      <c r="D38" t="s">
        <v>49</v>
      </c>
      <c r="E38" s="208" t="s">
        <v>64</v>
      </c>
      <c r="F38" s="208"/>
      <c r="G38" s="18">
        <v>11</v>
      </c>
      <c r="H38" s="2">
        <v>27</v>
      </c>
      <c r="I38" s="66">
        <f t="shared" si="50"/>
        <v>39</v>
      </c>
      <c r="J38">
        <v>255</v>
      </c>
      <c r="K38" s="2" t="str">
        <f>DEC2HEX(J38,4)</f>
        <v>00FF</v>
      </c>
      <c r="L38" s="2" t="s">
        <v>45</v>
      </c>
      <c r="M38" t="s">
        <v>49</v>
      </c>
      <c r="N38" s="2" t="s">
        <v>118</v>
      </c>
      <c r="O38" s="2">
        <f t="shared" si="51"/>
        <v>255</v>
      </c>
      <c r="P38" s="65" t="s">
        <v>118</v>
      </c>
      <c r="Q38" s="65">
        <f t="shared" si="52"/>
        <v>255</v>
      </c>
    </row>
    <row r="39" spans="1:19" x14ac:dyDescent="0.25">
      <c r="B39" s="224" t="s">
        <v>103</v>
      </c>
      <c r="C39" s="23" t="s">
        <v>75</v>
      </c>
      <c r="D39" t="s">
        <v>50</v>
      </c>
      <c r="E39" s="208" t="s">
        <v>76</v>
      </c>
      <c r="F39" s="208"/>
      <c r="G39" s="18">
        <v>8</v>
      </c>
      <c r="H39" s="2">
        <v>29</v>
      </c>
      <c r="I39" s="1">
        <f t="shared" si="50"/>
        <v>41</v>
      </c>
      <c r="K39" s="2"/>
      <c r="L39" s="2" t="s">
        <v>45</v>
      </c>
      <c r="M39" t="s">
        <v>50</v>
      </c>
      <c r="N39" s="2">
        <v>10</v>
      </c>
      <c r="O39" s="2">
        <f t="shared" si="51"/>
        <v>16</v>
      </c>
      <c r="P39" s="65">
        <v>10</v>
      </c>
      <c r="Q39" s="65">
        <f t="shared" si="52"/>
        <v>16</v>
      </c>
    </row>
    <row r="40" spans="1:19" x14ac:dyDescent="0.25">
      <c r="B40" s="224"/>
      <c r="C40" s="23" t="s">
        <v>75</v>
      </c>
      <c r="D40" t="s">
        <v>51</v>
      </c>
      <c r="E40" s="208" t="s">
        <v>77</v>
      </c>
      <c r="F40" s="208"/>
      <c r="G40" s="18">
        <v>8</v>
      </c>
      <c r="H40" s="2">
        <v>29</v>
      </c>
      <c r="I40" s="1">
        <f t="shared" si="50"/>
        <v>41</v>
      </c>
      <c r="K40" s="2"/>
      <c r="L40" s="2" t="s">
        <v>45</v>
      </c>
      <c r="M40" t="s">
        <v>51</v>
      </c>
      <c r="N40" s="2">
        <v>37</v>
      </c>
      <c r="O40" s="2">
        <f t="shared" si="51"/>
        <v>55</v>
      </c>
      <c r="P40" s="65">
        <v>64</v>
      </c>
      <c r="Q40" s="65">
        <f t="shared" si="52"/>
        <v>100</v>
      </c>
    </row>
    <row r="41" spans="1:19" x14ac:dyDescent="0.25">
      <c r="B41" s="224"/>
      <c r="C41" s="23" t="s">
        <v>85</v>
      </c>
      <c r="D41" t="s">
        <v>52</v>
      </c>
      <c r="E41" s="215" t="s">
        <v>78</v>
      </c>
      <c r="F41" s="212"/>
      <c r="G41" s="18">
        <v>8</v>
      </c>
      <c r="H41" s="2">
        <v>29</v>
      </c>
      <c r="I41" s="1">
        <f t="shared" si="50"/>
        <v>41</v>
      </c>
      <c r="K41" s="2"/>
      <c r="L41" s="2" t="s">
        <v>45</v>
      </c>
      <c r="M41" t="s">
        <v>52</v>
      </c>
      <c r="N41" s="2">
        <v>37</v>
      </c>
      <c r="O41" s="2">
        <f t="shared" si="51"/>
        <v>55</v>
      </c>
      <c r="P41" s="65">
        <v>64</v>
      </c>
      <c r="Q41" s="65">
        <f t="shared" si="52"/>
        <v>100</v>
      </c>
    </row>
    <row r="42" spans="1:19" x14ac:dyDescent="0.25">
      <c r="B42" s="224"/>
      <c r="C42" s="23" t="s">
        <v>86</v>
      </c>
      <c r="D42" t="s">
        <v>53</v>
      </c>
      <c r="E42" s="208" t="s">
        <v>79</v>
      </c>
      <c r="F42" s="208"/>
      <c r="G42" s="18">
        <v>8</v>
      </c>
      <c r="H42" s="2">
        <v>29</v>
      </c>
      <c r="I42" s="1">
        <f t="shared" si="50"/>
        <v>41</v>
      </c>
      <c r="K42" s="2"/>
      <c r="L42" s="2" t="s">
        <v>45</v>
      </c>
      <c r="M42" t="s">
        <v>53</v>
      </c>
      <c r="N42" s="2">
        <v>37</v>
      </c>
      <c r="O42" s="2">
        <f t="shared" si="51"/>
        <v>55</v>
      </c>
      <c r="P42" s="65">
        <v>64</v>
      </c>
      <c r="Q42" s="65">
        <f t="shared" si="52"/>
        <v>100</v>
      </c>
    </row>
    <row r="43" spans="1:19" x14ac:dyDescent="0.25">
      <c r="B43" s="224"/>
      <c r="C43" s="23" t="s">
        <v>87</v>
      </c>
      <c r="D43" t="s">
        <v>54</v>
      </c>
      <c r="E43" s="208" t="s">
        <v>80</v>
      </c>
      <c r="F43" s="208"/>
      <c r="G43" s="18">
        <v>14</v>
      </c>
      <c r="H43" s="2">
        <v>408</v>
      </c>
      <c r="I43" s="1">
        <f t="shared" si="50"/>
        <v>1032</v>
      </c>
      <c r="K43" s="2"/>
      <c r="L43" s="2" t="s">
        <v>45</v>
      </c>
      <c r="M43" t="s">
        <v>54</v>
      </c>
      <c r="N43" s="2" t="s">
        <v>192</v>
      </c>
      <c r="O43" s="2">
        <f t="shared" si="51"/>
        <v>1700</v>
      </c>
      <c r="P43" s="93" t="s">
        <v>206</v>
      </c>
      <c r="Q43" s="65">
        <f t="shared" si="52"/>
        <v>16000</v>
      </c>
    </row>
    <row r="44" spans="1:19" x14ac:dyDescent="0.25">
      <c r="B44" s="224"/>
      <c r="C44" s="23" t="s">
        <v>82</v>
      </c>
      <c r="D44" t="s">
        <v>55</v>
      </c>
      <c r="E44" s="208" t="s">
        <v>81</v>
      </c>
      <c r="F44" s="208"/>
      <c r="G44" s="18">
        <v>8</v>
      </c>
      <c r="H44" s="2">
        <v>19</v>
      </c>
      <c r="I44" s="1">
        <f t="shared" si="50"/>
        <v>25</v>
      </c>
      <c r="K44" s="2"/>
      <c r="L44" s="2" t="s">
        <v>45</v>
      </c>
      <c r="M44" t="s">
        <v>55</v>
      </c>
      <c r="N44" s="2">
        <v>30</v>
      </c>
      <c r="O44" s="2">
        <f t="shared" si="51"/>
        <v>48</v>
      </c>
      <c r="P44" s="65">
        <v>56</v>
      </c>
      <c r="Q44" s="65">
        <f t="shared" si="52"/>
        <v>86</v>
      </c>
    </row>
    <row r="45" spans="1:19" x14ac:dyDescent="0.25">
      <c r="B45" s="224"/>
      <c r="C45" s="23" t="s">
        <v>83</v>
      </c>
      <c r="D45" t="s">
        <v>56</v>
      </c>
      <c r="E45" s="208" t="s">
        <v>88</v>
      </c>
      <c r="F45" s="208"/>
      <c r="G45" s="18">
        <v>8</v>
      </c>
      <c r="H45" s="2">
        <v>29</v>
      </c>
      <c r="I45" s="1">
        <f t="shared" si="50"/>
        <v>41</v>
      </c>
      <c r="K45" s="2"/>
      <c r="L45" s="2" t="s">
        <v>45</v>
      </c>
      <c r="M45" t="s">
        <v>56</v>
      </c>
      <c r="N45" s="2" t="s">
        <v>193</v>
      </c>
      <c r="O45" s="2">
        <f t="shared" si="51"/>
        <v>79</v>
      </c>
      <c r="P45" s="65" t="s">
        <v>118</v>
      </c>
      <c r="Q45" s="65">
        <f t="shared" si="52"/>
        <v>255</v>
      </c>
    </row>
    <row r="46" spans="1:19" x14ac:dyDescent="0.25">
      <c r="B46" s="224"/>
      <c r="C46" s="23" t="s">
        <v>84</v>
      </c>
      <c r="D46" t="s">
        <v>57</v>
      </c>
      <c r="E46" s="208" t="s">
        <v>89</v>
      </c>
      <c r="F46" s="208"/>
      <c r="G46" s="18">
        <v>8</v>
      </c>
      <c r="H46" s="2">
        <v>29</v>
      </c>
      <c r="I46" s="1">
        <f t="shared" si="50"/>
        <v>41</v>
      </c>
      <c r="K46" s="2"/>
      <c r="L46" s="2" t="s">
        <v>45</v>
      </c>
      <c r="M46" t="s">
        <v>57</v>
      </c>
      <c r="N46" s="2" t="s">
        <v>193</v>
      </c>
      <c r="O46" s="2">
        <f t="shared" si="51"/>
        <v>79</v>
      </c>
      <c r="P46" s="65" t="s">
        <v>118</v>
      </c>
      <c r="Q46" s="65">
        <f t="shared" si="52"/>
        <v>255</v>
      </c>
    </row>
    <row r="47" spans="1:19" ht="15" customHeight="1" x14ac:dyDescent="0.25">
      <c r="B47" s="224"/>
      <c r="C47" s="23" t="s">
        <v>102</v>
      </c>
      <c r="D47" t="s">
        <v>58</v>
      </c>
      <c r="E47" s="215" t="s">
        <v>90</v>
      </c>
      <c r="F47" s="215"/>
      <c r="G47" s="18">
        <v>4</v>
      </c>
      <c r="H47" s="2">
        <v>0</v>
      </c>
      <c r="I47" s="1">
        <f t="shared" si="50"/>
        <v>0</v>
      </c>
      <c r="K47" s="2"/>
      <c r="L47" s="2" t="s">
        <v>45</v>
      </c>
      <c r="M47" t="s">
        <v>58</v>
      </c>
      <c r="N47" s="2"/>
      <c r="O47" s="2"/>
      <c r="P47" s="65"/>
      <c r="Q47" s="65"/>
    </row>
    <row r="48" spans="1:19" x14ac:dyDescent="0.25">
      <c r="C48" s="23" t="s">
        <v>101</v>
      </c>
      <c r="D48" t="s">
        <v>59</v>
      </c>
      <c r="E48" s="208" t="s">
        <v>91</v>
      </c>
      <c r="F48" s="208"/>
      <c r="G48" s="18">
        <v>5</v>
      </c>
      <c r="H48" s="2"/>
      <c r="I48" s="1">
        <f t="shared" ref="I48:I55" si="53">HEX2DEC(H48)</f>
        <v>0</v>
      </c>
      <c r="L48" s="2" t="s">
        <v>46</v>
      </c>
      <c r="M48" t="s">
        <v>59</v>
      </c>
      <c r="N48" s="2"/>
      <c r="O48" s="2"/>
      <c r="P48" s="65"/>
      <c r="Q48" s="65"/>
    </row>
    <row r="49" spans="3:22" x14ac:dyDescent="0.25">
      <c r="C49" s="23" t="s">
        <v>100</v>
      </c>
      <c r="D49" t="s">
        <v>95</v>
      </c>
      <c r="E49" s="208" t="s">
        <v>92</v>
      </c>
      <c r="F49" s="208"/>
      <c r="G49" s="18">
        <v>5</v>
      </c>
      <c r="H49" s="2">
        <v>8</v>
      </c>
      <c r="I49" s="1">
        <f t="shared" si="53"/>
        <v>8</v>
      </c>
      <c r="L49" s="2" t="s">
        <v>45</v>
      </c>
      <c r="M49" t="s">
        <v>95</v>
      </c>
      <c r="N49" s="2" t="s">
        <v>194</v>
      </c>
      <c r="O49" s="2">
        <f t="shared" si="51"/>
        <v>31</v>
      </c>
      <c r="P49" s="65" t="s">
        <v>194</v>
      </c>
      <c r="Q49" s="65">
        <f t="shared" si="52"/>
        <v>31</v>
      </c>
    </row>
    <row r="50" spans="3:22" x14ac:dyDescent="0.25">
      <c r="C50" s="23" t="s">
        <v>99</v>
      </c>
      <c r="D50" t="s">
        <v>96</v>
      </c>
      <c r="E50" s="208" t="s">
        <v>93</v>
      </c>
      <c r="F50" s="208"/>
      <c r="G50" s="18">
        <v>5</v>
      </c>
      <c r="H50" s="2">
        <v>10</v>
      </c>
      <c r="I50" s="1">
        <f t="shared" si="53"/>
        <v>16</v>
      </c>
      <c r="L50" s="2" t="s">
        <v>45</v>
      </c>
      <c r="M50" t="s">
        <v>96</v>
      </c>
      <c r="N50" s="2" t="s">
        <v>194</v>
      </c>
      <c r="O50" s="2">
        <f t="shared" si="51"/>
        <v>31</v>
      </c>
      <c r="P50" s="65" t="s">
        <v>194</v>
      </c>
      <c r="Q50" s="65">
        <f t="shared" si="52"/>
        <v>31</v>
      </c>
    </row>
    <row r="51" spans="3:22" x14ac:dyDescent="0.25">
      <c r="C51" s="23" t="s">
        <v>98</v>
      </c>
      <c r="D51" t="s">
        <v>97</v>
      </c>
      <c r="E51" s="208" t="s">
        <v>94</v>
      </c>
      <c r="F51" s="208"/>
      <c r="G51" s="18">
        <v>4</v>
      </c>
      <c r="H51" s="2">
        <v>7</v>
      </c>
      <c r="I51" s="1">
        <f t="shared" si="53"/>
        <v>7</v>
      </c>
      <c r="L51" s="2" t="s">
        <v>45</v>
      </c>
      <c r="M51" t="s">
        <v>97</v>
      </c>
      <c r="N51" s="2">
        <v>6</v>
      </c>
      <c r="O51" s="2">
        <f t="shared" si="51"/>
        <v>6</v>
      </c>
      <c r="P51" s="65">
        <v>6</v>
      </c>
      <c r="Q51" s="65">
        <f t="shared" si="52"/>
        <v>6</v>
      </c>
    </row>
    <row r="52" spans="3:22" x14ac:dyDescent="0.25">
      <c r="C52" s="23" t="s">
        <v>109</v>
      </c>
      <c r="D52" t="s">
        <v>104</v>
      </c>
      <c r="E52" s="208" t="s">
        <v>114</v>
      </c>
      <c r="F52" s="208"/>
      <c r="G52" s="18">
        <v>8</v>
      </c>
      <c r="H52" s="2" t="s">
        <v>118</v>
      </c>
      <c r="I52" s="1">
        <f t="shared" si="53"/>
        <v>255</v>
      </c>
      <c r="M52" t="s">
        <v>104</v>
      </c>
      <c r="N52" s="2"/>
      <c r="O52" s="2"/>
      <c r="P52" s="65"/>
      <c r="Q52" s="65"/>
    </row>
    <row r="53" spans="3:22" x14ac:dyDescent="0.25">
      <c r="C53" s="23" t="s">
        <v>110</v>
      </c>
      <c r="D53" t="s">
        <v>105</v>
      </c>
      <c r="E53" s="208" t="s">
        <v>115</v>
      </c>
      <c r="F53" s="208"/>
      <c r="G53" s="18">
        <v>11</v>
      </c>
      <c r="H53" s="2">
        <v>0</v>
      </c>
      <c r="I53" s="1">
        <f t="shared" si="53"/>
        <v>0</v>
      </c>
      <c r="M53" t="s">
        <v>105</v>
      </c>
      <c r="N53" s="2"/>
      <c r="O53" s="2"/>
      <c r="P53" s="65"/>
      <c r="Q53" s="65"/>
    </row>
    <row r="54" spans="3:22" x14ac:dyDescent="0.25">
      <c r="C54" s="23" t="s">
        <v>111</v>
      </c>
      <c r="D54" t="s">
        <v>106</v>
      </c>
      <c r="E54" s="208" t="s">
        <v>115</v>
      </c>
      <c r="F54" s="208"/>
      <c r="G54" s="18">
        <v>8</v>
      </c>
      <c r="H54" s="2">
        <v>0</v>
      </c>
      <c r="I54" s="7">
        <f t="shared" si="53"/>
        <v>0</v>
      </c>
      <c r="M54" t="s">
        <v>106</v>
      </c>
      <c r="N54" s="2"/>
      <c r="O54" s="2"/>
      <c r="P54" s="65"/>
      <c r="Q54" s="65"/>
    </row>
    <row r="55" spans="3:22" x14ac:dyDescent="0.25">
      <c r="C55" s="25" t="s">
        <v>112</v>
      </c>
      <c r="D55" s="26" t="s">
        <v>107</v>
      </c>
      <c r="E55" s="223" t="s">
        <v>116</v>
      </c>
      <c r="F55" s="223"/>
      <c r="G55" s="27">
        <v>16</v>
      </c>
      <c r="H55" s="28" t="s">
        <v>119</v>
      </c>
      <c r="I55" s="29">
        <f t="shared" si="53"/>
        <v>11400</v>
      </c>
      <c r="J55" s="209" t="str">
        <f>DEC2BIN(MOD(QUOTIENT(I55,16^3),16),4)&amp;" "&amp;DEC2BIN(MOD(QUOTIENT(I55,16^2),16),4)&amp;" "&amp;DEC2BIN(MOD(QUOTIENT(I55,16^1),16),4)&amp;" "&amp;DEC2BIN(MOD(QUOTIENT(I55,16^0),16),4)</f>
        <v>0010 1100 1000 1000</v>
      </c>
      <c r="K55" s="210"/>
      <c r="M55" t="s">
        <v>107</v>
      </c>
      <c r="N55" s="2" t="s">
        <v>190</v>
      </c>
      <c r="O55" s="2">
        <f t="shared" si="51"/>
        <v>11264</v>
      </c>
      <c r="P55" s="65" t="s">
        <v>190</v>
      </c>
      <c r="Q55" s="65">
        <f t="shared" si="52"/>
        <v>11264</v>
      </c>
    </row>
    <row r="56" spans="3:22" x14ac:dyDescent="0.25">
      <c r="C56" s="23" t="s">
        <v>113</v>
      </c>
      <c r="D56" t="s">
        <v>108</v>
      </c>
      <c r="E56" s="208" t="s">
        <v>117</v>
      </c>
      <c r="F56" s="208"/>
      <c r="G56" s="18">
        <v>16</v>
      </c>
      <c r="J56" s="211" t="str">
        <f>DEC2BIN(MOD(QUOTIENT(I56,16^3),16),4)&amp;" "&amp;DEC2BIN(MOD(QUOTIENT(I56,16^2),16),4)&amp;" "&amp;DEC2BIN(MOD(QUOTIENT(I56,16^1),16),4)&amp;" "&amp;DEC2BIN(MOD(QUOTIENT(I56,16^0),16),4)</f>
        <v>0000 0000 0000 0000</v>
      </c>
      <c r="K56" s="212"/>
      <c r="M56" t="s">
        <v>108</v>
      </c>
    </row>
    <row r="58" spans="3:22" x14ac:dyDescent="0.25">
      <c r="F58" s="30" t="s">
        <v>120</v>
      </c>
      <c r="G58" s="31" t="s">
        <v>121</v>
      </c>
      <c r="H58" s="31" t="s">
        <v>122</v>
      </c>
      <c r="I58" s="31" t="s">
        <v>123</v>
      </c>
      <c r="J58" s="31" t="s">
        <v>124</v>
      </c>
      <c r="K58" s="31" t="s">
        <v>125</v>
      </c>
      <c r="L58" s="31" t="s">
        <v>126</v>
      </c>
      <c r="M58" s="31" t="s">
        <v>127</v>
      </c>
      <c r="N58" s="31" t="s">
        <v>128</v>
      </c>
      <c r="O58" s="31" t="s">
        <v>129</v>
      </c>
      <c r="P58" s="31" t="s">
        <v>130</v>
      </c>
      <c r="Q58" s="31" t="s">
        <v>131</v>
      </c>
      <c r="R58" s="31" t="s">
        <v>132</v>
      </c>
      <c r="S58" s="31" t="s">
        <v>133</v>
      </c>
      <c r="T58" s="31" t="s">
        <v>134</v>
      </c>
      <c r="U58" s="31" t="s">
        <v>135</v>
      </c>
      <c r="V58" s="32" t="s">
        <v>136</v>
      </c>
    </row>
    <row r="59" spans="3:22" x14ac:dyDescent="0.25">
      <c r="D59" s="33" t="s">
        <v>148</v>
      </c>
      <c r="E59" s="33" t="s">
        <v>147</v>
      </c>
      <c r="F59" s="33" t="s">
        <v>150</v>
      </c>
      <c r="G59" s="205" t="s">
        <v>137</v>
      </c>
      <c r="H59" s="213"/>
      <c r="I59" s="213"/>
      <c r="J59" s="205" t="s">
        <v>138</v>
      </c>
      <c r="K59" s="206"/>
      <c r="L59" s="207"/>
      <c r="M59" s="34" t="s">
        <v>139</v>
      </c>
      <c r="N59" s="35" t="s">
        <v>140</v>
      </c>
      <c r="O59" s="35" t="s">
        <v>141</v>
      </c>
      <c r="P59" s="36" t="s">
        <v>142</v>
      </c>
      <c r="Q59" s="34" t="s">
        <v>143</v>
      </c>
      <c r="R59" s="34" t="s">
        <v>144</v>
      </c>
      <c r="S59" s="37" t="s">
        <v>145</v>
      </c>
      <c r="T59" s="205" t="s">
        <v>146</v>
      </c>
      <c r="U59" s="206"/>
      <c r="V59" s="207"/>
    </row>
    <row r="60" spans="3:22" x14ac:dyDescent="0.25">
      <c r="C60" t="s">
        <v>149</v>
      </c>
      <c r="D60" s="33">
        <f>HEX2DEC(E60)</f>
        <v>11400</v>
      </c>
      <c r="E60" s="33" t="str">
        <f>BIN2HEX(MID(F60,2,7),2)&amp;BIN2HEX(MID(F60,9,8),2)</f>
        <v>2C88</v>
      </c>
      <c r="F60" s="33" t="str">
        <f>G60&amp;H60&amp;I60&amp;J60&amp;K60&amp;L60&amp;M60&amp;N60&amp;O60&amp;P60&amp;Q60&amp;R60&amp;S60&amp;T60&amp;U60&amp;V60</f>
        <v>0010110010001000</v>
      </c>
      <c r="G60" s="39">
        <v>0</v>
      </c>
      <c r="H60" s="38">
        <v>0</v>
      </c>
      <c r="I60" s="40">
        <v>1</v>
      </c>
      <c r="J60" s="39">
        <v>0</v>
      </c>
      <c r="K60" s="38">
        <v>1</v>
      </c>
      <c r="L60" s="40">
        <v>1</v>
      </c>
      <c r="M60" s="35">
        <v>0</v>
      </c>
      <c r="N60" s="35">
        <v>0</v>
      </c>
      <c r="O60" s="35">
        <v>1</v>
      </c>
      <c r="P60" s="35">
        <v>0</v>
      </c>
      <c r="Q60" s="35">
        <v>0</v>
      </c>
      <c r="R60" s="35">
        <v>0</v>
      </c>
      <c r="S60" s="40">
        <v>1</v>
      </c>
      <c r="T60" s="39">
        <v>0</v>
      </c>
      <c r="U60" s="38">
        <v>0</v>
      </c>
      <c r="V60" s="40">
        <v>0</v>
      </c>
    </row>
    <row r="61" spans="3:22" ht="15.75" thickBot="1" x14ac:dyDescent="0.3">
      <c r="C61" t="s">
        <v>182</v>
      </c>
      <c r="D61" s="82">
        <f>HEX2DEC(E61)</f>
        <v>11264</v>
      </c>
      <c r="E61" s="82" t="str">
        <f>BIN2HEX(MID(F61,2,7),2)&amp;BIN2HEX(MID(F61,9,8),2)</f>
        <v>2C00</v>
      </c>
      <c r="F61" s="82" t="str">
        <f>G61&amp;H61&amp;I61&amp;J61&amp;K61&amp;L61&amp;M61&amp;N61&amp;O61&amp;P61&amp;Q61&amp;R61&amp;S61&amp;T61&amp;U61&amp;V61</f>
        <v>0010110000000000</v>
      </c>
      <c r="G61" s="6">
        <v>0</v>
      </c>
      <c r="H61" s="6">
        <v>0</v>
      </c>
      <c r="I61" s="6">
        <v>1</v>
      </c>
      <c r="J61" s="6">
        <v>0</v>
      </c>
      <c r="K61" s="6">
        <v>1</v>
      </c>
      <c r="L61" s="6">
        <v>1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3:22" ht="15.75" thickBot="1" x14ac:dyDescent="0.3">
      <c r="C62" s="83" t="s">
        <v>181</v>
      </c>
      <c r="D62" s="84">
        <f>HEX2DEC(E62)</f>
        <v>3976</v>
      </c>
      <c r="E62" s="49" t="s">
        <v>183</v>
      </c>
      <c r="F62" s="84" t="str">
        <f>DEC2BIN(MOD(QUOTIENT(D62,16^3),16),4)&amp;" "&amp;DEC2BIN(MOD(QUOTIENT(D62,16^2),16),4)&amp;" "&amp;DEC2BIN(MOD(QUOTIENT(D62,16^1),16),4)&amp;" "&amp;DEC2BIN(MOD(QUOTIENT(D62,16^0),16),4)</f>
        <v>0000 1111 1000 1000</v>
      </c>
      <c r="G62" s="85">
        <f>_xlfn.BITLSHIFT(_xlfn.BITAND(D62,32768),-15)</f>
        <v>0</v>
      </c>
      <c r="H62" s="29">
        <f>_xlfn.BITLSHIFT(_xlfn.BITAND(D62,16384),-14)</f>
        <v>0</v>
      </c>
      <c r="I62" s="86">
        <f>_xlfn.BITLSHIFT(_xlfn.BITAND(D62,8192),-13)</f>
        <v>0</v>
      </c>
      <c r="J62" s="85">
        <f>_xlfn.BITLSHIFT(_xlfn.BITAND(D62,4096),-12)</f>
        <v>0</v>
      </c>
      <c r="K62" s="29">
        <f>_xlfn.BITLSHIFT(_xlfn.BITAND(D62,2048),-11)</f>
        <v>1</v>
      </c>
      <c r="L62" s="86">
        <f>_xlfn.BITLSHIFT(_xlfn.BITAND(D62,1024),-10)</f>
        <v>1</v>
      </c>
      <c r="M62" s="87">
        <f>_xlfn.BITLSHIFT(_xlfn.BITAND(D62,512),-9)</f>
        <v>1</v>
      </c>
      <c r="N62" s="87">
        <f>_xlfn.BITLSHIFT(_xlfn.BITAND(D62,256),-8)</f>
        <v>1</v>
      </c>
      <c r="O62" s="87">
        <f>_xlfn.BITLSHIFT(_xlfn.BITAND(D62,128),-7)</f>
        <v>1</v>
      </c>
      <c r="P62" s="87">
        <f>_xlfn.BITLSHIFT(_xlfn.BITAND(D62,64),-6)</f>
        <v>0</v>
      </c>
      <c r="Q62" s="87">
        <f>_xlfn.BITLSHIFT(_xlfn.BITAND(D62,32),-5)</f>
        <v>0</v>
      </c>
      <c r="R62" s="87">
        <f>_xlfn.BITLSHIFT(_xlfn.BITAND(D62,16),-4)</f>
        <v>0</v>
      </c>
      <c r="S62" s="87">
        <f>_xlfn.BITLSHIFT(_xlfn.BITAND(D62,8),-3)</f>
        <v>1</v>
      </c>
      <c r="T62" s="85">
        <f>_xlfn.BITLSHIFT(_xlfn.BITAND(D62,4),-2)</f>
        <v>0</v>
      </c>
      <c r="U62" s="29">
        <f>_xlfn.BITLSHIFT(_xlfn.BITAND(D62,2),-1)</f>
        <v>0</v>
      </c>
      <c r="V62" s="86">
        <f>_xlfn.BITLSHIFT(_xlfn.BITAND(D62,1),0)</f>
        <v>0</v>
      </c>
    </row>
    <row r="63" spans="3:22" x14ac:dyDescent="0.25">
      <c r="D63" s="14"/>
      <c r="E63" s="14"/>
      <c r="F63" s="14"/>
    </row>
    <row r="64" spans="3:22" x14ac:dyDescent="0.25">
      <c r="C64" t="s">
        <v>186</v>
      </c>
      <c r="D64" s="14"/>
      <c r="E64" s="14"/>
      <c r="F64" s="14"/>
    </row>
    <row r="65" spans="1:17" x14ac:dyDescent="0.25">
      <c r="D65" s="14"/>
      <c r="E65" s="14"/>
      <c r="F65" s="14"/>
    </row>
    <row r="66" spans="1:17" x14ac:dyDescent="0.25">
      <c r="A66" t="s">
        <v>155</v>
      </c>
      <c r="O66" t="s">
        <v>95</v>
      </c>
      <c r="P66" t="s">
        <v>769</v>
      </c>
      <c r="Q66" t="s">
        <v>777</v>
      </c>
    </row>
    <row r="67" spans="1:17" x14ac:dyDescent="0.25">
      <c r="B67" s="220" t="s">
        <v>156</v>
      </c>
      <c r="C67" s="220"/>
      <c r="D67" s="2" t="s">
        <v>168</v>
      </c>
      <c r="E67" s="2" t="s">
        <v>169</v>
      </c>
      <c r="F67" s="2" t="s">
        <v>170</v>
      </c>
      <c r="G67" s="220" t="s">
        <v>171</v>
      </c>
      <c r="H67" s="220"/>
      <c r="I67" s="2" t="s">
        <v>172</v>
      </c>
      <c r="P67">
        <v>3</v>
      </c>
      <c r="Q67" s="130">
        <f>P67/0.375</f>
        <v>8</v>
      </c>
    </row>
    <row r="68" spans="1:17" x14ac:dyDescent="0.25">
      <c r="A68" t="s">
        <v>166</v>
      </c>
      <c r="B68" s="219" t="s">
        <v>167</v>
      </c>
      <c r="C68" s="219"/>
      <c r="D68" s="2">
        <v>1</v>
      </c>
      <c r="E68" s="2">
        <v>4.25</v>
      </c>
      <c r="F68" s="2">
        <v>6.55</v>
      </c>
      <c r="G68" s="220">
        <v>0.43099999999999999</v>
      </c>
      <c r="H68" s="220"/>
      <c r="I68" s="2">
        <v>4.2000000000000003E-2</v>
      </c>
    </row>
    <row r="69" spans="1:17" x14ac:dyDescent="0.25">
      <c r="A69" t="s">
        <v>174</v>
      </c>
      <c r="B69" s="219" t="s">
        <v>173</v>
      </c>
      <c r="C69" s="219"/>
      <c r="D69" s="2">
        <v>2</v>
      </c>
      <c r="E69" s="2">
        <v>2</v>
      </c>
      <c r="F69" s="2">
        <v>3.3</v>
      </c>
      <c r="G69" s="220">
        <v>0.89</v>
      </c>
      <c r="H69" s="220"/>
      <c r="I69" s="2">
        <v>6.13E-2</v>
      </c>
    </row>
    <row r="70" spans="1:17" ht="15.75" thickBot="1" x14ac:dyDescent="0.3">
      <c r="A70" s="62" t="s">
        <v>175</v>
      </c>
      <c r="B70" s="217" t="s">
        <v>176</v>
      </c>
      <c r="C70" s="217"/>
      <c r="D70" s="69">
        <v>2.8</v>
      </c>
      <c r="E70" s="69">
        <v>1.1000000000000001</v>
      </c>
      <c r="F70" s="69">
        <v>3.8</v>
      </c>
      <c r="G70" s="218">
        <v>2.08</v>
      </c>
      <c r="H70" s="218"/>
      <c r="I70" s="69">
        <v>5.74E-2</v>
      </c>
    </row>
    <row r="71" spans="1:17" ht="15.75" thickTop="1" x14ac:dyDescent="0.25">
      <c r="A71" t="s">
        <v>177</v>
      </c>
      <c r="B71" s="219" t="s">
        <v>173</v>
      </c>
      <c r="C71" s="219"/>
      <c r="D71" s="2">
        <v>1.7</v>
      </c>
      <c r="E71" s="2">
        <v>1.5</v>
      </c>
      <c r="F71" s="2">
        <v>3</v>
      </c>
      <c r="G71" s="220">
        <v>0.44</v>
      </c>
      <c r="H71" s="220"/>
      <c r="I71" s="2">
        <v>2.4E-2</v>
      </c>
    </row>
    <row r="76" spans="1:17" x14ac:dyDescent="0.25">
      <c r="A76" t="s">
        <v>157</v>
      </c>
    </row>
    <row r="77" spans="1:17" x14ac:dyDescent="0.25">
      <c r="B77" t="s">
        <v>158</v>
      </c>
      <c r="F77" t="s">
        <v>280</v>
      </c>
    </row>
    <row r="78" spans="1:17" x14ac:dyDescent="0.25">
      <c r="A78" t="s">
        <v>213</v>
      </c>
      <c r="B78">
        <v>5</v>
      </c>
      <c r="F78" t="s">
        <v>281</v>
      </c>
      <c r="G78" t="s">
        <v>282</v>
      </c>
      <c r="H78" t="s">
        <v>284</v>
      </c>
      <c r="I78" t="s">
        <v>283</v>
      </c>
      <c r="J78" t="s">
        <v>285</v>
      </c>
    </row>
    <row r="79" spans="1:17" x14ac:dyDescent="0.25">
      <c r="A79" t="s">
        <v>214</v>
      </c>
      <c r="B79">
        <v>1</v>
      </c>
      <c r="F79" s="88">
        <v>1115416</v>
      </c>
      <c r="G79" s="88">
        <v>1116056</v>
      </c>
      <c r="H79">
        <f>G79/F79</f>
        <v>1.0005737769585519</v>
      </c>
      <c r="I79">
        <v>94200</v>
      </c>
      <c r="J79" s="113">
        <f>I79*H79</f>
        <v>94254.049789495592</v>
      </c>
    </row>
    <row r="80" spans="1:17" x14ac:dyDescent="0.25">
      <c r="A80" t="s">
        <v>215</v>
      </c>
      <c r="B80">
        <v>0.5</v>
      </c>
    </row>
    <row r="81" spans="1:3" x14ac:dyDescent="0.25">
      <c r="A81" t="s">
        <v>217</v>
      </c>
      <c r="B81">
        <v>0.2</v>
      </c>
    </row>
    <row r="82" spans="1:3" x14ac:dyDescent="0.25">
      <c r="A82" t="s">
        <v>216</v>
      </c>
      <c r="B82">
        <v>0.1</v>
      </c>
    </row>
    <row r="84" spans="1:3" x14ac:dyDescent="0.25">
      <c r="A84" t="s">
        <v>159</v>
      </c>
    </row>
    <row r="85" spans="1:3" x14ac:dyDescent="0.25">
      <c r="B85" t="s">
        <v>160</v>
      </c>
    </row>
    <row r="86" spans="1:3" x14ac:dyDescent="0.25">
      <c r="A86" s="63">
        <v>0.20902777777777778</v>
      </c>
      <c r="B86">
        <v>5.1778000000000004</v>
      </c>
    </row>
    <row r="87" spans="1:3" x14ac:dyDescent="0.25">
      <c r="A87" s="63">
        <v>0.29236111111111113</v>
      </c>
      <c r="B87">
        <v>6.96</v>
      </c>
    </row>
    <row r="88" spans="1:3" x14ac:dyDescent="0.25">
      <c r="A88" s="64" t="s">
        <v>161</v>
      </c>
      <c r="B88">
        <v>5.18</v>
      </c>
    </row>
    <row r="89" spans="1:3" x14ac:dyDescent="0.25">
      <c r="A89" s="63">
        <v>0.62569444444444444</v>
      </c>
      <c r="B89">
        <v>15.65</v>
      </c>
    </row>
    <row r="91" spans="1:3" x14ac:dyDescent="0.25">
      <c r="A91" t="s">
        <v>162</v>
      </c>
    </row>
    <row r="93" spans="1:3" x14ac:dyDescent="0.25">
      <c r="A93" t="s">
        <v>163</v>
      </c>
      <c r="B93">
        <v>785.6</v>
      </c>
      <c r="C93" t="s">
        <v>165</v>
      </c>
    </row>
    <row r="94" spans="1:3" x14ac:dyDescent="0.25">
      <c r="A94" t="s">
        <v>164</v>
      </c>
      <c r="B94">
        <v>5000</v>
      </c>
      <c r="C94" t="s">
        <v>165</v>
      </c>
    </row>
  </sheetData>
  <mergeCells count="45">
    <mergeCell ref="B70:C70"/>
    <mergeCell ref="G70:H70"/>
    <mergeCell ref="B71:C71"/>
    <mergeCell ref="G71:H71"/>
    <mergeCell ref="F26:F27"/>
    <mergeCell ref="B68:C68"/>
    <mergeCell ref="B67:C67"/>
    <mergeCell ref="G68:H68"/>
    <mergeCell ref="G67:H67"/>
    <mergeCell ref="B69:C69"/>
    <mergeCell ref="G69:H69"/>
    <mergeCell ref="E55:F55"/>
    <mergeCell ref="B39:B47"/>
    <mergeCell ref="E40:F40"/>
    <mergeCell ref="E41:F41"/>
    <mergeCell ref="E42:F42"/>
    <mergeCell ref="E52:F52"/>
    <mergeCell ref="E53:F53"/>
    <mergeCell ref="E54:F54"/>
    <mergeCell ref="E33:F33"/>
    <mergeCell ref="E29:F29"/>
    <mergeCell ref="E30:F30"/>
    <mergeCell ref="E31:F31"/>
    <mergeCell ref="E32:F32"/>
    <mergeCell ref="E43:F43"/>
    <mergeCell ref="E44:F44"/>
    <mergeCell ref="E45:F45"/>
    <mergeCell ref="E50:F50"/>
    <mergeCell ref="E51:F51"/>
    <mergeCell ref="J59:L59"/>
    <mergeCell ref="T59:V59"/>
    <mergeCell ref="E34:F34"/>
    <mergeCell ref="J55:K55"/>
    <mergeCell ref="J56:K56"/>
    <mergeCell ref="G59:I59"/>
    <mergeCell ref="E35:F35"/>
    <mergeCell ref="E36:F36"/>
    <mergeCell ref="E37:F37"/>
    <mergeCell ref="E38:F38"/>
    <mergeCell ref="E39:F39"/>
    <mergeCell ref="E56:F56"/>
    <mergeCell ref="E46:F46"/>
    <mergeCell ref="E47:F47"/>
    <mergeCell ref="E48:F48"/>
    <mergeCell ref="E49:F4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217"/>
  <sheetViews>
    <sheetView topLeftCell="A145" zoomScale="85" zoomScaleNormal="85" workbookViewId="0">
      <selection activeCell="L166" sqref="L166"/>
    </sheetView>
  </sheetViews>
  <sheetFormatPr defaultRowHeight="15" x14ac:dyDescent="0.25"/>
  <cols>
    <col min="2" max="2" width="27.5703125" bestFit="1" customWidth="1"/>
    <col min="3" max="3" width="21.28515625" style="107" customWidth="1"/>
    <col min="4" max="4" width="10.140625" customWidth="1"/>
    <col min="5" max="5" width="10.5703125" bestFit="1" customWidth="1"/>
    <col min="8" max="8" width="10.5703125" customWidth="1"/>
    <col min="9" max="9" width="10.5703125" bestFit="1" customWidth="1"/>
    <col min="10" max="10" width="14.7109375" customWidth="1"/>
    <col min="11" max="11" width="9.5703125" bestFit="1" customWidth="1"/>
    <col min="12" max="12" width="10.85546875" customWidth="1"/>
    <col min="13" max="13" width="11" customWidth="1"/>
    <col min="14" max="14" width="11.42578125" customWidth="1"/>
    <col min="15" max="15" width="12.85546875" customWidth="1"/>
    <col min="16" max="16" width="14" customWidth="1"/>
    <col min="17" max="17" width="18.140625" customWidth="1"/>
    <col min="19" max="19" width="10.85546875" customWidth="1"/>
    <col min="21" max="21" width="10.7109375" customWidth="1"/>
    <col min="22" max="22" width="13.5703125" customWidth="1"/>
  </cols>
  <sheetData>
    <row r="2" spans="2:25" x14ac:dyDescent="0.25">
      <c r="O2" t="s">
        <v>304</v>
      </c>
    </row>
    <row r="3" spans="2:25" x14ac:dyDescent="0.25">
      <c r="B3" t="s">
        <v>271</v>
      </c>
      <c r="C3" s="107">
        <v>65535</v>
      </c>
      <c r="O3" t="s">
        <v>306</v>
      </c>
      <c r="P3" t="s">
        <v>307</v>
      </c>
      <c r="Q3" s="112" t="s">
        <v>308</v>
      </c>
      <c r="R3" t="s">
        <v>309</v>
      </c>
      <c r="T3" t="s">
        <v>310</v>
      </c>
    </row>
    <row r="4" spans="2:25" x14ac:dyDescent="0.25">
      <c r="B4" t="s">
        <v>272</v>
      </c>
      <c r="C4" s="107">
        <v>360</v>
      </c>
      <c r="O4" t="s">
        <v>305</v>
      </c>
      <c r="P4">
        <v>870</v>
      </c>
      <c r="Q4">
        <v>896</v>
      </c>
      <c r="R4" s="132">
        <f>ABS((P4-Q4) *10)</f>
        <v>260</v>
      </c>
    </row>
    <row r="5" spans="2:25" x14ac:dyDescent="0.25">
      <c r="B5" t="s">
        <v>273</v>
      </c>
      <c r="C5" s="108">
        <f>C4/C3</f>
        <v>5.4932478828107123E-3</v>
      </c>
      <c r="D5" t="s">
        <v>318</v>
      </c>
      <c r="V5" s="132" t="s">
        <v>321</v>
      </c>
    </row>
    <row r="6" spans="2:25" x14ac:dyDescent="0.25">
      <c r="B6" t="s">
        <v>274</v>
      </c>
      <c r="C6" s="107">
        <v>40</v>
      </c>
      <c r="N6" s="123" t="s">
        <v>319</v>
      </c>
      <c r="O6" s="9">
        <v>1</v>
      </c>
      <c r="P6" s="9">
        <v>2</v>
      </c>
      <c r="Q6" s="124" t="s">
        <v>294</v>
      </c>
      <c r="R6" t="s">
        <v>313</v>
      </c>
      <c r="S6" t="s">
        <v>315</v>
      </c>
      <c r="T6" t="s">
        <v>314</v>
      </c>
      <c r="U6" t="s">
        <v>316</v>
      </c>
      <c r="V6" s="113"/>
      <c r="Y6" t="s">
        <v>323</v>
      </c>
    </row>
    <row r="7" spans="2:25" x14ac:dyDescent="0.25">
      <c r="B7" t="s">
        <v>275</v>
      </c>
      <c r="C7" s="107">
        <f>C5*C6</f>
        <v>0.2197299153124285</v>
      </c>
      <c r="N7" s="13">
        <v>6</v>
      </c>
      <c r="O7" s="121">
        <v>7643</v>
      </c>
      <c r="P7" s="121">
        <v>8187</v>
      </c>
      <c r="Q7" s="125">
        <f>O7-P7</f>
        <v>-544</v>
      </c>
      <c r="R7" s="122">
        <f>ABS(O7-O8)</f>
        <v>10783</v>
      </c>
      <c r="S7" s="130">
        <f>R7*C5</f>
        <v>59.233691920347908</v>
      </c>
      <c r="T7" s="122">
        <f>ABS(P7-P8)</f>
        <v>10901</v>
      </c>
      <c r="U7" s="130">
        <f>T7*C5</f>
        <v>59.881895170519577</v>
      </c>
      <c r="V7" s="113">
        <f>V8-D23</f>
        <v>8009.8333333333358</v>
      </c>
      <c r="W7" s="130">
        <v>59.4</v>
      </c>
      <c r="X7">
        <v>60</v>
      </c>
      <c r="Y7" s="130">
        <f>ABS(S7-U7)</f>
        <v>0.6482032501716688</v>
      </c>
    </row>
    <row r="8" spans="2:25" x14ac:dyDescent="0.25">
      <c r="N8" s="13">
        <v>5</v>
      </c>
      <c r="O8" s="121">
        <v>18426</v>
      </c>
      <c r="P8" s="121">
        <v>19088</v>
      </c>
      <c r="Q8" s="125">
        <f t="shared" ref="Q8:Q12" si="0">O8-P8</f>
        <v>-662</v>
      </c>
      <c r="R8" s="122">
        <f t="shared" ref="R8:R11" si="1">ABS(O8-O9)</f>
        <v>11007</v>
      </c>
      <c r="S8" s="130">
        <f>R8*C5</f>
        <v>60.464179446097511</v>
      </c>
      <c r="T8" s="122">
        <f t="shared" ref="T8:T11" si="2">ABS(P8-P9)</f>
        <v>10873</v>
      </c>
      <c r="U8" s="130">
        <f>T8*C5</f>
        <v>59.728084229800878</v>
      </c>
      <c r="V8" s="113">
        <f>V9-D23</f>
        <v>18932.333333333336</v>
      </c>
      <c r="W8" s="130">
        <v>60.4</v>
      </c>
      <c r="X8">
        <v>60</v>
      </c>
      <c r="Y8" s="130">
        <f t="shared" ref="Y8:Y12" si="3">ABS(S8-U8)</f>
        <v>0.73609521629663277</v>
      </c>
    </row>
    <row r="9" spans="2:25" x14ac:dyDescent="0.25">
      <c r="B9" t="s">
        <v>270</v>
      </c>
      <c r="C9" s="107">
        <v>1.075</v>
      </c>
      <c r="N9" s="13">
        <v>4</v>
      </c>
      <c r="O9" s="121">
        <v>29433</v>
      </c>
      <c r="P9" s="121">
        <v>29961</v>
      </c>
      <c r="Q9" s="125">
        <f t="shared" si="0"/>
        <v>-528</v>
      </c>
      <c r="R9" s="122">
        <f t="shared" si="1"/>
        <v>10908</v>
      </c>
      <c r="S9" s="130">
        <f>R9*C5</f>
        <v>59.920347905699252</v>
      </c>
      <c r="T9" s="122">
        <f t="shared" si="2"/>
        <v>10990</v>
      </c>
      <c r="U9" s="130">
        <f>T9*C5</f>
        <v>60.370794232089729</v>
      </c>
      <c r="V9" s="113">
        <f>V10-D23</f>
        <v>29854.833333333336</v>
      </c>
      <c r="W9" s="130">
        <v>59.9</v>
      </c>
      <c r="X9">
        <v>60</v>
      </c>
      <c r="Y9" s="130">
        <f t="shared" si="3"/>
        <v>0.45044632639047677</v>
      </c>
    </row>
    <row r="10" spans="2:25" x14ac:dyDescent="0.25">
      <c r="B10" t="s">
        <v>276</v>
      </c>
      <c r="C10" s="109">
        <f>C9/C5</f>
        <v>195.69479166666665</v>
      </c>
      <c r="N10" s="13">
        <v>3</v>
      </c>
      <c r="O10" s="121">
        <v>40341</v>
      </c>
      <c r="P10" s="121">
        <v>40951</v>
      </c>
      <c r="Q10" s="125">
        <f t="shared" si="0"/>
        <v>-610</v>
      </c>
      <c r="R10" s="122">
        <f t="shared" si="1"/>
        <v>10852</v>
      </c>
      <c r="S10" s="130">
        <f>R10*C5</f>
        <v>59.612726024261846</v>
      </c>
      <c r="T10" s="122">
        <f t="shared" si="2"/>
        <v>10813</v>
      </c>
      <c r="U10" s="130">
        <f>T10*C5</f>
        <v>59.398489356832229</v>
      </c>
      <c r="V10" s="113">
        <f>V11-D23</f>
        <v>40777.333333333336</v>
      </c>
      <c r="W10" s="130">
        <v>59.7</v>
      </c>
      <c r="X10">
        <v>60</v>
      </c>
      <c r="Y10" s="130">
        <f t="shared" si="3"/>
        <v>0.214236667429617</v>
      </c>
    </row>
    <row r="11" spans="2:25" x14ac:dyDescent="0.25">
      <c r="N11" s="13">
        <v>2</v>
      </c>
      <c r="O11" s="121">
        <v>51193</v>
      </c>
      <c r="P11" s="121">
        <v>51764</v>
      </c>
      <c r="Q11" s="125">
        <f t="shared" si="0"/>
        <v>-571</v>
      </c>
      <c r="R11" s="122">
        <f t="shared" si="1"/>
        <v>11000</v>
      </c>
      <c r="S11" s="130">
        <f>R11*C5</f>
        <v>60.425726710917836</v>
      </c>
      <c r="T11" s="122">
        <f t="shared" si="2"/>
        <v>10871</v>
      </c>
      <c r="U11" s="130">
        <f>T11*C5</f>
        <v>59.717097734035256</v>
      </c>
      <c r="V11" s="113">
        <f>V12-D23</f>
        <v>51699.833333333336</v>
      </c>
      <c r="W11" s="130">
        <v>59.9</v>
      </c>
      <c r="X11">
        <v>60</v>
      </c>
      <c r="Y11" s="130">
        <f t="shared" si="3"/>
        <v>0.70862897688257931</v>
      </c>
    </row>
    <row r="12" spans="2:25" x14ac:dyDescent="0.25">
      <c r="N12" s="126">
        <v>1</v>
      </c>
      <c r="O12" s="127">
        <v>62193</v>
      </c>
      <c r="P12" s="127">
        <v>62635</v>
      </c>
      <c r="Q12" s="128">
        <f t="shared" si="0"/>
        <v>-442</v>
      </c>
      <c r="R12" s="122">
        <f>O12-O11</f>
        <v>11000</v>
      </c>
      <c r="S12" s="130">
        <f>R12*C5</f>
        <v>60.425726710917836</v>
      </c>
      <c r="T12" s="122">
        <f>ABS(P12-P11)</f>
        <v>10871</v>
      </c>
      <c r="U12" s="130">
        <f>T12*C5</f>
        <v>59.717097734035256</v>
      </c>
      <c r="V12" s="113">
        <f>C3-D24</f>
        <v>62622.333333333336</v>
      </c>
      <c r="W12" s="130">
        <v>59.7</v>
      </c>
      <c r="X12">
        <v>60</v>
      </c>
      <c r="Y12" s="130">
        <f t="shared" si="3"/>
        <v>0.70862897688257931</v>
      </c>
    </row>
    <row r="13" spans="2:25" x14ac:dyDescent="0.25">
      <c r="B13" t="s">
        <v>278</v>
      </c>
      <c r="C13" s="110">
        <v>90</v>
      </c>
    </row>
    <row r="14" spans="2:25" x14ac:dyDescent="0.25">
      <c r="B14" t="s">
        <v>279</v>
      </c>
      <c r="C14" s="111">
        <f>C13/C5</f>
        <v>16383.749999999998</v>
      </c>
      <c r="O14" s="131">
        <v>1</v>
      </c>
      <c r="P14" s="131">
        <v>28350</v>
      </c>
    </row>
    <row r="15" spans="2:25" x14ac:dyDescent="0.25">
      <c r="O15" s="131">
        <v>2</v>
      </c>
      <c r="Q15" s="122">
        <f>C3-O12</f>
        <v>3342</v>
      </c>
      <c r="R15">
        <f>Q15*C5</f>
        <v>18.358434424353401</v>
      </c>
    </row>
    <row r="19" spans="2:13" x14ac:dyDescent="0.25">
      <c r="B19" t="s">
        <v>277</v>
      </c>
      <c r="C19" s="107">
        <v>1.0795999999999999</v>
      </c>
      <c r="D19" t="s">
        <v>311</v>
      </c>
    </row>
    <row r="20" spans="2:13" x14ac:dyDescent="0.25">
      <c r="B20" t="s">
        <v>276</v>
      </c>
      <c r="C20" s="109">
        <f>C19/C5</f>
        <v>196.53218333333331</v>
      </c>
      <c r="D20" t="s">
        <v>312</v>
      </c>
    </row>
    <row r="22" spans="2:13" ht="30" x14ac:dyDescent="0.25">
      <c r="C22" s="129" t="s">
        <v>317</v>
      </c>
      <c r="D22">
        <f>360/6</f>
        <v>60</v>
      </c>
    </row>
    <row r="23" spans="2:13" x14ac:dyDescent="0.25">
      <c r="C23" s="107" t="s">
        <v>322</v>
      </c>
      <c r="D23" s="113">
        <f>D22/C5</f>
        <v>10922.5</v>
      </c>
    </row>
    <row r="24" spans="2:13" x14ac:dyDescent="0.25">
      <c r="C24" s="107" t="s">
        <v>320</v>
      </c>
      <c r="D24" s="133">
        <f>16/C5</f>
        <v>2912.6666666666665</v>
      </c>
    </row>
    <row r="30" spans="2:13" x14ac:dyDescent="0.25">
      <c r="M30">
        <f>200*128</f>
        <v>25600</v>
      </c>
    </row>
    <row r="32" spans="2:13" x14ac:dyDescent="0.25">
      <c r="D32" t="s">
        <v>286</v>
      </c>
    </row>
    <row r="33" spans="2:18" ht="60.75" thickBot="1" x14ac:dyDescent="0.3">
      <c r="E33" s="112" t="s">
        <v>6</v>
      </c>
      <c r="F33" s="112" t="s">
        <v>7</v>
      </c>
      <c r="G33" s="112" t="s">
        <v>5</v>
      </c>
      <c r="H33" s="112" t="s">
        <v>8</v>
      </c>
      <c r="I33" s="112" t="s">
        <v>4</v>
      </c>
      <c r="J33" s="95" t="s">
        <v>210</v>
      </c>
      <c r="K33" s="18" t="s">
        <v>287</v>
      </c>
      <c r="L33" s="112" t="s">
        <v>15</v>
      </c>
      <c r="M33" s="112" t="s">
        <v>13</v>
      </c>
      <c r="N33" s="95" t="s">
        <v>14</v>
      </c>
      <c r="O33" s="112" t="s">
        <v>9</v>
      </c>
      <c r="P33" s="112" t="s">
        <v>16</v>
      </c>
      <c r="Q33" s="95" t="s">
        <v>211</v>
      </c>
      <c r="R33" s="18" t="s">
        <v>288</v>
      </c>
    </row>
    <row r="34" spans="2:18" ht="15.75" thickBot="1" x14ac:dyDescent="0.3">
      <c r="D34" s="63" t="s">
        <v>302</v>
      </c>
      <c r="E34" s="49">
        <v>200</v>
      </c>
      <c r="F34" s="49">
        <v>128</v>
      </c>
      <c r="G34" s="49">
        <v>1</v>
      </c>
      <c r="H34" s="49">
        <v>1</v>
      </c>
      <c r="I34" s="49">
        <v>0.01</v>
      </c>
      <c r="J34" s="50">
        <f>I34*1000</f>
        <v>10</v>
      </c>
      <c r="K34" s="52">
        <f>100899*I34</f>
        <v>1008.99</v>
      </c>
      <c r="L34" s="50">
        <f>(E34*F34)*H34</f>
        <v>25600</v>
      </c>
      <c r="M34" s="114">
        <f>(K34/L34)</f>
        <v>3.9413671875E-2</v>
      </c>
      <c r="N34" s="52">
        <f>M34*1000</f>
        <v>39.413671874999999</v>
      </c>
      <c r="O34" s="52">
        <v>100899</v>
      </c>
      <c r="P34" s="52">
        <f>L34/O34</f>
        <v>0.2537190656002537</v>
      </c>
      <c r="Q34" s="50">
        <f>P34*100000</f>
        <v>25371.906560025371</v>
      </c>
      <c r="R34" s="50">
        <v>93500</v>
      </c>
    </row>
    <row r="35" spans="2:18" ht="15.75" thickBot="1" x14ac:dyDescent="0.3">
      <c r="D35" s="120">
        <v>10.000694444444445</v>
      </c>
      <c r="E35" s="49">
        <v>200</v>
      </c>
      <c r="F35" s="49">
        <v>128</v>
      </c>
      <c r="G35" s="49">
        <v>1</v>
      </c>
      <c r="H35" s="49">
        <v>1</v>
      </c>
      <c r="I35" s="49">
        <v>0.01</v>
      </c>
      <c r="J35" s="50">
        <f>I35*1000</f>
        <v>10</v>
      </c>
      <c r="K35" s="52">
        <f>26023*I34</f>
        <v>260.23</v>
      </c>
      <c r="L35" s="50">
        <f>(E35*F35)*H35</f>
        <v>25600</v>
      </c>
      <c r="M35" s="114">
        <f>(K35/L35)</f>
        <v>1.0165234375E-2</v>
      </c>
      <c r="N35" s="52">
        <f>M35*1000</f>
        <v>10.165234375000001</v>
      </c>
      <c r="O35" s="52">
        <v>26023</v>
      </c>
      <c r="P35" s="53">
        <f>L35/O35</f>
        <v>0.98374514852246087</v>
      </c>
      <c r="Q35" s="119">
        <f>P35*100000</f>
        <v>98374.51485224608</v>
      </c>
      <c r="R35" s="118"/>
    </row>
    <row r="36" spans="2:18" x14ac:dyDescent="0.25">
      <c r="H36" t="s">
        <v>290</v>
      </c>
      <c r="I36">
        <v>1000</v>
      </c>
    </row>
    <row r="37" spans="2:18" x14ac:dyDescent="0.25">
      <c r="H37" t="s">
        <v>289</v>
      </c>
      <c r="I37" s="88">
        <f>I36/I34</f>
        <v>100000</v>
      </c>
    </row>
    <row r="41" spans="2:18" x14ac:dyDescent="0.25">
      <c r="B41" t="s">
        <v>291</v>
      </c>
      <c r="C41" s="107" t="s">
        <v>219</v>
      </c>
      <c r="D41">
        <f>2^16</f>
        <v>65536</v>
      </c>
    </row>
    <row r="43" spans="2:18" x14ac:dyDescent="0.25">
      <c r="B43" t="s">
        <v>292</v>
      </c>
      <c r="C43" s="107" t="s">
        <v>293</v>
      </c>
      <c r="D43" t="s">
        <v>294</v>
      </c>
    </row>
    <row r="44" spans="2:18" x14ac:dyDescent="0.25">
      <c r="B44">
        <v>1</v>
      </c>
      <c r="C44" s="116">
        <v>36473</v>
      </c>
    </row>
    <row r="45" spans="2:18" x14ac:dyDescent="0.25">
      <c r="B45">
        <v>2</v>
      </c>
      <c r="C45" s="116">
        <v>25410</v>
      </c>
      <c r="D45" s="117">
        <f>C44-C45</f>
        <v>11063</v>
      </c>
      <c r="E45" s="117">
        <f>center-D45</f>
        <v>-62</v>
      </c>
    </row>
    <row r="46" spans="2:18" x14ac:dyDescent="0.25">
      <c r="B46">
        <v>3</v>
      </c>
      <c r="C46" s="116">
        <v>14284</v>
      </c>
      <c r="D46" s="117">
        <f>C45-C46</f>
        <v>11126</v>
      </c>
      <c r="E46" s="117">
        <f>center-D46</f>
        <v>-125</v>
      </c>
    </row>
    <row r="47" spans="2:18" x14ac:dyDescent="0.25">
      <c r="B47">
        <v>4</v>
      </c>
      <c r="C47" s="116">
        <v>3283</v>
      </c>
      <c r="D47" s="117">
        <f>C46-C47</f>
        <v>11001</v>
      </c>
      <c r="E47" s="117">
        <f>center-D47</f>
        <v>0</v>
      </c>
    </row>
    <row r="48" spans="2:18" x14ac:dyDescent="0.25">
      <c r="B48">
        <v>5</v>
      </c>
      <c r="C48" s="116">
        <v>57893</v>
      </c>
      <c r="D48" s="117">
        <f>C47+(65536 - C48)</f>
        <v>10926</v>
      </c>
      <c r="E48" s="117">
        <f>center-D48</f>
        <v>75</v>
      </c>
    </row>
    <row r="49" spans="2:17" x14ac:dyDescent="0.25">
      <c r="B49">
        <v>6</v>
      </c>
      <c r="C49" s="116">
        <v>47179</v>
      </c>
      <c r="D49" s="117">
        <f>C48 - C49</f>
        <v>10714</v>
      </c>
      <c r="E49" s="117">
        <f>center-D49</f>
        <v>287</v>
      </c>
    </row>
    <row r="50" spans="2:17" x14ac:dyDescent="0.25">
      <c r="D50" s="117"/>
    </row>
    <row r="53" spans="2:17" x14ac:dyDescent="0.25">
      <c r="D53" s="117"/>
    </row>
    <row r="59" spans="2:17" x14ac:dyDescent="0.25">
      <c r="C59" s="107" t="s">
        <v>286</v>
      </c>
    </row>
    <row r="60" spans="2:17" ht="45" x14ac:dyDescent="0.25">
      <c r="C60" t="s">
        <v>298</v>
      </c>
      <c r="D60" s="115" t="s">
        <v>295</v>
      </c>
      <c r="E60" s="115" t="s">
        <v>296</v>
      </c>
      <c r="F60" s="115" t="s">
        <v>297</v>
      </c>
      <c r="G60" s="115" t="s">
        <v>299</v>
      </c>
      <c r="O60" t="s">
        <v>324</v>
      </c>
    </row>
    <row r="61" spans="2:17" x14ac:dyDescent="0.25">
      <c r="C61">
        <v>0</v>
      </c>
      <c r="D61">
        <v>110402044</v>
      </c>
      <c r="O61" t="s">
        <v>325</v>
      </c>
      <c r="Q61">
        <v>14.1</v>
      </c>
    </row>
    <row r="62" spans="2:17" x14ac:dyDescent="0.25">
      <c r="C62">
        <v>1</v>
      </c>
      <c r="D62">
        <v>110427705</v>
      </c>
      <c r="E62">
        <f>D61-D62</f>
        <v>-25661</v>
      </c>
      <c r="O62" t="s">
        <v>326</v>
      </c>
      <c r="Q62">
        <v>18.100000000000001</v>
      </c>
    </row>
    <row r="63" spans="2:17" x14ac:dyDescent="0.25">
      <c r="C63">
        <v>2</v>
      </c>
      <c r="D63">
        <v>110453767</v>
      </c>
      <c r="E63">
        <f>D62-D63</f>
        <v>-26062</v>
      </c>
      <c r="F63">
        <f>E62-E63</f>
        <v>401</v>
      </c>
      <c r="G63">
        <f t="shared" ref="G63:G68" si="4">F63/100</f>
        <v>4.01</v>
      </c>
      <c r="O63" t="s">
        <v>327</v>
      </c>
      <c r="Q63">
        <f>Q61/Q62</f>
        <v>0.77900552486187835</v>
      </c>
    </row>
    <row r="64" spans="2:17" x14ac:dyDescent="0.25">
      <c r="C64">
        <v>3</v>
      </c>
      <c r="D64">
        <v>110479883</v>
      </c>
      <c r="E64">
        <f>D63-D64</f>
        <v>-26116</v>
      </c>
      <c r="F64">
        <f>E63-E64</f>
        <v>54</v>
      </c>
      <c r="G64">
        <f t="shared" si="4"/>
        <v>0.54</v>
      </c>
    </row>
    <row r="65" spans="3:17" x14ac:dyDescent="0.25">
      <c r="C65">
        <v>4</v>
      </c>
      <c r="D65">
        <v>110506073</v>
      </c>
      <c r="E65">
        <f t="shared" ref="E65:F68" si="5">D64-D65</f>
        <v>-26190</v>
      </c>
      <c r="F65">
        <f t="shared" si="5"/>
        <v>74</v>
      </c>
      <c r="G65">
        <f t="shared" si="4"/>
        <v>0.74</v>
      </c>
    </row>
    <row r="66" spans="3:17" x14ac:dyDescent="0.25">
      <c r="C66">
        <v>5</v>
      </c>
      <c r="D66">
        <v>110532445</v>
      </c>
      <c r="E66">
        <f t="shared" si="5"/>
        <v>-26372</v>
      </c>
      <c r="F66">
        <f t="shared" si="5"/>
        <v>182</v>
      </c>
      <c r="G66">
        <f t="shared" si="4"/>
        <v>1.82</v>
      </c>
      <c r="Q66" s="88"/>
    </row>
    <row r="67" spans="3:17" x14ac:dyDescent="0.25">
      <c r="C67">
        <v>6</v>
      </c>
      <c r="D67">
        <v>110558253</v>
      </c>
      <c r="E67">
        <f t="shared" si="5"/>
        <v>-25808</v>
      </c>
      <c r="F67">
        <f t="shared" si="5"/>
        <v>-564</v>
      </c>
      <c r="G67">
        <f t="shared" si="4"/>
        <v>-5.64</v>
      </c>
    </row>
    <row r="68" spans="3:17" x14ac:dyDescent="0.25">
      <c r="C68">
        <v>7</v>
      </c>
      <c r="D68">
        <v>110584209</v>
      </c>
      <c r="E68">
        <f t="shared" si="5"/>
        <v>-25956</v>
      </c>
      <c r="F68">
        <f t="shared" si="5"/>
        <v>148</v>
      </c>
      <c r="G68">
        <f t="shared" si="4"/>
        <v>1.48</v>
      </c>
    </row>
    <row r="70" spans="3:17" x14ac:dyDescent="0.25">
      <c r="D70" t="s">
        <v>300</v>
      </c>
      <c r="E70">
        <f>SUM(E62:E68)/7</f>
        <v>-26023.571428571428</v>
      </c>
    </row>
    <row r="72" spans="3:17" x14ac:dyDescent="0.25">
      <c r="C72" s="107" t="s">
        <v>301</v>
      </c>
    </row>
    <row r="73" spans="3:17" x14ac:dyDescent="0.25">
      <c r="D73">
        <v>110436943</v>
      </c>
    </row>
    <row r="74" spans="3:17" x14ac:dyDescent="0.25">
      <c r="D74">
        <v>110536595</v>
      </c>
      <c r="E74">
        <f>D73-D74</f>
        <v>-99652</v>
      </c>
    </row>
    <row r="75" spans="3:17" x14ac:dyDescent="0.25">
      <c r="D75">
        <v>110636982</v>
      </c>
      <c r="E75">
        <f t="shared" ref="E75:F77" si="6">D74-D75</f>
        <v>-100387</v>
      </c>
      <c r="F75">
        <f>E74-E75</f>
        <v>735</v>
      </c>
      <c r="G75">
        <f>F75/100</f>
        <v>7.35</v>
      </c>
    </row>
    <row r="76" spans="3:17" x14ac:dyDescent="0.25">
      <c r="D76">
        <v>110738553</v>
      </c>
      <c r="E76">
        <f t="shared" si="6"/>
        <v>-101571</v>
      </c>
      <c r="F76">
        <f t="shared" si="6"/>
        <v>1184</v>
      </c>
      <c r="G76">
        <f>F76/100</f>
        <v>11.84</v>
      </c>
    </row>
    <row r="77" spans="3:17" x14ac:dyDescent="0.25">
      <c r="D77">
        <v>110840540</v>
      </c>
      <c r="E77">
        <f t="shared" si="6"/>
        <v>-101987</v>
      </c>
      <c r="F77">
        <f t="shared" si="6"/>
        <v>416</v>
      </c>
      <c r="G77">
        <f>F77/100</f>
        <v>4.16</v>
      </c>
    </row>
    <row r="79" spans="3:17" x14ac:dyDescent="0.25">
      <c r="D79" t="s">
        <v>300</v>
      </c>
      <c r="E79">
        <f>SUM(E74:E77)/4</f>
        <v>-100899.25</v>
      </c>
    </row>
    <row r="84" spans="2:12" x14ac:dyDescent="0.25">
      <c r="B84" s="193">
        <v>43913</v>
      </c>
      <c r="C84" s="107" t="s">
        <v>699</v>
      </c>
      <c r="K84" s="181" t="s">
        <v>706</v>
      </c>
      <c r="L84" t="s">
        <v>711</v>
      </c>
    </row>
    <row r="85" spans="2:12" x14ac:dyDescent="0.25">
      <c r="K85" t="s">
        <v>739</v>
      </c>
      <c r="L85" s="198">
        <v>7000</v>
      </c>
    </row>
    <row r="86" spans="2:12" x14ac:dyDescent="0.25">
      <c r="C86" s="107" t="s">
        <v>700</v>
      </c>
      <c r="D86" t="s">
        <v>703</v>
      </c>
      <c r="K86" t="s">
        <v>710</v>
      </c>
      <c r="L86" s="88">
        <v>65535</v>
      </c>
    </row>
    <row r="87" spans="2:12" x14ac:dyDescent="0.25">
      <c r="D87" t="s">
        <v>701</v>
      </c>
      <c r="E87" t="s">
        <v>702</v>
      </c>
      <c r="F87" t="s">
        <v>294</v>
      </c>
      <c r="K87" t="s">
        <v>735</v>
      </c>
      <c r="L87" s="198">
        <v>8000</v>
      </c>
    </row>
    <row r="88" spans="2:12" x14ac:dyDescent="0.25">
      <c r="C88" s="107">
        <v>1</v>
      </c>
      <c r="D88">
        <v>62279</v>
      </c>
      <c r="E88">
        <v>52402</v>
      </c>
      <c r="K88" t="s">
        <v>707</v>
      </c>
      <c r="L88" s="88">
        <f>L87-L85</f>
        <v>1000</v>
      </c>
    </row>
    <row r="89" spans="2:12" x14ac:dyDescent="0.25">
      <c r="C89" s="107">
        <v>2</v>
      </c>
      <c r="D89">
        <v>62284</v>
      </c>
      <c r="E89">
        <v>52409</v>
      </c>
      <c r="F89">
        <f>D89-D88</f>
        <v>5</v>
      </c>
      <c r="G89">
        <f>E89-E88</f>
        <v>7</v>
      </c>
      <c r="K89" t="s">
        <v>708</v>
      </c>
      <c r="L89" s="88">
        <f>ABS(L88)</f>
        <v>1000</v>
      </c>
    </row>
    <row r="90" spans="2:12" ht="30" x14ac:dyDescent="0.25">
      <c r="C90" s="192">
        <v>3</v>
      </c>
      <c r="D90">
        <v>62289</v>
      </c>
      <c r="E90">
        <v>52400</v>
      </c>
      <c r="F90">
        <f t="shared" ref="F90:F97" si="7">D90-D89</f>
        <v>5</v>
      </c>
      <c r="G90">
        <f t="shared" ref="G90:G97" si="8">E90-E89</f>
        <v>-9</v>
      </c>
      <c r="K90" s="196" t="s">
        <v>736</v>
      </c>
      <c r="L90" s="88">
        <f>L86/2</f>
        <v>32767.5</v>
      </c>
    </row>
    <row r="91" spans="2:12" x14ac:dyDescent="0.25">
      <c r="C91" s="192">
        <v>4</v>
      </c>
      <c r="D91">
        <v>62284</v>
      </c>
      <c r="E91">
        <v>52389</v>
      </c>
      <c r="F91">
        <f t="shared" si="7"/>
        <v>-5</v>
      </c>
      <c r="G91">
        <f t="shared" si="8"/>
        <v>-11</v>
      </c>
      <c r="K91" t="s">
        <v>737</v>
      </c>
      <c r="L91" s="88">
        <f>IF(L89&gt;L90,1,2)</f>
        <v>2</v>
      </c>
    </row>
    <row r="92" spans="2:12" x14ac:dyDescent="0.25">
      <c r="C92" s="192">
        <v>5</v>
      </c>
      <c r="D92">
        <v>62287</v>
      </c>
      <c r="E92">
        <v>52393</v>
      </c>
      <c r="F92">
        <f t="shared" si="7"/>
        <v>3</v>
      </c>
      <c r="G92">
        <f t="shared" si="8"/>
        <v>4</v>
      </c>
      <c r="K92" t="s">
        <v>738</v>
      </c>
      <c r="L92" s="88">
        <f>IF(L87&lt;L85,1,2)</f>
        <v>2</v>
      </c>
    </row>
    <row r="93" spans="2:12" x14ac:dyDescent="0.25">
      <c r="B93" t="s">
        <v>704</v>
      </c>
      <c r="C93" s="192">
        <v>6</v>
      </c>
      <c r="D93">
        <v>62287</v>
      </c>
      <c r="E93">
        <v>52392</v>
      </c>
      <c r="F93">
        <f t="shared" si="7"/>
        <v>0</v>
      </c>
      <c r="G93">
        <f t="shared" si="8"/>
        <v>-1</v>
      </c>
      <c r="K93" t="s">
        <v>709</v>
      </c>
      <c r="L93" s="88">
        <f>L87+L86-L85</f>
        <v>66535</v>
      </c>
    </row>
    <row r="94" spans="2:12" x14ac:dyDescent="0.25">
      <c r="C94" s="192">
        <v>7</v>
      </c>
      <c r="D94">
        <v>62280</v>
      </c>
      <c r="E94">
        <v>52409</v>
      </c>
      <c r="F94">
        <f t="shared" si="7"/>
        <v>-7</v>
      </c>
      <c r="G94">
        <f t="shared" si="8"/>
        <v>17</v>
      </c>
      <c r="K94" t="s">
        <v>712</v>
      </c>
      <c r="L94" s="88">
        <f>(L85+L86-L87)*-1</f>
        <v>-64535</v>
      </c>
    </row>
    <row r="95" spans="2:12" x14ac:dyDescent="0.25">
      <c r="C95" s="192">
        <v>8</v>
      </c>
      <c r="D95">
        <v>62290</v>
      </c>
      <c r="E95">
        <v>52413</v>
      </c>
      <c r="F95">
        <f t="shared" si="7"/>
        <v>10</v>
      </c>
      <c r="G95">
        <f t="shared" si="8"/>
        <v>4</v>
      </c>
      <c r="K95" t="s">
        <v>740</v>
      </c>
      <c r="L95" s="96">
        <f>L93-L86</f>
        <v>1000</v>
      </c>
    </row>
    <row r="96" spans="2:12" x14ac:dyDescent="0.25">
      <c r="C96" s="192">
        <v>9</v>
      </c>
      <c r="D96">
        <v>62282</v>
      </c>
      <c r="E96">
        <v>52396</v>
      </c>
      <c r="F96">
        <f t="shared" si="7"/>
        <v>-8</v>
      </c>
      <c r="G96">
        <f t="shared" si="8"/>
        <v>-17</v>
      </c>
    </row>
    <row r="97" spans="2:9" x14ac:dyDescent="0.25">
      <c r="B97" t="s">
        <v>705</v>
      </c>
      <c r="C97" s="192">
        <v>10</v>
      </c>
      <c r="D97">
        <v>62277</v>
      </c>
      <c r="E97">
        <v>52395</v>
      </c>
      <c r="F97">
        <f t="shared" si="7"/>
        <v>-5</v>
      </c>
      <c r="G97">
        <f t="shared" si="8"/>
        <v>-1</v>
      </c>
    </row>
    <row r="98" spans="2:9" x14ac:dyDescent="0.25">
      <c r="C98" s="107">
        <v>11</v>
      </c>
      <c r="D98">
        <v>62281</v>
      </c>
      <c r="E98">
        <v>52395</v>
      </c>
      <c r="F98">
        <f t="shared" ref="F98" si="9">D98-D97</f>
        <v>4</v>
      </c>
      <c r="G98">
        <f t="shared" ref="G98" si="10">E98-E97</f>
        <v>0</v>
      </c>
    </row>
    <row r="102" spans="2:9" x14ac:dyDescent="0.25">
      <c r="I102">
        <v>38000000</v>
      </c>
    </row>
    <row r="103" spans="2:9" x14ac:dyDescent="0.25">
      <c r="I103">
        <v>500000</v>
      </c>
    </row>
    <row r="104" spans="2:9" x14ac:dyDescent="0.25">
      <c r="I104">
        <f>I102/I103</f>
        <v>76</v>
      </c>
    </row>
    <row r="107" spans="2:9" ht="45" x14ac:dyDescent="0.25">
      <c r="C107" s="107" t="s">
        <v>731</v>
      </c>
      <c r="E107" t="s">
        <v>294</v>
      </c>
      <c r="F107" s="195" t="s">
        <v>732</v>
      </c>
    </row>
    <row r="108" spans="2:9" x14ac:dyDescent="0.25">
      <c r="C108" s="107">
        <v>1</v>
      </c>
      <c r="D108">
        <v>62295</v>
      </c>
      <c r="F108">
        <v>62325</v>
      </c>
    </row>
    <row r="109" spans="2:9" x14ac:dyDescent="0.25">
      <c r="C109" s="107">
        <v>2</v>
      </c>
      <c r="D109">
        <v>51530</v>
      </c>
      <c r="E109">
        <f>D108-D109</f>
        <v>10765</v>
      </c>
      <c r="F109">
        <v>51460</v>
      </c>
    </row>
    <row r="110" spans="2:9" x14ac:dyDescent="0.25">
      <c r="C110" s="194">
        <v>3</v>
      </c>
      <c r="D110">
        <v>40570</v>
      </c>
      <c r="E110">
        <f t="shared" ref="E110:E113" si="11">D109-D110</f>
        <v>10960</v>
      </c>
      <c r="F110">
        <v>40575</v>
      </c>
    </row>
    <row r="111" spans="2:9" x14ac:dyDescent="0.25">
      <c r="C111" s="194">
        <v>4</v>
      </c>
      <c r="D111">
        <v>29575</v>
      </c>
      <c r="E111">
        <f t="shared" si="11"/>
        <v>10995</v>
      </c>
      <c r="F111">
        <v>29600</v>
      </c>
    </row>
    <row r="112" spans="2:9" x14ac:dyDescent="0.25">
      <c r="C112" s="194">
        <v>5</v>
      </c>
      <c r="D112">
        <v>18736</v>
      </c>
      <c r="E112">
        <f t="shared" si="11"/>
        <v>10839</v>
      </c>
      <c r="F112">
        <v>18688</v>
      </c>
    </row>
    <row r="113" spans="2:22" x14ac:dyDescent="0.25">
      <c r="C113" s="194">
        <v>6</v>
      </c>
      <c r="D113">
        <v>7735</v>
      </c>
      <c r="E113">
        <f t="shared" si="11"/>
        <v>11001</v>
      </c>
      <c r="F113">
        <v>7776</v>
      </c>
    </row>
    <row r="115" spans="2:22" x14ac:dyDescent="0.25">
      <c r="D115" t="s">
        <v>300</v>
      </c>
      <c r="E115">
        <f>SUM(E109:E113)/5</f>
        <v>10912</v>
      </c>
    </row>
    <row r="121" spans="2:22" x14ac:dyDescent="0.25">
      <c r="B121" t="s">
        <v>741</v>
      </c>
    </row>
    <row r="122" spans="2:22" x14ac:dyDescent="0.25">
      <c r="D122" t="s">
        <v>744</v>
      </c>
      <c r="E122" t="s">
        <v>745</v>
      </c>
      <c r="F122" t="s">
        <v>746</v>
      </c>
      <c r="G122" t="s">
        <v>747</v>
      </c>
      <c r="H122" t="s">
        <v>748</v>
      </c>
      <c r="I122" t="s">
        <v>749</v>
      </c>
      <c r="J122" t="s">
        <v>756</v>
      </c>
      <c r="K122" t="s">
        <v>757</v>
      </c>
      <c r="L122" t="s">
        <v>761</v>
      </c>
    </row>
    <row r="123" spans="2:22" x14ac:dyDescent="0.25">
      <c r="C123" s="107" t="s">
        <v>742</v>
      </c>
      <c r="D123" s="88">
        <v>62288</v>
      </c>
      <c r="E123" s="199">
        <v>52408</v>
      </c>
      <c r="F123" s="88">
        <v>62247</v>
      </c>
      <c r="G123" s="199">
        <v>64214</v>
      </c>
      <c r="H123" s="88">
        <f>D123-F123</f>
        <v>41</v>
      </c>
      <c r="I123" s="199">
        <f>E123-G123</f>
        <v>-11806</v>
      </c>
      <c r="J123" s="88">
        <f>D123-D124</f>
        <v>10750</v>
      </c>
      <c r="K123" s="88">
        <f>F123-F124</f>
        <v>11010</v>
      </c>
      <c r="L123" s="96">
        <f t="shared" ref="L123:M128" si="12">J123-cpp</f>
        <v>-172.5</v>
      </c>
      <c r="M123" s="96">
        <f t="shared" si="12"/>
        <v>87.5</v>
      </c>
      <c r="N123" t="s">
        <v>758</v>
      </c>
      <c r="P123">
        <v>6</v>
      </c>
      <c r="Q123" s="96">
        <f>Q124+cpp</f>
        <v>52565</v>
      </c>
      <c r="R123" s="96">
        <f>Q123-E123</f>
        <v>157</v>
      </c>
      <c r="S123" s="96">
        <f>S124+cpp</f>
        <v>53382</v>
      </c>
      <c r="T123" s="96">
        <f>S123-G124</f>
        <v>179</v>
      </c>
      <c r="V123" s="88">
        <v>0</v>
      </c>
    </row>
    <row r="124" spans="2:22" x14ac:dyDescent="0.25">
      <c r="C124" s="107" t="s">
        <v>743</v>
      </c>
      <c r="D124" s="88">
        <v>51538</v>
      </c>
      <c r="E124" s="199">
        <v>41332</v>
      </c>
      <c r="F124" s="88">
        <v>51237</v>
      </c>
      <c r="G124" s="199">
        <v>53203</v>
      </c>
      <c r="H124" s="88">
        <f t="shared" ref="H124:H128" si="13">D124-F124</f>
        <v>301</v>
      </c>
      <c r="I124" s="199">
        <f t="shared" ref="I124:I127" si="14">E124-G124</f>
        <v>-11871</v>
      </c>
      <c r="J124" s="88">
        <f t="shared" ref="J124:J127" si="15">D124-D125</f>
        <v>10955</v>
      </c>
      <c r="K124" s="88">
        <f t="shared" ref="K124:K127" si="16">F124-F125</f>
        <v>10677</v>
      </c>
      <c r="L124" s="96">
        <f t="shared" si="12"/>
        <v>32.5</v>
      </c>
      <c r="M124" s="96">
        <f t="shared" si="12"/>
        <v>-245.5</v>
      </c>
      <c r="N124" t="s">
        <v>759</v>
      </c>
      <c r="P124" s="88">
        <v>65535</v>
      </c>
      <c r="Q124" s="96">
        <f>Q125+cpp</f>
        <v>41642.5</v>
      </c>
      <c r="R124" s="96">
        <f t="shared" ref="R124:R128" si="17">Q124-E124</f>
        <v>310.5</v>
      </c>
      <c r="S124" s="96">
        <f>S125+cpp</f>
        <v>42459.5</v>
      </c>
      <c r="T124" s="96">
        <f>S124-G125</f>
        <v>-66.5</v>
      </c>
      <c r="V124" s="88">
        <f>V123+10923</f>
        <v>10923</v>
      </c>
    </row>
    <row r="125" spans="2:22" x14ac:dyDescent="0.25">
      <c r="C125" s="197" t="s">
        <v>750</v>
      </c>
      <c r="D125" s="88">
        <v>40583</v>
      </c>
      <c r="E125" s="199">
        <v>30703</v>
      </c>
      <c r="F125" s="88">
        <v>40560</v>
      </c>
      <c r="G125" s="199">
        <v>42526</v>
      </c>
      <c r="H125" s="88">
        <f t="shared" si="13"/>
        <v>23</v>
      </c>
      <c r="I125" s="199">
        <f t="shared" si="14"/>
        <v>-11823</v>
      </c>
      <c r="J125" s="88">
        <f t="shared" si="15"/>
        <v>10992</v>
      </c>
      <c r="K125" s="88">
        <f t="shared" si="16"/>
        <v>10945</v>
      </c>
      <c r="L125" s="96">
        <f t="shared" si="12"/>
        <v>69.5</v>
      </c>
      <c r="M125" s="96">
        <f t="shared" si="12"/>
        <v>22.5</v>
      </c>
      <c r="N125" t="s">
        <v>760</v>
      </c>
      <c r="P125" s="88">
        <f>P124/P123</f>
        <v>10922.5</v>
      </c>
      <c r="Q125" s="96">
        <f>Q126+cpp</f>
        <v>30720</v>
      </c>
      <c r="R125" s="96">
        <f t="shared" si="17"/>
        <v>17</v>
      </c>
      <c r="S125" s="96">
        <f>S126+cpp</f>
        <v>31537</v>
      </c>
      <c r="T125" s="96">
        <f>S125-G126</f>
        <v>-43</v>
      </c>
      <c r="V125" s="88">
        <f t="shared" ref="V125:V128" si="18">V124+10923</f>
        <v>21846</v>
      </c>
    </row>
    <row r="126" spans="2:22" x14ac:dyDescent="0.25">
      <c r="C126" s="197" t="s">
        <v>751</v>
      </c>
      <c r="D126" s="88">
        <v>29591</v>
      </c>
      <c r="E126" s="199">
        <v>19711</v>
      </c>
      <c r="F126" s="88">
        <v>29615</v>
      </c>
      <c r="G126" s="199">
        <v>31580</v>
      </c>
      <c r="H126" s="88">
        <f t="shared" si="13"/>
        <v>-24</v>
      </c>
      <c r="I126" s="199">
        <f t="shared" si="14"/>
        <v>-11869</v>
      </c>
      <c r="J126" s="88">
        <f t="shared" si="15"/>
        <v>10836</v>
      </c>
      <c r="K126" s="88">
        <f t="shared" si="16"/>
        <v>11105</v>
      </c>
      <c r="L126" s="96">
        <f t="shared" si="12"/>
        <v>-86.5</v>
      </c>
      <c r="M126" s="96">
        <f t="shared" si="12"/>
        <v>182.5</v>
      </c>
      <c r="N126" t="s">
        <v>776</v>
      </c>
      <c r="P126" s="136">
        <f>16*(P124/360)</f>
        <v>2912.6666666666665</v>
      </c>
      <c r="Q126" s="96">
        <f>Q127+cpp</f>
        <v>19797.5</v>
      </c>
      <c r="R126" s="96">
        <f t="shared" si="17"/>
        <v>86.5</v>
      </c>
      <c r="S126" s="96">
        <f>S127+cpp</f>
        <v>20614.5</v>
      </c>
      <c r="T126" s="96">
        <f>S126-G127</f>
        <v>135.5</v>
      </c>
      <c r="V126" s="88">
        <f t="shared" si="18"/>
        <v>32769</v>
      </c>
    </row>
    <row r="127" spans="2:22" x14ac:dyDescent="0.25">
      <c r="C127" s="197" t="s">
        <v>752</v>
      </c>
      <c r="D127" s="88">
        <v>18755</v>
      </c>
      <c r="E127" s="199">
        <v>8875</v>
      </c>
      <c r="F127" s="88">
        <v>18510</v>
      </c>
      <c r="G127" s="199">
        <v>20479</v>
      </c>
      <c r="H127" s="88">
        <f t="shared" si="13"/>
        <v>245</v>
      </c>
      <c r="I127" s="199">
        <f t="shared" si="14"/>
        <v>-11604</v>
      </c>
      <c r="J127" s="88">
        <f t="shared" si="15"/>
        <v>11019</v>
      </c>
      <c r="K127" s="88">
        <f t="shared" si="16"/>
        <v>10785</v>
      </c>
      <c r="L127" s="96">
        <f t="shared" si="12"/>
        <v>96.5</v>
      </c>
      <c r="M127" s="96">
        <f t="shared" si="12"/>
        <v>-137.5</v>
      </c>
      <c r="Q127" s="96">
        <f>E127</f>
        <v>8875</v>
      </c>
      <c r="R127" s="96">
        <f t="shared" si="17"/>
        <v>0</v>
      </c>
      <c r="S127" s="96">
        <f>G128</f>
        <v>9692</v>
      </c>
      <c r="T127" s="96">
        <f>S127-G128</f>
        <v>0</v>
      </c>
      <c r="V127" s="88">
        <f t="shared" si="18"/>
        <v>43692</v>
      </c>
    </row>
    <row r="128" spans="2:22" x14ac:dyDescent="0.25">
      <c r="C128" s="197" t="s">
        <v>753</v>
      </c>
      <c r="D128" s="88">
        <v>7736</v>
      </c>
      <c r="E128" s="199">
        <v>63391</v>
      </c>
      <c r="F128" s="88">
        <v>7725</v>
      </c>
      <c r="G128" s="199">
        <v>9692</v>
      </c>
      <c r="H128" s="88">
        <f t="shared" si="13"/>
        <v>11</v>
      </c>
      <c r="I128" s="199">
        <f>G128+65535-E128</f>
        <v>11836</v>
      </c>
      <c r="J128" s="88">
        <f>D128+65535-D123</f>
        <v>10983</v>
      </c>
      <c r="K128" s="88">
        <f>F128+65535-F123</f>
        <v>11013</v>
      </c>
      <c r="L128" s="96">
        <f t="shared" si="12"/>
        <v>60.5</v>
      </c>
      <c r="M128" s="96">
        <f t="shared" si="12"/>
        <v>90.5</v>
      </c>
      <c r="Q128" s="96">
        <f>Q123+cpp</f>
        <v>63487.5</v>
      </c>
      <c r="R128" s="96">
        <f t="shared" si="17"/>
        <v>96.5</v>
      </c>
      <c r="S128" s="96">
        <f>S123+cpp</f>
        <v>64304.5</v>
      </c>
      <c r="T128" s="96">
        <f>S128-G123</f>
        <v>90.5</v>
      </c>
      <c r="V128" s="88">
        <f t="shared" si="18"/>
        <v>54615</v>
      </c>
    </row>
    <row r="129" spans="2:22" x14ac:dyDescent="0.25">
      <c r="B129" t="s">
        <v>754</v>
      </c>
      <c r="D129" s="88"/>
      <c r="E129" s="199"/>
      <c r="F129" s="88"/>
      <c r="G129" s="199"/>
      <c r="H129" s="88"/>
      <c r="I129" s="199"/>
      <c r="J129" s="88"/>
      <c r="K129" s="88"/>
      <c r="V129" s="88"/>
    </row>
    <row r="130" spans="2:22" x14ac:dyDescent="0.25">
      <c r="C130" s="197" t="s">
        <v>742</v>
      </c>
      <c r="D130" s="88">
        <v>62298</v>
      </c>
      <c r="E130" s="199">
        <v>64322</v>
      </c>
      <c r="F130" s="88">
        <v>62344</v>
      </c>
      <c r="G130" s="199">
        <v>52285</v>
      </c>
      <c r="H130" s="88">
        <f>D130-F130</f>
        <v>-46</v>
      </c>
      <c r="I130" s="199">
        <f>E130-G130</f>
        <v>12037</v>
      </c>
      <c r="J130" s="88">
        <f>D130-D131</f>
        <v>11006</v>
      </c>
      <c r="K130" s="88">
        <f>F130-F131</f>
        <v>10662</v>
      </c>
      <c r="L130" s="96">
        <f t="shared" ref="L130:M135" si="19">J130-cpp</f>
        <v>83.5</v>
      </c>
      <c r="M130" s="96">
        <f t="shared" si="19"/>
        <v>-260.5</v>
      </c>
      <c r="V130" s="88"/>
    </row>
    <row r="131" spans="2:22" x14ac:dyDescent="0.25">
      <c r="C131" s="197" t="s">
        <v>743</v>
      </c>
      <c r="D131" s="88">
        <v>51292</v>
      </c>
      <c r="E131" s="199">
        <v>53318</v>
      </c>
      <c r="F131" s="88">
        <v>51682</v>
      </c>
      <c r="G131" s="199">
        <v>41620</v>
      </c>
      <c r="H131" s="88">
        <f t="shared" ref="H131:H135" si="20">D131-F131</f>
        <v>-390</v>
      </c>
      <c r="I131" s="199">
        <f t="shared" ref="I131:I134" si="21">E131-G131</f>
        <v>11698</v>
      </c>
      <c r="J131" s="88">
        <f t="shared" ref="J131:J134" si="22">D131-D132</f>
        <v>10762</v>
      </c>
      <c r="K131" s="88">
        <f t="shared" ref="K131:K134" si="23">F131-F132</f>
        <v>11011</v>
      </c>
      <c r="L131" s="96">
        <f t="shared" si="19"/>
        <v>-160.5</v>
      </c>
      <c r="M131" s="96">
        <f t="shared" si="19"/>
        <v>88.5</v>
      </c>
      <c r="V131" s="88"/>
    </row>
    <row r="132" spans="2:22" x14ac:dyDescent="0.25">
      <c r="C132" s="197" t="s">
        <v>750</v>
      </c>
      <c r="D132" s="88">
        <v>40530</v>
      </c>
      <c r="E132" s="199">
        <v>42555</v>
      </c>
      <c r="F132" s="88">
        <v>40671</v>
      </c>
      <c r="G132" s="199">
        <v>30610</v>
      </c>
      <c r="H132" s="88">
        <f t="shared" si="20"/>
        <v>-141</v>
      </c>
      <c r="I132" s="199">
        <f t="shared" si="21"/>
        <v>11945</v>
      </c>
      <c r="J132" s="88">
        <f t="shared" si="22"/>
        <v>10939</v>
      </c>
      <c r="K132" s="88">
        <f t="shared" si="23"/>
        <v>11059</v>
      </c>
      <c r="L132" s="96">
        <f t="shared" si="19"/>
        <v>16.5</v>
      </c>
      <c r="M132" s="96">
        <f t="shared" si="19"/>
        <v>136.5</v>
      </c>
    </row>
    <row r="133" spans="2:22" x14ac:dyDescent="0.25">
      <c r="C133" s="197" t="s">
        <v>751</v>
      </c>
      <c r="D133" s="88">
        <v>29591</v>
      </c>
      <c r="E133" s="199">
        <v>31614</v>
      </c>
      <c r="F133" s="88">
        <v>29612</v>
      </c>
      <c r="G133" s="199">
        <v>19550</v>
      </c>
      <c r="H133" s="88">
        <f t="shared" si="20"/>
        <v>-21</v>
      </c>
      <c r="I133" s="199">
        <f t="shared" si="21"/>
        <v>12064</v>
      </c>
      <c r="J133" s="88">
        <f t="shared" si="22"/>
        <v>10978</v>
      </c>
      <c r="K133" s="88">
        <f t="shared" si="23"/>
        <v>10721</v>
      </c>
      <c r="L133" s="96">
        <f t="shared" si="19"/>
        <v>55.5</v>
      </c>
      <c r="M133" s="96">
        <f t="shared" si="19"/>
        <v>-201.5</v>
      </c>
    </row>
    <row r="134" spans="2:22" x14ac:dyDescent="0.25">
      <c r="C134" s="197" t="s">
        <v>752</v>
      </c>
      <c r="D134" s="88">
        <v>18613</v>
      </c>
      <c r="E134" s="199">
        <v>20636</v>
      </c>
      <c r="F134" s="88">
        <v>18891</v>
      </c>
      <c r="G134" s="199">
        <v>8832</v>
      </c>
      <c r="H134" s="88">
        <f t="shared" si="20"/>
        <v>-278</v>
      </c>
      <c r="I134" s="199">
        <f t="shared" si="21"/>
        <v>11804</v>
      </c>
      <c r="J134" s="88">
        <f t="shared" si="22"/>
        <v>10838</v>
      </c>
      <c r="K134" s="88">
        <f t="shared" si="23"/>
        <v>11046</v>
      </c>
      <c r="L134" s="96">
        <f t="shared" si="19"/>
        <v>-84.5</v>
      </c>
      <c r="M134" s="96">
        <f t="shared" si="19"/>
        <v>123.5</v>
      </c>
    </row>
    <row r="135" spans="2:22" x14ac:dyDescent="0.25">
      <c r="C135" s="197" t="s">
        <v>753</v>
      </c>
      <c r="D135" s="88">
        <v>7775</v>
      </c>
      <c r="E135" s="199">
        <v>9799</v>
      </c>
      <c r="F135" s="88">
        <v>7845</v>
      </c>
      <c r="G135" s="199">
        <v>63319</v>
      </c>
      <c r="H135" s="88">
        <f t="shared" si="20"/>
        <v>-70</v>
      </c>
      <c r="I135" s="199">
        <f>G135+65535-E135</f>
        <v>119055</v>
      </c>
      <c r="J135" s="88">
        <f>D135+65535-D130</f>
        <v>11012</v>
      </c>
      <c r="K135" s="88">
        <f>F135+65535-F130</f>
        <v>11036</v>
      </c>
      <c r="L135" s="96">
        <f t="shared" si="19"/>
        <v>89.5</v>
      </c>
      <c r="M135" s="96">
        <f t="shared" si="19"/>
        <v>113.5</v>
      </c>
    </row>
    <row r="137" spans="2:22" x14ac:dyDescent="0.25">
      <c r="C137" s="107" t="s">
        <v>755</v>
      </c>
      <c r="D137">
        <f>D123-F130</f>
        <v>-56</v>
      </c>
      <c r="F137">
        <f>F123-D130</f>
        <v>-51</v>
      </c>
    </row>
    <row r="138" spans="2:22" x14ac:dyDescent="0.25">
      <c r="D138">
        <f t="shared" ref="D138:D142" si="24">D124-F131</f>
        <v>-144</v>
      </c>
      <c r="F138">
        <f t="shared" ref="F138:F142" si="25">F124-D131</f>
        <v>-55</v>
      </c>
    </row>
    <row r="139" spans="2:22" x14ac:dyDescent="0.25">
      <c r="D139">
        <f t="shared" si="24"/>
        <v>-88</v>
      </c>
      <c r="F139">
        <f t="shared" si="25"/>
        <v>30</v>
      </c>
    </row>
    <row r="140" spans="2:22" x14ac:dyDescent="0.25">
      <c r="D140">
        <f t="shared" si="24"/>
        <v>-21</v>
      </c>
      <c r="F140">
        <f t="shared" si="25"/>
        <v>24</v>
      </c>
    </row>
    <row r="141" spans="2:22" x14ac:dyDescent="0.25">
      <c r="D141">
        <f t="shared" si="24"/>
        <v>-136</v>
      </c>
      <c r="F141">
        <f t="shared" si="25"/>
        <v>-103</v>
      </c>
    </row>
    <row r="142" spans="2:22" x14ac:dyDescent="0.25">
      <c r="D142">
        <f t="shared" si="24"/>
        <v>-109</v>
      </c>
      <c r="F142">
        <f t="shared" si="25"/>
        <v>-50</v>
      </c>
    </row>
    <row r="145" spans="2:17" x14ac:dyDescent="0.25">
      <c r="J145" t="s">
        <v>769</v>
      </c>
      <c r="K145">
        <v>105</v>
      </c>
      <c r="L145">
        <v>140</v>
      </c>
    </row>
    <row r="146" spans="2:17" x14ac:dyDescent="0.25">
      <c r="J146" t="s">
        <v>770</v>
      </c>
      <c r="K146">
        <v>2.1</v>
      </c>
      <c r="L146">
        <v>2.15</v>
      </c>
    </row>
    <row r="147" spans="2:17" x14ac:dyDescent="0.25">
      <c r="J147" t="s">
        <v>771</v>
      </c>
      <c r="K147">
        <v>0</v>
      </c>
      <c r="L147">
        <v>0</v>
      </c>
      <c r="M147">
        <f>RADIANS(1)</f>
        <v>1.7453292519943295E-2</v>
      </c>
    </row>
    <row r="148" spans="2:17" x14ac:dyDescent="0.25">
      <c r="J148" t="s">
        <v>772</v>
      </c>
      <c r="K148">
        <v>80</v>
      </c>
      <c r="L148">
        <v>80</v>
      </c>
    </row>
    <row r="149" spans="2:17" x14ac:dyDescent="0.25">
      <c r="B149" t="s">
        <v>765</v>
      </c>
    </row>
    <row r="150" spans="2:17" x14ac:dyDescent="0.25">
      <c r="B150" t="s">
        <v>767</v>
      </c>
      <c r="C150" s="107" t="s">
        <v>311</v>
      </c>
      <c r="D150" t="s">
        <v>762</v>
      </c>
      <c r="E150" t="s">
        <v>763</v>
      </c>
      <c r="F150" t="s">
        <v>764</v>
      </c>
      <c r="H150" t="s">
        <v>766</v>
      </c>
    </row>
    <row r="151" spans="2:17" x14ac:dyDescent="0.25">
      <c r="B151">
        <f>RADIANS(C151)</f>
        <v>0</v>
      </c>
      <c r="C151" s="200">
        <f>360*(D151/65535)</f>
        <v>0</v>
      </c>
      <c r="D151" s="88">
        <v>0</v>
      </c>
      <c r="E151" s="88">
        <v>0</v>
      </c>
      <c r="F151" s="88">
        <f>D151-E151</f>
        <v>0</v>
      </c>
      <c r="H151" t="s">
        <v>768</v>
      </c>
      <c r="M151" s="88">
        <v>3720</v>
      </c>
    </row>
    <row r="152" spans="2:17" x14ac:dyDescent="0.25">
      <c r="B152">
        <f t="shared" ref="B152:B183" si="26">RADIANS(C152)</f>
        <v>0.19175052436650908</v>
      </c>
      <c r="C152" s="200">
        <f t="shared" ref="C152:C183" si="27">360*(D152/65535)</f>
        <v>10.986495765621424</v>
      </c>
      <c r="D152" s="88">
        <v>2000</v>
      </c>
      <c r="E152" s="88">
        <v>1905</v>
      </c>
      <c r="F152" s="88">
        <f t="shared" ref="F152:F183" si="28">D152-E152</f>
        <v>95</v>
      </c>
      <c r="G152" s="136">
        <f t="shared" ref="G152:G183" si="29">A*SIN(B*B152-C_)+D</f>
        <v>121.1475887225613</v>
      </c>
      <c r="H152" s="136">
        <f t="shared" ref="H152:H183" si="30">E152+G152</f>
        <v>2026.1475887225613</v>
      </c>
      <c r="I152" s="136">
        <f>D152-H152</f>
        <v>-26.147588722561295</v>
      </c>
      <c r="J152" s="136">
        <f>-((1*10^-24)*D152^6) + ((3*10^-19)*D152^5) - ((3*10^-14)*D152^4) + ((1*10^-9)*D152^3) - ((2*10^-5)*D152^2) +0.1767*D152 - 225.58</f>
        <v>55.349535999999972</v>
      </c>
      <c r="L152" t="s">
        <v>773</v>
      </c>
      <c r="M152" s="203">
        <f>2.15*(360*(M151/65535))*0.01745329</f>
        <v>0.76681023622796962</v>
      </c>
      <c r="Q152">
        <v>48</v>
      </c>
    </row>
    <row r="153" spans="2:17" x14ac:dyDescent="0.25">
      <c r="B153">
        <f t="shared" si="26"/>
        <v>0.38350104873301816</v>
      </c>
      <c r="C153" s="200">
        <f t="shared" si="27"/>
        <v>21.972991531242847</v>
      </c>
      <c r="D153" s="88">
        <v>4000</v>
      </c>
      <c r="E153" s="88">
        <v>3868</v>
      </c>
      <c r="F153" s="88">
        <f t="shared" si="28"/>
        <v>132</v>
      </c>
      <c r="G153" s="136">
        <f t="shared" si="29"/>
        <v>155.71284493684033</v>
      </c>
      <c r="H153" s="136">
        <f t="shared" si="30"/>
        <v>4023.7128449368402</v>
      </c>
      <c r="I153" s="136">
        <f t="shared" ref="I153:I183" si="31">D153-H153</f>
        <v>-23.712844936840156</v>
      </c>
      <c r="L153" t="s">
        <v>457</v>
      </c>
      <c r="M153" s="202">
        <f>SIN(M152)</f>
        <v>0.69384173562178719</v>
      </c>
    </row>
    <row r="154" spans="2:17" x14ac:dyDescent="0.25">
      <c r="B154">
        <f t="shared" si="26"/>
        <v>0.57525157309952724</v>
      </c>
      <c r="C154" s="200">
        <f t="shared" si="27"/>
        <v>32.959487296864268</v>
      </c>
      <c r="D154" s="88">
        <v>6000</v>
      </c>
      <c r="E154" s="88">
        <v>5812</v>
      </c>
      <c r="F154" s="88">
        <f t="shared" si="28"/>
        <v>188</v>
      </c>
      <c r="G154" s="136">
        <f t="shared" si="29"/>
        <v>178.16640430583021</v>
      </c>
      <c r="H154" s="136">
        <f t="shared" si="30"/>
        <v>5990.1664043058299</v>
      </c>
      <c r="I154" s="136">
        <f t="shared" si="31"/>
        <v>9.8335956941700715</v>
      </c>
      <c r="L154" t="s">
        <v>774</v>
      </c>
      <c r="M154" s="201">
        <f>140*M153+80</f>
        <v>177.13784298705019</v>
      </c>
    </row>
    <row r="155" spans="2:17" x14ac:dyDescent="0.25">
      <c r="B155">
        <f t="shared" si="26"/>
        <v>0.76700209746603631</v>
      </c>
      <c r="C155" s="200">
        <f t="shared" si="27"/>
        <v>43.945983062485695</v>
      </c>
      <c r="D155" s="88">
        <v>8000</v>
      </c>
      <c r="E155" s="88">
        <v>7812</v>
      </c>
      <c r="F155" s="88">
        <f t="shared" si="28"/>
        <v>188</v>
      </c>
      <c r="G155" s="136">
        <f t="shared" si="29"/>
        <v>184.91639672609261</v>
      </c>
      <c r="H155" s="136">
        <f t="shared" si="30"/>
        <v>7996.9163967260929</v>
      </c>
      <c r="I155" s="136">
        <f t="shared" si="31"/>
        <v>3.0836032739071015</v>
      </c>
      <c r="M155" s="88"/>
    </row>
    <row r="156" spans="2:17" x14ac:dyDescent="0.25">
      <c r="B156">
        <f t="shared" si="26"/>
        <v>0.9587526218325455</v>
      </c>
      <c r="C156" s="200">
        <f t="shared" si="27"/>
        <v>54.932478828107122</v>
      </c>
      <c r="D156" s="88">
        <v>10000</v>
      </c>
      <c r="E156" s="88">
        <v>9802</v>
      </c>
      <c r="F156" s="88">
        <f t="shared" si="28"/>
        <v>198</v>
      </c>
      <c r="G156" s="136">
        <f t="shared" si="29"/>
        <v>174.88303366279672</v>
      </c>
      <c r="H156" s="136">
        <f t="shared" si="30"/>
        <v>9976.8830336627962</v>
      </c>
      <c r="I156" s="136">
        <f t="shared" si="31"/>
        <v>23.116966337203849</v>
      </c>
      <c r="M156" s="88"/>
    </row>
    <row r="157" spans="2:17" x14ac:dyDescent="0.25">
      <c r="B157">
        <f t="shared" si="26"/>
        <v>1.1505031461990545</v>
      </c>
      <c r="C157" s="200">
        <f t="shared" si="27"/>
        <v>65.918974593728535</v>
      </c>
      <c r="D157" s="88">
        <v>12000</v>
      </c>
      <c r="E157" s="88">
        <v>11830</v>
      </c>
      <c r="F157" s="88">
        <f t="shared" si="28"/>
        <v>170</v>
      </c>
      <c r="G157" s="136">
        <f t="shared" si="29"/>
        <v>149.67134068145572</v>
      </c>
      <c r="H157" s="136">
        <f t="shared" si="30"/>
        <v>11979.671340681456</v>
      </c>
      <c r="I157" s="136">
        <f t="shared" si="31"/>
        <v>20.328659318543941</v>
      </c>
      <c r="M157" s="88"/>
    </row>
    <row r="158" spans="2:17" x14ac:dyDescent="0.25">
      <c r="B158">
        <f t="shared" si="26"/>
        <v>1.3422536705655634</v>
      </c>
      <c r="C158" s="200">
        <f t="shared" si="27"/>
        <v>76.905470359349962</v>
      </c>
      <c r="D158" s="88">
        <v>14000</v>
      </c>
      <c r="E158" s="88">
        <v>13872</v>
      </c>
      <c r="F158" s="88">
        <f t="shared" si="28"/>
        <v>128</v>
      </c>
      <c r="G158" s="136">
        <f t="shared" si="29"/>
        <v>113.31440335164807</v>
      </c>
      <c r="H158" s="136">
        <f t="shared" si="30"/>
        <v>13985.314403351647</v>
      </c>
      <c r="I158" s="136">
        <f t="shared" si="31"/>
        <v>14.685596648352657</v>
      </c>
      <c r="L158" t="s">
        <v>457</v>
      </c>
      <c r="M158" t="s">
        <v>458</v>
      </c>
    </row>
    <row r="159" spans="2:17" x14ac:dyDescent="0.25">
      <c r="B159">
        <f t="shared" si="26"/>
        <v>1.5340041949320726</v>
      </c>
      <c r="C159" s="200">
        <f t="shared" si="27"/>
        <v>87.89196612497139</v>
      </c>
      <c r="D159" s="88">
        <v>16000</v>
      </c>
      <c r="E159" s="88">
        <v>15953</v>
      </c>
      <c r="F159" s="88">
        <f t="shared" si="28"/>
        <v>47</v>
      </c>
      <c r="G159" s="136">
        <f t="shared" si="29"/>
        <v>71.628199180613692</v>
      </c>
      <c r="H159" s="136">
        <f t="shared" si="30"/>
        <v>16024.628199180614</v>
      </c>
      <c r="I159" s="136">
        <f t="shared" si="31"/>
        <v>-24.628199180613592</v>
      </c>
      <c r="L159">
        <v>0</v>
      </c>
      <c r="M159">
        <v>24000</v>
      </c>
    </row>
    <row r="160" spans="2:17" x14ac:dyDescent="0.25">
      <c r="B160">
        <f t="shared" si="26"/>
        <v>1.7257547192985818</v>
      </c>
      <c r="C160" s="200">
        <f t="shared" si="27"/>
        <v>98.878461890592817</v>
      </c>
      <c r="D160" s="88">
        <v>18000</v>
      </c>
      <c r="E160" s="88">
        <v>18030</v>
      </c>
      <c r="F160" s="88">
        <f t="shared" si="28"/>
        <v>-30</v>
      </c>
      <c r="G160" s="136">
        <f t="shared" si="29"/>
        <v>31.281222371305475</v>
      </c>
      <c r="H160" s="136">
        <f t="shared" si="30"/>
        <v>18061.281222371304</v>
      </c>
      <c r="I160" s="136">
        <f t="shared" si="31"/>
        <v>-61.281222371304466</v>
      </c>
      <c r="L160">
        <v>100</v>
      </c>
      <c r="M160">
        <v>36000</v>
      </c>
    </row>
    <row r="161" spans="2:13" x14ac:dyDescent="0.25">
      <c r="B161">
        <f t="shared" si="26"/>
        <v>1.917505243665091</v>
      </c>
      <c r="C161" s="200">
        <f t="shared" si="27"/>
        <v>109.86495765621424</v>
      </c>
      <c r="D161" s="88">
        <v>20000</v>
      </c>
      <c r="E161" s="88">
        <v>20020</v>
      </c>
      <c r="F161" s="88">
        <f t="shared" si="28"/>
        <v>-20</v>
      </c>
      <c r="G161" s="136">
        <f t="shared" si="29"/>
        <v>-1.2722675362222304</v>
      </c>
      <c r="H161" s="136">
        <f t="shared" si="30"/>
        <v>20018.727732463776</v>
      </c>
      <c r="I161" s="136">
        <f t="shared" si="31"/>
        <v>-18.727732463776192</v>
      </c>
      <c r="L161">
        <v>100</v>
      </c>
      <c r="M161">
        <v>36000</v>
      </c>
    </row>
    <row r="162" spans="2:13" x14ac:dyDescent="0.25">
      <c r="B162">
        <f t="shared" si="26"/>
        <v>2.1092557680315998</v>
      </c>
      <c r="C162" s="200">
        <f t="shared" si="27"/>
        <v>120.85145342183566</v>
      </c>
      <c r="D162" s="88">
        <v>22000</v>
      </c>
      <c r="E162" s="88">
        <v>22008</v>
      </c>
      <c r="F162" s="88">
        <f t="shared" si="28"/>
        <v>-8</v>
      </c>
      <c r="G162" s="136">
        <f t="shared" si="29"/>
        <v>-20.824726150458844</v>
      </c>
      <c r="H162" s="136">
        <f t="shared" si="30"/>
        <v>21987.175273849542</v>
      </c>
      <c r="I162" s="136">
        <f t="shared" si="31"/>
        <v>12.824726150458446</v>
      </c>
      <c r="L162">
        <v>0</v>
      </c>
      <c r="M162">
        <v>48000</v>
      </c>
    </row>
    <row r="163" spans="2:13" x14ac:dyDescent="0.25">
      <c r="B163">
        <f t="shared" si="26"/>
        <v>2.3010062923981089</v>
      </c>
      <c r="C163" s="200">
        <f t="shared" si="27"/>
        <v>131.83794918745707</v>
      </c>
      <c r="D163" s="88">
        <v>24000</v>
      </c>
      <c r="E163" s="88">
        <v>23965</v>
      </c>
      <c r="F163" s="88">
        <f t="shared" si="28"/>
        <v>35</v>
      </c>
      <c r="G163" s="136">
        <f t="shared" si="29"/>
        <v>-24.248369123672603</v>
      </c>
      <c r="H163" s="136">
        <f t="shared" si="30"/>
        <v>23940.751630876326</v>
      </c>
      <c r="I163" s="136">
        <f t="shared" si="31"/>
        <v>59.248369123673911</v>
      </c>
    </row>
    <row r="164" spans="2:13" x14ac:dyDescent="0.25">
      <c r="B164">
        <f t="shared" si="26"/>
        <v>2.4927568167646181</v>
      </c>
      <c r="C164" s="200">
        <f t="shared" si="27"/>
        <v>142.82444495307851</v>
      </c>
      <c r="D164" s="88">
        <v>26000</v>
      </c>
      <c r="E164" s="88">
        <v>25970</v>
      </c>
      <c r="F164" s="88">
        <f t="shared" si="28"/>
        <v>30</v>
      </c>
      <c r="G164" s="136">
        <f t="shared" si="29"/>
        <v>-10.995520221630571</v>
      </c>
      <c r="H164" s="136">
        <f t="shared" si="30"/>
        <v>25959.00447977837</v>
      </c>
      <c r="I164" s="136">
        <f t="shared" si="31"/>
        <v>40.995520221629704</v>
      </c>
    </row>
    <row r="165" spans="2:13" x14ac:dyDescent="0.25">
      <c r="B165">
        <f t="shared" si="26"/>
        <v>2.6845073411311269</v>
      </c>
      <c r="C165" s="200">
        <f t="shared" si="27"/>
        <v>153.81094071869992</v>
      </c>
      <c r="D165" s="88">
        <v>28000</v>
      </c>
      <c r="E165" s="88">
        <v>27922</v>
      </c>
      <c r="F165" s="88">
        <f t="shared" si="28"/>
        <v>78</v>
      </c>
      <c r="G165" s="136">
        <f t="shared" si="29"/>
        <v>16.813777538239258</v>
      </c>
      <c r="H165" s="136">
        <f t="shared" si="30"/>
        <v>27938.813777538238</v>
      </c>
      <c r="I165" s="136">
        <f t="shared" si="31"/>
        <v>61.186222461761645</v>
      </c>
      <c r="K165" t="s">
        <v>458</v>
      </c>
      <c r="L165">
        <v>30000</v>
      </c>
    </row>
    <row r="166" spans="2:13" x14ac:dyDescent="0.25">
      <c r="B166">
        <f t="shared" si="26"/>
        <v>2.8762578654976361</v>
      </c>
      <c r="C166" s="200">
        <f t="shared" si="27"/>
        <v>164.79743648432134</v>
      </c>
      <c r="D166" s="88">
        <v>30000</v>
      </c>
      <c r="E166" s="88">
        <v>29867</v>
      </c>
      <c r="F166" s="88">
        <f t="shared" si="28"/>
        <v>133</v>
      </c>
      <c r="G166" s="136">
        <f t="shared" si="29"/>
        <v>54.730902733391105</v>
      </c>
      <c r="H166" s="136">
        <f t="shared" si="30"/>
        <v>29921.73090273339</v>
      </c>
      <c r="I166" s="136">
        <f t="shared" si="31"/>
        <v>78.269097266609606</v>
      </c>
      <c r="K166" t="s">
        <v>457</v>
      </c>
      <c r="L166">
        <f>0.0083*L165-200</f>
        <v>49</v>
      </c>
    </row>
    <row r="167" spans="2:13" x14ac:dyDescent="0.25">
      <c r="B167">
        <f t="shared" si="26"/>
        <v>3.0680083898641453</v>
      </c>
      <c r="C167" s="200">
        <f t="shared" si="27"/>
        <v>175.78393224994278</v>
      </c>
      <c r="D167" s="88">
        <v>32000</v>
      </c>
      <c r="E167" s="88">
        <v>31860</v>
      </c>
      <c r="F167" s="88">
        <f t="shared" si="28"/>
        <v>140</v>
      </c>
      <c r="G167" s="136">
        <f t="shared" si="29"/>
        <v>96.690296395704536</v>
      </c>
      <c r="H167" s="136">
        <f t="shared" si="30"/>
        <v>31956.690296395704</v>
      </c>
      <c r="I167" s="136">
        <f t="shared" si="31"/>
        <v>43.309703604296374</v>
      </c>
    </row>
    <row r="168" spans="2:13" x14ac:dyDescent="0.25">
      <c r="B168">
        <f t="shared" si="26"/>
        <v>3.2597589142306549</v>
      </c>
      <c r="C168" s="200">
        <f t="shared" si="27"/>
        <v>186.77042801556422</v>
      </c>
      <c r="D168" s="88">
        <v>34000</v>
      </c>
      <c r="E168" s="88">
        <v>33835</v>
      </c>
      <c r="F168" s="88">
        <f t="shared" si="28"/>
        <v>165</v>
      </c>
      <c r="G168" s="136">
        <f t="shared" si="29"/>
        <v>135.97976251307611</v>
      </c>
      <c r="H168" s="136">
        <f t="shared" si="30"/>
        <v>33970.979762513074</v>
      </c>
      <c r="I168" s="136">
        <f t="shared" si="31"/>
        <v>29.020237486925907</v>
      </c>
    </row>
    <row r="169" spans="2:13" x14ac:dyDescent="0.25">
      <c r="B169">
        <f t="shared" si="26"/>
        <v>3.4515094385971636</v>
      </c>
      <c r="C169" s="200">
        <f t="shared" si="27"/>
        <v>197.75692378118563</v>
      </c>
      <c r="D169" s="88">
        <v>36000</v>
      </c>
      <c r="E169" s="88">
        <v>35768</v>
      </c>
      <c r="F169" s="88">
        <f t="shared" si="28"/>
        <v>232</v>
      </c>
      <c r="G169" s="136">
        <f t="shared" si="29"/>
        <v>166.3142103162466</v>
      </c>
      <c r="H169" s="136">
        <f t="shared" si="30"/>
        <v>35934.314210316246</v>
      </c>
      <c r="I169" s="136">
        <f t="shared" si="31"/>
        <v>65.685789683753683</v>
      </c>
    </row>
    <row r="170" spans="2:13" x14ac:dyDescent="0.25">
      <c r="B170">
        <f t="shared" si="26"/>
        <v>3.6432599629636728</v>
      </c>
      <c r="C170" s="200">
        <f t="shared" si="27"/>
        <v>208.74341954680708</v>
      </c>
      <c r="D170" s="88">
        <v>38000</v>
      </c>
      <c r="E170" s="88">
        <v>37757</v>
      </c>
      <c r="F170" s="88">
        <f t="shared" si="28"/>
        <v>243</v>
      </c>
      <c r="G170" s="136">
        <f t="shared" si="29"/>
        <v>182.84107303048029</v>
      </c>
      <c r="H170" s="136">
        <f t="shared" si="30"/>
        <v>37939.841073030482</v>
      </c>
      <c r="I170" s="136">
        <f t="shared" si="31"/>
        <v>60.158926969517779</v>
      </c>
    </row>
    <row r="171" spans="2:13" x14ac:dyDescent="0.25">
      <c r="B171">
        <f t="shared" si="26"/>
        <v>3.835010487330182</v>
      </c>
      <c r="C171" s="200">
        <f t="shared" si="27"/>
        <v>219.72991531242849</v>
      </c>
      <c r="D171" s="88">
        <v>40000</v>
      </c>
      <c r="E171" s="88">
        <v>39742</v>
      </c>
      <c r="F171" s="88">
        <f t="shared" si="28"/>
        <v>258</v>
      </c>
      <c r="G171" s="136">
        <f t="shared" si="29"/>
        <v>182.91656740914982</v>
      </c>
      <c r="H171" s="136">
        <f t="shared" si="30"/>
        <v>39924.916567409149</v>
      </c>
      <c r="I171" s="136">
        <f t="shared" si="31"/>
        <v>75.083432590850862</v>
      </c>
    </row>
    <row r="172" spans="2:13" x14ac:dyDescent="0.25">
      <c r="B172">
        <f t="shared" si="26"/>
        <v>4.0267610116966912</v>
      </c>
      <c r="C172" s="200">
        <f t="shared" si="27"/>
        <v>230.71641107804993</v>
      </c>
      <c r="D172" s="88">
        <v>42000</v>
      </c>
      <c r="E172" s="88">
        <v>41802</v>
      </c>
      <c r="F172" s="88">
        <f t="shared" si="28"/>
        <v>198</v>
      </c>
      <c r="G172" s="136">
        <f t="shared" si="29"/>
        <v>166.52861670320772</v>
      </c>
      <c r="H172" s="136">
        <f t="shared" si="30"/>
        <v>41968.52861670321</v>
      </c>
      <c r="I172" s="136">
        <f t="shared" si="31"/>
        <v>31.471383296790009</v>
      </c>
    </row>
    <row r="173" spans="2:13" x14ac:dyDescent="0.25">
      <c r="B173">
        <f t="shared" si="26"/>
        <v>4.2185115360631995</v>
      </c>
      <c r="C173" s="200">
        <f t="shared" si="27"/>
        <v>241.70290684367131</v>
      </c>
      <c r="D173" s="88">
        <v>44000</v>
      </c>
      <c r="E173" s="88">
        <v>43823</v>
      </c>
      <c r="F173" s="88">
        <f t="shared" si="28"/>
        <v>177</v>
      </c>
      <c r="G173" s="136">
        <f t="shared" si="29"/>
        <v>136.29878256486114</v>
      </c>
      <c r="H173" s="136">
        <f t="shared" si="30"/>
        <v>43959.29878256486</v>
      </c>
      <c r="I173" s="136">
        <f t="shared" si="31"/>
        <v>40.701217435140279</v>
      </c>
    </row>
    <row r="174" spans="2:13" x14ac:dyDescent="0.25">
      <c r="B174">
        <f t="shared" si="26"/>
        <v>4.4102620604297087</v>
      </c>
      <c r="C174" s="200">
        <f t="shared" si="27"/>
        <v>252.68940260929273</v>
      </c>
      <c r="D174" s="88">
        <v>46000</v>
      </c>
      <c r="E174" s="88">
        <v>45863</v>
      </c>
      <c r="F174" s="88">
        <f t="shared" si="28"/>
        <v>137</v>
      </c>
      <c r="G174" s="136">
        <f t="shared" si="29"/>
        <v>97.062896841036846</v>
      </c>
      <c r="H174" s="136">
        <f t="shared" si="30"/>
        <v>45960.062896841038</v>
      </c>
      <c r="I174" s="136">
        <f t="shared" si="31"/>
        <v>39.93710315896169</v>
      </c>
    </row>
    <row r="175" spans="2:13" x14ac:dyDescent="0.25">
      <c r="B175">
        <f t="shared" si="26"/>
        <v>4.6020125847962179</v>
      </c>
      <c r="C175" s="200">
        <f t="shared" si="27"/>
        <v>263.67589837491414</v>
      </c>
      <c r="D175" s="88">
        <v>48000</v>
      </c>
      <c r="E175" s="88">
        <v>47983</v>
      </c>
      <c r="F175" s="88">
        <f t="shared" si="28"/>
        <v>17</v>
      </c>
      <c r="G175" s="136">
        <f t="shared" si="29"/>
        <v>55.097479106977552</v>
      </c>
      <c r="H175" s="136">
        <f t="shared" si="30"/>
        <v>48038.097479106975</v>
      </c>
      <c r="I175" s="136">
        <f t="shared" si="31"/>
        <v>-38.097479106974788</v>
      </c>
    </row>
    <row r="176" spans="2:13" x14ac:dyDescent="0.25">
      <c r="B176">
        <f t="shared" si="26"/>
        <v>4.7937631091627271</v>
      </c>
      <c r="C176" s="200">
        <f t="shared" si="27"/>
        <v>274.66239414053558</v>
      </c>
      <c r="D176" s="88">
        <v>50000</v>
      </c>
      <c r="E176" s="88">
        <v>50039</v>
      </c>
      <c r="F176" s="88">
        <f t="shared" si="28"/>
        <v>-39</v>
      </c>
      <c r="G176" s="136">
        <f t="shared" si="29"/>
        <v>17.115689038624886</v>
      </c>
      <c r="H176" s="136">
        <f t="shared" si="30"/>
        <v>50056.115689038626</v>
      </c>
      <c r="I176" s="136">
        <f t="shared" si="31"/>
        <v>-56.115689038626442</v>
      </c>
    </row>
    <row r="177" spans="2:9" x14ac:dyDescent="0.25">
      <c r="B177">
        <f t="shared" si="26"/>
        <v>4.9855136335292363</v>
      </c>
      <c r="C177" s="200">
        <f t="shared" si="27"/>
        <v>285.64888990615702</v>
      </c>
      <c r="D177" s="88">
        <v>52000</v>
      </c>
      <c r="E177" s="88">
        <v>52075</v>
      </c>
      <c r="F177" s="88">
        <f t="shared" si="28"/>
        <v>-75</v>
      </c>
      <c r="G177" s="136">
        <f t="shared" si="29"/>
        <v>-10.806570030404956</v>
      </c>
      <c r="H177" s="136">
        <f t="shared" si="30"/>
        <v>52064.193429969593</v>
      </c>
      <c r="I177" s="136">
        <f t="shared" si="31"/>
        <v>-64.193429969593126</v>
      </c>
    </row>
    <row r="178" spans="2:9" x14ac:dyDescent="0.25">
      <c r="B178">
        <f t="shared" si="26"/>
        <v>5.1772641578957446</v>
      </c>
      <c r="C178" s="200">
        <f t="shared" si="27"/>
        <v>296.63538567177841</v>
      </c>
      <c r="D178" s="88">
        <v>54000</v>
      </c>
      <c r="E178" s="88">
        <v>54039</v>
      </c>
      <c r="F178" s="88">
        <f t="shared" si="28"/>
        <v>-39</v>
      </c>
      <c r="G178" s="136">
        <f t="shared" si="29"/>
        <v>-24.202606386680372</v>
      </c>
      <c r="H178" s="136">
        <f t="shared" si="30"/>
        <v>54014.79739361332</v>
      </c>
      <c r="I178" s="136">
        <f t="shared" si="31"/>
        <v>-14.79739361332031</v>
      </c>
    </row>
    <row r="179" spans="2:9" x14ac:dyDescent="0.25">
      <c r="B179">
        <f t="shared" si="26"/>
        <v>5.3690146822622538</v>
      </c>
      <c r="C179" s="200">
        <f t="shared" si="27"/>
        <v>307.62188143739985</v>
      </c>
      <c r="D179" s="88">
        <v>56000</v>
      </c>
      <c r="E179" s="88">
        <v>56061</v>
      </c>
      <c r="F179" s="88">
        <f t="shared" si="28"/>
        <v>-61</v>
      </c>
      <c r="G179" s="136">
        <f t="shared" si="29"/>
        <v>-20.929471480176332</v>
      </c>
      <c r="H179" s="136">
        <f t="shared" si="30"/>
        <v>56040.07052851982</v>
      </c>
      <c r="I179" s="136">
        <f t="shared" si="31"/>
        <v>-40.070528519820073</v>
      </c>
    </row>
    <row r="180" spans="2:9" x14ac:dyDescent="0.25">
      <c r="B180">
        <f t="shared" si="26"/>
        <v>5.5607652066287638</v>
      </c>
      <c r="C180" s="200">
        <f t="shared" si="27"/>
        <v>318.60837720302129</v>
      </c>
      <c r="D180" s="88">
        <v>58000</v>
      </c>
      <c r="E180" s="88">
        <v>58066</v>
      </c>
      <c r="F180" s="88">
        <f t="shared" si="28"/>
        <v>-66</v>
      </c>
      <c r="G180" s="136">
        <f t="shared" si="29"/>
        <v>-1.5107649425585947</v>
      </c>
      <c r="H180" s="136">
        <f t="shared" si="30"/>
        <v>58064.489235057445</v>
      </c>
      <c r="I180" s="136">
        <f t="shared" si="31"/>
        <v>-64.489235057444603</v>
      </c>
    </row>
    <row r="181" spans="2:9" x14ac:dyDescent="0.25">
      <c r="B181">
        <f t="shared" si="26"/>
        <v>5.7525157309952721</v>
      </c>
      <c r="C181" s="200">
        <f t="shared" si="27"/>
        <v>329.59487296864268</v>
      </c>
      <c r="D181" s="88">
        <v>60000</v>
      </c>
      <c r="E181" s="88">
        <v>60015</v>
      </c>
      <c r="F181" s="88">
        <f t="shared" si="28"/>
        <v>-15</v>
      </c>
      <c r="G181" s="136">
        <f t="shared" si="29"/>
        <v>30.947125044517769</v>
      </c>
      <c r="H181" s="136">
        <f t="shared" si="30"/>
        <v>60045.94712504452</v>
      </c>
      <c r="I181" s="136">
        <f t="shared" si="31"/>
        <v>-45.947125044520362</v>
      </c>
    </row>
    <row r="182" spans="2:9" x14ac:dyDescent="0.25">
      <c r="B182">
        <f t="shared" si="26"/>
        <v>5.9442662553617813</v>
      </c>
      <c r="C182" s="200">
        <f t="shared" si="27"/>
        <v>340.58136873426412</v>
      </c>
      <c r="D182" s="88">
        <v>62000</v>
      </c>
      <c r="E182" s="88">
        <v>61993</v>
      </c>
      <c r="F182" s="88">
        <f t="shared" si="28"/>
        <v>7</v>
      </c>
      <c r="G182" s="136">
        <f t="shared" si="29"/>
        <v>71.251947099016519</v>
      </c>
      <c r="H182" s="136">
        <f t="shared" si="30"/>
        <v>62064.251947099016</v>
      </c>
      <c r="I182" s="136">
        <f t="shared" si="31"/>
        <v>-64.251947099015524</v>
      </c>
    </row>
    <row r="183" spans="2:9" x14ac:dyDescent="0.25">
      <c r="B183">
        <f t="shared" si="26"/>
        <v>6.1360167797282905</v>
      </c>
      <c r="C183" s="200">
        <f t="shared" si="27"/>
        <v>351.56786449988556</v>
      </c>
      <c r="D183" s="88">
        <v>64000</v>
      </c>
      <c r="E183" s="88">
        <v>63948</v>
      </c>
      <c r="F183" s="88">
        <f t="shared" si="28"/>
        <v>52</v>
      </c>
      <c r="G183" s="136">
        <f t="shared" si="29"/>
        <v>112.95618512859404</v>
      </c>
      <c r="H183" s="136">
        <f t="shared" si="30"/>
        <v>64060.956185128591</v>
      </c>
      <c r="I183" s="136">
        <f t="shared" si="31"/>
        <v>-60.956185128590732</v>
      </c>
    </row>
    <row r="185" spans="2:9" x14ac:dyDescent="0.25">
      <c r="B185" t="s">
        <v>775</v>
      </c>
      <c r="D185" s="88">
        <v>0</v>
      </c>
      <c r="E185" s="88">
        <v>0</v>
      </c>
      <c r="F185">
        <v>0</v>
      </c>
    </row>
    <row r="186" spans="2:9" x14ac:dyDescent="0.25">
      <c r="D186" s="88">
        <v>2000</v>
      </c>
      <c r="E186" s="88">
        <v>1927</v>
      </c>
      <c r="F186" s="88">
        <f t="shared" ref="F186:F217" si="32">D186-E186</f>
        <v>73</v>
      </c>
    </row>
    <row r="187" spans="2:9" x14ac:dyDescent="0.25">
      <c r="D187" s="88">
        <v>4000</v>
      </c>
      <c r="E187" s="88">
        <v>3930</v>
      </c>
      <c r="F187" s="88">
        <f t="shared" si="32"/>
        <v>70</v>
      </c>
    </row>
    <row r="188" spans="2:9" x14ac:dyDescent="0.25">
      <c r="D188" s="88">
        <v>6000</v>
      </c>
      <c r="E188" s="88">
        <v>5944</v>
      </c>
      <c r="F188" s="88">
        <f t="shared" si="32"/>
        <v>56</v>
      </c>
    </row>
    <row r="189" spans="2:9" x14ac:dyDescent="0.25">
      <c r="D189" s="88">
        <v>8000</v>
      </c>
      <c r="E189" s="88">
        <v>7955</v>
      </c>
      <c r="F189" s="88">
        <f t="shared" si="32"/>
        <v>45</v>
      </c>
    </row>
    <row r="190" spans="2:9" x14ac:dyDescent="0.25">
      <c r="D190" s="88">
        <v>10000</v>
      </c>
      <c r="E190" s="88">
        <v>9956</v>
      </c>
      <c r="F190" s="88">
        <f t="shared" si="32"/>
        <v>44</v>
      </c>
    </row>
    <row r="191" spans="2:9" x14ac:dyDescent="0.25">
      <c r="D191" s="88">
        <v>12000</v>
      </c>
      <c r="E191" s="88">
        <v>11980</v>
      </c>
      <c r="F191" s="88">
        <f t="shared" si="32"/>
        <v>20</v>
      </c>
    </row>
    <row r="192" spans="2:9" x14ac:dyDescent="0.25">
      <c r="D192" s="88">
        <v>14000</v>
      </c>
      <c r="E192" s="88">
        <v>14029</v>
      </c>
      <c r="F192" s="88">
        <f t="shared" si="32"/>
        <v>-29</v>
      </c>
    </row>
    <row r="193" spans="4:6" x14ac:dyDescent="0.25">
      <c r="D193" s="88">
        <v>16000</v>
      </c>
      <c r="E193" s="88">
        <v>16050</v>
      </c>
      <c r="F193" s="88">
        <f t="shared" si="32"/>
        <v>-50</v>
      </c>
    </row>
    <row r="194" spans="4:6" x14ac:dyDescent="0.25">
      <c r="D194" s="88">
        <v>18000</v>
      </c>
      <c r="E194" s="88">
        <v>18053</v>
      </c>
      <c r="F194" s="88">
        <f t="shared" si="32"/>
        <v>-53</v>
      </c>
    </row>
    <row r="195" spans="4:6" x14ac:dyDescent="0.25">
      <c r="D195" s="88">
        <v>20000</v>
      </c>
      <c r="E195" s="88">
        <v>20037</v>
      </c>
      <c r="F195" s="88">
        <f t="shared" si="32"/>
        <v>-37</v>
      </c>
    </row>
    <row r="196" spans="4:6" x14ac:dyDescent="0.25">
      <c r="D196" s="88">
        <v>22000</v>
      </c>
      <c r="E196" s="88">
        <v>22057</v>
      </c>
      <c r="F196" s="88">
        <f t="shared" si="32"/>
        <v>-57</v>
      </c>
    </row>
    <row r="197" spans="4:6" x14ac:dyDescent="0.25">
      <c r="D197" s="88">
        <v>24000</v>
      </c>
      <c r="E197" s="88">
        <v>24052</v>
      </c>
      <c r="F197" s="88">
        <f t="shared" si="32"/>
        <v>-52</v>
      </c>
    </row>
    <row r="198" spans="4:6" x14ac:dyDescent="0.25">
      <c r="D198" s="88">
        <v>26000</v>
      </c>
      <c r="E198" s="88">
        <v>26015</v>
      </c>
      <c r="F198" s="88">
        <f t="shared" si="32"/>
        <v>-15</v>
      </c>
    </row>
    <row r="199" spans="4:6" x14ac:dyDescent="0.25">
      <c r="D199" s="88">
        <v>28000</v>
      </c>
      <c r="E199" s="88">
        <v>27989</v>
      </c>
      <c r="F199" s="88">
        <f t="shared" si="32"/>
        <v>11</v>
      </c>
    </row>
    <row r="200" spans="4:6" x14ac:dyDescent="0.25">
      <c r="D200" s="88">
        <v>30000</v>
      </c>
      <c r="E200" s="88">
        <v>29925</v>
      </c>
      <c r="F200" s="88">
        <f t="shared" si="32"/>
        <v>75</v>
      </c>
    </row>
    <row r="201" spans="4:6" x14ac:dyDescent="0.25">
      <c r="D201" s="88">
        <v>32000</v>
      </c>
      <c r="E201" s="88">
        <v>31857</v>
      </c>
      <c r="F201" s="88">
        <f t="shared" si="32"/>
        <v>143</v>
      </c>
    </row>
    <row r="202" spans="4:6" x14ac:dyDescent="0.25">
      <c r="D202" s="88">
        <v>34000</v>
      </c>
      <c r="E202" s="88">
        <v>33808</v>
      </c>
      <c r="F202" s="88">
        <f t="shared" si="32"/>
        <v>192</v>
      </c>
    </row>
    <row r="203" spans="4:6" x14ac:dyDescent="0.25">
      <c r="D203" s="88">
        <v>36000</v>
      </c>
      <c r="E203" s="88">
        <v>35794</v>
      </c>
      <c r="F203" s="88">
        <f t="shared" si="32"/>
        <v>206</v>
      </c>
    </row>
    <row r="204" spans="4:6" x14ac:dyDescent="0.25">
      <c r="D204" s="88">
        <v>38000</v>
      </c>
      <c r="E204" s="88">
        <v>37818</v>
      </c>
      <c r="F204" s="88">
        <f t="shared" si="32"/>
        <v>182</v>
      </c>
    </row>
    <row r="205" spans="4:6" x14ac:dyDescent="0.25">
      <c r="D205" s="88">
        <v>40000</v>
      </c>
      <c r="E205" s="88">
        <v>39846</v>
      </c>
      <c r="F205" s="88">
        <f t="shared" si="32"/>
        <v>154</v>
      </c>
    </row>
    <row r="206" spans="4:6" x14ac:dyDescent="0.25">
      <c r="D206" s="88">
        <v>42000</v>
      </c>
      <c r="E206" s="88">
        <v>41881</v>
      </c>
      <c r="F206" s="88">
        <f t="shared" si="32"/>
        <v>119</v>
      </c>
    </row>
    <row r="207" spans="4:6" x14ac:dyDescent="0.25">
      <c r="D207" s="88">
        <v>44000</v>
      </c>
      <c r="E207" s="88">
        <v>43937</v>
      </c>
      <c r="F207" s="88">
        <f t="shared" si="32"/>
        <v>63</v>
      </c>
    </row>
    <row r="208" spans="4:6" x14ac:dyDescent="0.25">
      <c r="D208" s="88">
        <v>46000</v>
      </c>
      <c r="E208" s="88">
        <v>46005</v>
      </c>
      <c r="F208" s="88">
        <f t="shared" si="32"/>
        <v>-5</v>
      </c>
    </row>
    <row r="209" spans="4:6" x14ac:dyDescent="0.25">
      <c r="D209" s="88">
        <v>48000</v>
      </c>
      <c r="E209" s="88">
        <v>48047</v>
      </c>
      <c r="F209" s="88">
        <f t="shared" si="32"/>
        <v>-47</v>
      </c>
    </row>
    <row r="210" spans="4:6" x14ac:dyDescent="0.25">
      <c r="D210" s="88">
        <v>50000</v>
      </c>
      <c r="E210" s="88">
        <v>50060</v>
      </c>
      <c r="F210" s="88">
        <f t="shared" si="32"/>
        <v>-60</v>
      </c>
    </row>
    <row r="211" spans="4:6" x14ac:dyDescent="0.25">
      <c r="D211" s="88">
        <v>52000</v>
      </c>
      <c r="E211" s="88">
        <v>52117</v>
      </c>
      <c r="F211" s="88">
        <f t="shared" si="32"/>
        <v>-117</v>
      </c>
    </row>
    <row r="212" spans="4:6" x14ac:dyDescent="0.25">
      <c r="D212" s="88">
        <v>54000</v>
      </c>
      <c r="E212" s="88">
        <v>54167</v>
      </c>
      <c r="F212" s="88">
        <f t="shared" si="32"/>
        <v>-167</v>
      </c>
    </row>
    <row r="213" spans="4:6" x14ac:dyDescent="0.25">
      <c r="D213" s="88">
        <v>56000</v>
      </c>
      <c r="E213" s="88">
        <v>56190</v>
      </c>
      <c r="F213" s="88">
        <f t="shared" si="32"/>
        <v>-190</v>
      </c>
    </row>
    <row r="214" spans="4:6" x14ac:dyDescent="0.25">
      <c r="D214" s="88">
        <v>58000</v>
      </c>
      <c r="E214" s="88">
        <v>58176</v>
      </c>
      <c r="F214" s="88">
        <f t="shared" si="32"/>
        <v>-176</v>
      </c>
    </row>
    <row r="215" spans="4:6" x14ac:dyDescent="0.25">
      <c r="D215" s="88">
        <v>60000</v>
      </c>
      <c r="E215" s="88">
        <v>60129</v>
      </c>
      <c r="F215" s="88">
        <f t="shared" si="32"/>
        <v>-129</v>
      </c>
    </row>
    <row r="216" spans="4:6" x14ac:dyDescent="0.25">
      <c r="D216" s="88">
        <v>62000</v>
      </c>
      <c r="E216" s="88">
        <v>62145</v>
      </c>
      <c r="F216" s="88">
        <f t="shared" si="32"/>
        <v>-145</v>
      </c>
    </row>
    <row r="217" spans="4:6" x14ac:dyDescent="0.25">
      <c r="D217" s="88">
        <v>64000</v>
      </c>
      <c r="E217" s="88">
        <v>64070</v>
      </c>
      <c r="F217" s="88">
        <f t="shared" si="32"/>
        <v>-70</v>
      </c>
    </row>
  </sheetData>
  <phoneticPr fontId="9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4"/>
  <sheetViews>
    <sheetView topLeftCell="C1" workbookViewId="0">
      <selection activeCell="E23" sqref="E23"/>
    </sheetView>
  </sheetViews>
  <sheetFormatPr defaultRowHeight="15" x14ac:dyDescent="0.25"/>
  <cols>
    <col min="2" max="2" width="15" customWidth="1"/>
    <col min="3" max="3" width="13.140625" customWidth="1"/>
    <col min="4" max="4" width="11.140625" customWidth="1"/>
    <col min="5" max="5" width="12" bestFit="1" customWidth="1"/>
    <col min="9" max="9" width="12.140625" customWidth="1"/>
    <col min="10" max="10" width="12.5703125" customWidth="1"/>
  </cols>
  <sheetData>
    <row r="2" spans="2:10" x14ac:dyDescent="0.25">
      <c r="I2" t="s">
        <v>267</v>
      </c>
    </row>
    <row r="3" spans="2:10" x14ac:dyDescent="0.25">
      <c r="D3" t="s">
        <v>252</v>
      </c>
      <c r="E3">
        <v>12</v>
      </c>
      <c r="I3" t="s">
        <v>264</v>
      </c>
    </row>
    <row r="4" spans="2:10" x14ac:dyDescent="0.25">
      <c r="B4" t="s">
        <v>234</v>
      </c>
      <c r="D4" t="s">
        <v>253</v>
      </c>
      <c r="E4">
        <f>2^E3</f>
        <v>4096</v>
      </c>
      <c r="I4" t="s">
        <v>265</v>
      </c>
      <c r="J4" s="99">
        <v>966</v>
      </c>
    </row>
    <row r="5" spans="2:10" x14ac:dyDescent="0.25">
      <c r="D5" t="s">
        <v>254</v>
      </c>
      <c r="E5">
        <v>3.2869999999999999</v>
      </c>
      <c r="I5" t="s">
        <v>266</v>
      </c>
      <c r="J5">
        <f>(J4 *3.3)/E4</f>
        <v>0.77827148437499993</v>
      </c>
    </row>
    <row r="6" spans="2:10" x14ac:dyDescent="0.25">
      <c r="D6" t="s">
        <v>257</v>
      </c>
      <c r="E6">
        <f>E5/E4</f>
        <v>8.0249023437499998E-4</v>
      </c>
      <c r="I6" t="s">
        <v>268</v>
      </c>
      <c r="J6">
        <f>(((J5*1000)-720)*(100/233))+27</f>
        <v>52.009220761802524</v>
      </c>
    </row>
    <row r="8" spans="2:10" x14ac:dyDescent="0.25">
      <c r="D8" t="s">
        <v>255</v>
      </c>
      <c r="E8" s="99">
        <v>966</v>
      </c>
    </row>
    <row r="9" spans="2:10" x14ac:dyDescent="0.25">
      <c r="D9" t="s">
        <v>256</v>
      </c>
      <c r="E9">
        <f>E8*E6</f>
        <v>0.77520556640624994</v>
      </c>
    </row>
    <row r="19" spans="4:5" x14ac:dyDescent="0.25">
      <c r="D19" t="s">
        <v>249</v>
      </c>
      <c r="E19">
        <v>14000</v>
      </c>
    </row>
    <row r="20" spans="4:5" x14ac:dyDescent="0.25">
      <c r="D20" t="s">
        <v>250</v>
      </c>
      <c r="E20">
        <v>1270</v>
      </c>
    </row>
    <row r="21" spans="4:5" x14ac:dyDescent="0.25">
      <c r="D21" t="s">
        <v>251</v>
      </c>
      <c r="E21" s="101">
        <f>E20/(E19+E20)</f>
        <v>8.3169613621480024E-2</v>
      </c>
    </row>
    <row r="22" spans="4:5" x14ac:dyDescent="0.25">
      <c r="D22" s="99" t="s">
        <v>255</v>
      </c>
      <c r="E22">
        <v>1400</v>
      </c>
    </row>
    <row r="23" spans="4:5" x14ac:dyDescent="0.25">
      <c r="D23" t="s">
        <v>258</v>
      </c>
      <c r="E23" s="100">
        <f>E22*E6</f>
        <v>1.123486328125</v>
      </c>
    </row>
    <row r="24" spans="4:5" x14ac:dyDescent="0.25">
      <c r="D24" t="s">
        <v>222</v>
      </c>
      <c r="E24">
        <f>E23/E21</f>
        <v>13.508374984621064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D0DB-F6F1-48CB-910B-9B23E0D4D1CE}">
  <dimension ref="B2:F16"/>
  <sheetViews>
    <sheetView workbookViewId="0">
      <selection activeCell="C8" sqref="C8"/>
    </sheetView>
  </sheetViews>
  <sheetFormatPr defaultRowHeight="15" x14ac:dyDescent="0.25"/>
  <cols>
    <col min="2" max="2" width="32.85546875" customWidth="1"/>
    <col min="3" max="3" width="18" bestFit="1" customWidth="1"/>
  </cols>
  <sheetData>
    <row r="2" spans="2:6" x14ac:dyDescent="0.25">
      <c r="B2" t="s">
        <v>330</v>
      </c>
      <c r="C2">
        <v>300</v>
      </c>
    </row>
    <row r="3" spans="2:6" x14ac:dyDescent="0.25">
      <c r="B3" t="s">
        <v>329</v>
      </c>
      <c r="C3" s="135">
        <f>C2*10^6</f>
        <v>300000000</v>
      </c>
    </row>
    <row r="4" spans="2:6" x14ac:dyDescent="0.25">
      <c r="B4" t="s">
        <v>331</v>
      </c>
      <c r="C4">
        <v>4000</v>
      </c>
      <c r="E4" t="s">
        <v>335</v>
      </c>
      <c r="F4" s="20">
        <v>200</v>
      </c>
    </row>
    <row r="5" spans="2:6" x14ac:dyDescent="0.25">
      <c r="B5" t="s">
        <v>333</v>
      </c>
      <c r="C5" s="136">
        <v>0.2</v>
      </c>
      <c r="E5" t="s">
        <v>336</v>
      </c>
      <c r="F5" s="138">
        <f>1000000/F4</f>
        <v>5000</v>
      </c>
    </row>
    <row r="6" spans="2:6" x14ac:dyDescent="0.25">
      <c r="B6" t="s">
        <v>334</v>
      </c>
      <c r="C6" s="136">
        <v>1</v>
      </c>
    </row>
    <row r="7" spans="2:6" x14ac:dyDescent="0.25">
      <c r="B7" t="s">
        <v>337</v>
      </c>
      <c r="C7" s="135">
        <f>C4/C6</f>
        <v>4000</v>
      </c>
    </row>
    <row r="8" spans="2:6" x14ac:dyDescent="0.25">
      <c r="B8" t="s">
        <v>383</v>
      </c>
      <c r="C8" s="96">
        <f>1000000/C7</f>
        <v>250</v>
      </c>
    </row>
    <row r="13" spans="2:6" x14ac:dyDescent="0.25">
      <c r="C13">
        <v>1000000</v>
      </c>
      <c r="D13">
        <f>1000/C13</f>
        <v>1E-3</v>
      </c>
    </row>
    <row r="14" spans="2:6" x14ac:dyDescent="0.25">
      <c r="C14">
        <f>C13/3200</f>
        <v>312.5</v>
      </c>
    </row>
    <row r="15" spans="2:6" x14ac:dyDescent="0.25">
      <c r="C15">
        <f>C13/50</f>
        <v>20000</v>
      </c>
    </row>
    <row r="16" spans="2:6" x14ac:dyDescent="0.25">
      <c r="C16">
        <f>1/C15</f>
        <v>5.0000000000000002E-5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C317-E073-47EC-B96F-52D2D72CA5C5}">
  <dimension ref="A2:AL466"/>
  <sheetViews>
    <sheetView topLeftCell="A52" zoomScale="85" zoomScaleNormal="85" workbookViewId="0">
      <selection activeCell="F8" sqref="F8"/>
    </sheetView>
  </sheetViews>
  <sheetFormatPr defaultRowHeight="15" x14ac:dyDescent="0.25"/>
  <cols>
    <col min="2" max="2" width="27.28515625" customWidth="1"/>
    <col min="3" max="3" width="19" customWidth="1"/>
    <col min="4" max="4" width="10.85546875" customWidth="1"/>
    <col min="5" max="5" width="27.42578125" customWidth="1"/>
    <col min="6" max="6" width="14.28515625" customWidth="1"/>
    <col min="7" max="7" width="10.140625" customWidth="1"/>
    <col min="8" max="8" width="17" bestFit="1" customWidth="1"/>
    <col min="9" max="9" width="11.28515625" customWidth="1"/>
    <col min="10" max="10" width="25.140625" customWidth="1"/>
    <col min="11" max="11" width="10.42578125" bestFit="1" customWidth="1"/>
    <col min="14" max="14" width="17.140625" customWidth="1"/>
    <col min="15" max="15" width="30.42578125" customWidth="1"/>
    <col min="16" max="16" width="15.28515625" customWidth="1"/>
    <col min="23" max="23" width="10.5703125" bestFit="1" customWidth="1"/>
    <col min="28" max="28" width="11.140625" bestFit="1" customWidth="1"/>
    <col min="29" max="29" width="12" bestFit="1" customWidth="1"/>
    <col min="31" max="31" width="49.140625" customWidth="1"/>
    <col min="32" max="32" width="18.140625" bestFit="1" customWidth="1"/>
  </cols>
  <sheetData>
    <row r="2" spans="2:12" x14ac:dyDescent="0.25">
      <c r="B2" s="150" t="s">
        <v>481</v>
      </c>
      <c r="E2" s="150" t="s">
        <v>356</v>
      </c>
      <c r="J2" s="150" t="s">
        <v>713</v>
      </c>
    </row>
    <row r="3" spans="2:12" x14ac:dyDescent="0.25">
      <c r="B3" t="s">
        <v>478</v>
      </c>
      <c r="C3">
        <v>10</v>
      </c>
      <c r="E3" t="s">
        <v>678</v>
      </c>
      <c r="F3" s="97">
        <v>1</v>
      </c>
      <c r="J3" s="150" t="s">
        <v>489</v>
      </c>
    </row>
    <row r="4" spans="2:12" x14ac:dyDescent="0.25">
      <c r="B4" t="s">
        <v>480</v>
      </c>
      <c r="C4">
        <f>C3/1000</f>
        <v>0.01</v>
      </c>
      <c r="E4" t="s">
        <v>679</v>
      </c>
      <c r="F4" s="140">
        <f>F3/(100/5)</f>
        <v>0.05</v>
      </c>
      <c r="J4" t="s">
        <v>714</v>
      </c>
      <c r="K4">
        <v>-12</v>
      </c>
      <c r="L4">
        <v>-13.69</v>
      </c>
    </row>
    <row r="5" spans="2:12" x14ac:dyDescent="0.25">
      <c r="B5" t="s">
        <v>479</v>
      </c>
      <c r="C5" s="88">
        <f>1/C4</f>
        <v>100</v>
      </c>
      <c r="E5" t="s">
        <v>695</v>
      </c>
      <c r="F5">
        <f>F4/(C11)</f>
        <v>655.35</v>
      </c>
      <c r="J5" t="s">
        <v>715</v>
      </c>
      <c r="K5">
        <v>155</v>
      </c>
      <c r="L5">
        <v>111.6</v>
      </c>
    </row>
    <row r="6" spans="2:12" x14ac:dyDescent="0.25">
      <c r="J6" t="s">
        <v>718</v>
      </c>
      <c r="K6">
        <v>0</v>
      </c>
      <c r="L6">
        <v>0</v>
      </c>
    </row>
    <row r="7" spans="2:12" x14ac:dyDescent="0.25">
      <c r="B7" t="s">
        <v>482</v>
      </c>
      <c r="J7" t="s">
        <v>717</v>
      </c>
      <c r="K7">
        <v>5</v>
      </c>
      <c r="L7">
        <v>5</v>
      </c>
    </row>
    <row r="8" spans="2:12" x14ac:dyDescent="0.25">
      <c r="B8" t="s">
        <v>483</v>
      </c>
      <c r="C8">
        <v>0</v>
      </c>
      <c r="E8" t="s">
        <v>690</v>
      </c>
      <c r="F8" s="97">
        <v>2</v>
      </c>
      <c r="J8" t="s">
        <v>716</v>
      </c>
      <c r="K8" s="144">
        <f>12/33.4</f>
        <v>0.3592814371257485</v>
      </c>
      <c r="L8" s="144">
        <f>15/33</f>
        <v>0.45454545454545453</v>
      </c>
    </row>
    <row r="9" spans="2:12" x14ac:dyDescent="0.25">
      <c r="B9" t="s">
        <v>687</v>
      </c>
      <c r="C9">
        <v>5</v>
      </c>
      <c r="E9" t="s">
        <v>691</v>
      </c>
      <c r="F9" s="143">
        <f>F8/(5/65535)</f>
        <v>26214</v>
      </c>
      <c r="J9" t="s">
        <v>734</v>
      </c>
      <c r="K9" s="132">
        <v>0</v>
      </c>
      <c r="L9" s="132">
        <v>0.6</v>
      </c>
    </row>
    <row r="10" spans="2:12" x14ac:dyDescent="0.25">
      <c r="B10" t="s">
        <v>485</v>
      </c>
      <c r="C10">
        <f>(2^16)-1</f>
        <v>65535</v>
      </c>
      <c r="E10" t="s">
        <v>691</v>
      </c>
      <c r="F10" s="97">
        <v>100</v>
      </c>
      <c r="J10" t="s">
        <v>733</v>
      </c>
      <c r="K10">
        <f>33.4*K9-12</f>
        <v>-12</v>
      </c>
      <c r="L10">
        <f>25.058*L9-13.69</f>
        <v>1.3447999999999993</v>
      </c>
    </row>
    <row r="11" spans="2:12" x14ac:dyDescent="0.25">
      <c r="B11" t="s">
        <v>486</v>
      </c>
      <c r="C11" s="151">
        <f>C9/C10</f>
        <v>7.6295109483482109E-5</v>
      </c>
      <c r="E11" t="s">
        <v>690</v>
      </c>
      <c r="F11" s="143">
        <f>F10/(65535/5)</f>
        <v>7.6295109483482107E-3</v>
      </c>
    </row>
    <row r="12" spans="2:12" x14ac:dyDescent="0.25">
      <c r="B12" t="s">
        <v>673</v>
      </c>
      <c r="C12">
        <f>10000/65535</f>
        <v>0.15259021896696423</v>
      </c>
    </row>
    <row r="13" spans="2:12" x14ac:dyDescent="0.25">
      <c r="B13" t="s">
        <v>685</v>
      </c>
      <c r="C13">
        <f>ADC_Input_range/DAC_Vmax__V</f>
        <v>2</v>
      </c>
    </row>
    <row r="15" spans="2:12" x14ac:dyDescent="0.25">
      <c r="B15" s="150" t="s">
        <v>387</v>
      </c>
    </row>
    <row r="16" spans="2:12" x14ac:dyDescent="0.25">
      <c r="B16" t="s">
        <v>388</v>
      </c>
      <c r="C16">
        <v>16</v>
      </c>
      <c r="J16" s="150" t="s">
        <v>719</v>
      </c>
    </row>
    <row r="17" spans="2:11" x14ac:dyDescent="0.25">
      <c r="B17" t="s">
        <v>389</v>
      </c>
      <c r="C17">
        <v>4.0960000000000001</v>
      </c>
      <c r="J17" t="s">
        <v>720</v>
      </c>
      <c r="K17">
        <v>0</v>
      </c>
    </row>
    <row r="18" spans="2:11" x14ac:dyDescent="0.25">
      <c r="B18" t="s">
        <v>395</v>
      </c>
      <c r="C18">
        <v>2.5</v>
      </c>
      <c r="F18" t="s">
        <v>449</v>
      </c>
      <c r="G18">
        <v>11744376</v>
      </c>
      <c r="J18" t="s">
        <v>721</v>
      </c>
      <c r="K18">
        <v>10</v>
      </c>
    </row>
    <row r="19" spans="2:11" x14ac:dyDescent="0.25">
      <c r="B19" t="s">
        <v>686</v>
      </c>
      <c r="C19" s="150">
        <v>10</v>
      </c>
      <c r="F19" t="s">
        <v>692</v>
      </c>
      <c r="G19">
        <v>8893</v>
      </c>
      <c r="J19" t="s">
        <v>722</v>
      </c>
      <c r="K19" s="144">
        <f>K8</f>
        <v>0.3592814371257485</v>
      </c>
    </row>
    <row r="20" spans="2:11" x14ac:dyDescent="0.25">
      <c r="B20" t="s">
        <v>391</v>
      </c>
      <c r="C20">
        <f>2^C16-1</f>
        <v>65535</v>
      </c>
      <c r="F20" t="s">
        <v>694</v>
      </c>
      <c r="G20">
        <v>6.55</v>
      </c>
      <c r="J20" t="s">
        <v>723</v>
      </c>
      <c r="K20" s="144">
        <f>5-K19</f>
        <v>4.6407185628742518</v>
      </c>
    </row>
    <row r="21" spans="2:11" x14ac:dyDescent="0.25">
      <c r="B21" t="s">
        <v>394</v>
      </c>
      <c r="C21">
        <f>C19/C20</f>
        <v>1.5259021896696422E-4</v>
      </c>
      <c r="F21" t="s">
        <v>693</v>
      </c>
      <c r="G21">
        <f>G18-(G19/G20)</f>
        <v>11743018.290076336</v>
      </c>
      <c r="J21" t="s">
        <v>724</v>
      </c>
      <c r="K21">
        <v>0</v>
      </c>
    </row>
    <row r="22" spans="2:11" x14ac:dyDescent="0.25">
      <c r="B22" t="s">
        <v>392</v>
      </c>
      <c r="C22" s="97">
        <v>13197</v>
      </c>
      <c r="G22">
        <v>11743019</v>
      </c>
      <c r="H22">
        <f>G21-G22</f>
        <v>-0.70992366410791874</v>
      </c>
      <c r="J22" t="s">
        <v>725</v>
      </c>
      <c r="K22">
        <v>100</v>
      </c>
    </row>
    <row r="23" spans="2:11" x14ac:dyDescent="0.25">
      <c r="B23" t="s">
        <v>393</v>
      </c>
      <c r="C23" s="143">
        <f>C22*C21</f>
        <v>2.0137331197070267</v>
      </c>
      <c r="J23" s="132" t="s">
        <v>726</v>
      </c>
      <c r="K23" s="132">
        <v>0.1</v>
      </c>
    </row>
    <row r="24" spans="2:11" x14ac:dyDescent="0.25">
      <c r="B24" t="s">
        <v>547</v>
      </c>
      <c r="C24" s="140">
        <f>ADC_Input_range/Max_displacement__um</f>
        <v>0.1</v>
      </c>
      <c r="J24" t="s">
        <v>727</v>
      </c>
      <c r="K24">
        <v>0</v>
      </c>
    </row>
    <row r="25" spans="2:11" x14ac:dyDescent="0.25">
      <c r="B25" t="s">
        <v>548</v>
      </c>
      <c r="C25">
        <f>ADC_volts_um/ADC_voltage_per_count</f>
        <v>655.35</v>
      </c>
      <c r="J25" t="s">
        <v>728</v>
      </c>
      <c r="K25">
        <v>10000</v>
      </c>
    </row>
    <row r="26" spans="2:11" x14ac:dyDescent="0.25">
      <c r="B26" t="s">
        <v>549</v>
      </c>
      <c r="C26" s="166">
        <f>C25/C5</f>
        <v>6.5535000000000005</v>
      </c>
      <c r="J26" t="s">
        <v>729</v>
      </c>
      <c r="K26" s="113">
        <f>K19/C11</f>
        <v>4709.1017964071852</v>
      </c>
    </row>
    <row r="27" spans="2:11" x14ac:dyDescent="0.25">
      <c r="B27" t="s">
        <v>688</v>
      </c>
      <c r="C27" s="96">
        <f>C22/C26</f>
        <v>2013.7331197070266</v>
      </c>
      <c r="J27" t="s">
        <v>730</v>
      </c>
      <c r="K27" s="113">
        <f>K20/C11</f>
        <v>60825.89820359282</v>
      </c>
    </row>
    <row r="31" spans="2:11" x14ac:dyDescent="0.25">
      <c r="B31" s="150" t="s">
        <v>487</v>
      </c>
    </row>
    <row r="32" spans="2:11" x14ac:dyDescent="0.25">
      <c r="B32" t="s">
        <v>495</v>
      </c>
      <c r="C32">
        <v>100</v>
      </c>
    </row>
    <row r="33" spans="2:3" x14ac:dyDescent="0.25">
      <c r="B33" t="s">
        <v>483</v>
      </c>
      <c r="C33">
        <v>0</v>
      </c>
    </row>
    <row r="34" spans="2:3" x14ac:dyDescent="0.25">
      <c r="B34" t="s">
        <v>484</v>
      </c>
      <c r="C34">
        <v>150</v>
      </c>
    </row>
    <row r="35" spans="2:3" x14ac:dyDescent="0.25">
      <c r="B35" t="s">
        <v>496</v>
      </c>
      <c r="C35">
        <f>C34/C32</f>
        <v>1.5</v>
      </c>
    </row>
    <row r="36" spans="2:3" x14ac:dyDescent="0.25">
      <c r="B36" t="s">
        <v>689</v>
      </c>
    </row>
    <row r="38" spans="2:3" s="152" customFormat="1" x14ac:dyDescent="0.25">
      <c r="B38" s="180" t="s">
        <v>489</v>
      </c>
      <c r="C38" s="180"/>
    </row>
    <row r="39" spans="2:3" x14ac:dyDescent="0.25">
      <c r="B39" t="s">
        <v>491</v>
      </c>
      <c r="C39">
        <v>0</v>
      </c>
    </row>
    <row r="40" spans="2:3" x14ac:dyDescent="0.25">
      <c r="B40" t="s">
        <v>492</v>
      </c>
      <c r="C40">
        <v>5</v>
      </c>
    </row>
    <row r="41" spans="2:3" x14ac:dyDescent="0.25">
      <c r="B41" t="s">
        <v>493</v>
      </c>
      <c r="C41">
        <v>-15</v>
      </c>
    </row>
    <row r="42" spans="2:3" x14ac:dyDescent="0.25">
      <c r="B42" t="s">
        <v>494</v>
      </c>
      <c r="C42">
        <v>150</v>
      </c>
    </row>
    <row r="43" spans="2:3" x14ac:dyDescent="0.25">
      <c r="B43" t="s">
        <v>676</v>
      </c>
      <c r="C43" s="97">
        <v>0.45</v>
      </c>
    </row>
    <row r="44" spans="2:3" x14ac:dyDescent="0.25">
      <c r="B44" t="s">
        <v>675</v>
      </c>
      <c r="C44" s="143">
        <f>33*C43-15</f>
        <v>-0.15000000000000036</v>
      </c>
    </row>
    <row r="45" spans="2:3" x14ac:dyDescent="0.25">
      <c r="B45" t="s">
        <v>677</v>
      </c>
      <c r="C45" s="144">
        <f>15/33</f>
        <v>0.45454545454545453</v>
      </c>
    </row>
    <row r="50" spans="2:10" x14ac:dyDescent="0.25">
      <c r="C50" s="150" t="s">
        <v>524</v>
      </c>
    </row>
    <row r="51" spans="2:10" x14ac:dyDescent="0.25">
      <c r="B51" s="152" t="s">
        <v>681</v>
      </c>
    </row>
    <row r="52" spans="2:10" x14ac:dyDescent="0.25">
      <c r="B52" s="174" t="s">
        <v>412</v>
      </c>
      <c r="C52" s="174" t="s">
        <v>522</v>
      </c>
      <c r="D52" s="174" t="s">
        <v>503</v>
      </c>
      <c r="E52" s="150" t="s">
        <v>504</v>
      </c>
      <c r="F52" s="150" t="s">
        <v>505</v>
      </c>
      <c r="G52" s="174" t="s">
        <v>460</v>
      </c>
      <c r="H52" s="174" t="s">
        <v>464</v>
      </c>
      <c r="I52" s="174" t="s">
        <v>501</v>
      </c>
      <c r="J52" s="174" t="s">
        <v>506</v>
      </c>
    </row>
    <row r="53" spans="2:10" x14ac:dyDescent="0.25">
      <c r="B53" s="154">
        <v>0.5</v>
      </c>
      <c r="C53" s="154">
        <f>B53/0.01</f>
        <v>50</v>
      </c>
      <c r="D53" s="154">
        <f t="shared" ref="D53:D63" si="0">B53*0.05</f>
        <v>2.5000000000000001E-2</v>
      </c>
      <c r="E53" s="154">
        <f t="shared" ref="E53" si="1">D53/0.01</f>
        <v>2.5</v>
      </c>
      <c r="F53" s="158">
        <v>13</v>
      </c>
      <c r="G53" s="154">
        <v>500</v>
      </c>
      <c r="H53" s="154">
        <v>0</v>
      </c>
      <c r="I53" s="154">
        <v>0</v>
      </c>
      <c r="J53" s="154">
        <v>0</v>
      </c>
    </row>
    <row r="54" spans="2:10" x14ac:dyDescent="0.25">
      <c r="B54" s="154">
        <v>1</v>
      </c>
      <c r="C54" s="154">
        <f>B54/0.01</f>
        <v>100</v>
      </c>
      <c r="D54" s="154">
        <f t="shared" si="0"/>
        <v>0.05</v>
      </c>
      <c r="E54" s="154">
        <f t="shared" ref="E54:E62" si="2">D54/0.01</f>
        <v>5</v>
      </c>
      <c r="F54" s="158">
        <v>13</v>
      </c>
      <c r="G54" s="154">
        <v>400</v>
      </c>
      <c r="H54" s="154">
        <v>0</v>
      </c>
      <c r="I54" s="154">
        <v>0</v>
      </c>
      <c r="J54" s="154">
        <v>0</v>
      </c>
    </row>
    <row r="55" spans="2:10" x14ac:dyDescent="0.25">
      <c r="B55" s="154">
        <v>2</v>
      </c>
      <c r="C55" s="154">
        <f t="shared" ref="C55:C62" si="3">B55/0.01</f>
        <v>200</v>
      </c>
      <c r="D55" s="154">
        <f t="shared" si="0"/>
        <v>0.1</v>
      </c>
      <c r="E55" s="154">
        <f t="shared" si="2"/>
        <v>10</v>
      </c>
      <c r="F55" s="158">
        <v>14</v>
      </c>
      <c r="G55" s="154">
        <v>400</v>
      </c>
      <c r="H55" s="154">
        <v>0</v>
      </c>
      <c r="I55" s="154">
        <v>0</v>
      </c>
      <c r="J55" s="154">
        <v>0</v>
      </c>
    </row>
    <row r="56" spans="2:10" x14ac:dyDescent="0.25">
      <c r="B56" s="154">
        <v>3</v>
      </c>
      <c r="C56" s="154">
        <f t="shared" si="3"/>
        <v>300</v>
      </c>
      <c r="D56" s="154">
        <f t="shared" si="0"/>
        <v>0.15000000000000002</v>
      </c>
      <c r="E56" s="154">
        <f t="shared" si="2"/>
        <v>15.000000000000002</v>
      </c>
      <c r="F56" s="158">
        <v>16</v>
      </c>
      <c r="G56" s="154">
        <v>220</v>
      </c>
      <c r="H56" s="154">
        <v>0</v>
      </c>
      <c r="I56" s="154">
        <v>0</v>
      </c>
      <c r="J56" s="154">
        <v>0</v>
      </c>
    </row>
    <row r="57" spans="2:10" x14ac:dyDescent="0.25">
      <c r="B57" s="154">
        <v>5</v>
      </c>
      <c r="C57" s="154">
        <f t="shared" si="3"/>
        <v>500</v>
      </c>
      <c r="D57" s="154">
        <f t="shared" si="0"/>
        <v>0.25</v>
      </c>
      <c r="E57" s="154">
        <f t="shared" si="2"/>
        <v>25</v>
      </c>
      <c r="F57" s="158">
        <v>23</v>
      </c>
      <c r="G57" s="154">
        <v>220</v>
      </c>
      <c r="H57" s="154">
        <v>0</v>
      </c>
      <c r="I57" s="154">
        <v>0</v>
      </c>
      <c r="J57" s="154">
        <v>0</v>
      </c>
    </row>
    <row r="58" spans="2:10" x14ac:dyDescent="0.25">
      <c r="B58" s="154">
        <v>10</v>
      </c>
      <c r="C58" s="154">
        <f t="shared" si="3"/>
        <v>1000</v>
      </c>
      <c r="D58" s="154">
        <f t="shared" si="0"/>
        <v>0.5</v>
      </c>
      <c r="E58" s="154">
        <f t="shared" si="2"/>
        <v>50</v>
      </c>
      <c r="F58" s="158">
        <v>23</v>
      </c>
      <c r="G58" s="154">
        <v>200</v>
      </c>
      <c r="H58" s="154">
        <v>0</v>
      </c>
      <c r="I58" s="154">
        <v>0</v>
      </c>
      <c r="J58" s="154">
        <v>0</v>
      </c>
    </row>
    <row r="59" spans="2:10" x14ac:dyDescent="0.25">
      <c r="B59" s="154">
        <v>20</v>
      </c>
      <c r="C59" s="154">
        <f t="shared" si="3"/>
        <v>2000</v>
      </c>
      <c r="D59" s="154">
        <f t="shared" si="0"/>
        <v>1</v>
      </c>
      <c r="E59" s="154">
        <f t="shared" si="2"/>
        <v>100</v>
      </c>
      <c r="F59" s="158">
        <v>15</v>
      </c>
      <c r="G59" s="154">
        <v>170</v>
      </c>
      <c r="H59" s="154">
        <v>0</v>
      </c>
      <c r="I59" s="154">
        <v>0</v>
      </c>
      <c r="J59" s="154">
        <v>0</v>
      </c>
    </row>
    <row r="60" spans="2:10" x14ac:dyDescent="0.25">
      <c r="B60" s="154">
        <v>30</v>
      </c>
      <c r="C60" s="154">
        <f t="shared" si="3"/>
        <v>3000</v>
      </c>
      <c r="D60" s="154">
        <f t="shared" si="0"/>
        <v>1.5</v>
      </c>
      <c r="E60" s="154">
        <f t="shared" si="2"/>
        <v>150</v>
      </c>
      <c r="F60" s="158">
        <v>31</v>
      </c>
      <c r="G60" s="154">
        <v>105</v>
      </c>
      <c r="H60" s="154">
        <v>0</v>
      </c>
      <c r="I60" s="154">
        <v>0</v>
      </c>
      <c r="J60" s="154">
        <v>0</v>
      </c>
    </row>
    <row r="61" spans="2:10" x14ac:dyDescent="0.25">
      <c r="B61" s="154">
        <v>40</v>
      </c>
      <c r="C61" s="154">
        <f t="shared" si="3"/>
        <v>4000</v>
      </c>
      <c r="D61" s="154">
        <f t="shared" si="0"/>
        <v>2</v>
      </c>
      <c r="E61" s="154">
        <f t="shared" si="2"/>
        <v>200</v>
      </c>
      <c r="F61" s="158">
        <v>25</v>
      </c>
      <c r="G61" s="154">
        <v>105</v>
      </c>
      <c r="H61" s="154">
        <v>0</v>
      </c>
      <c r="I61" s="154">
        <v>0</v>
      </c>
      <c r="J61" s="154">
        <v>0</v>
      </c>
    </row>
    <row r="62" spans="2:10" x14ac:dyDescent="0.25">
      <c r="B62" s="154">
        <v>50</v>
      </c>
      <c r="C62" s="154">
        <f t="shared" si="3"/>
        <v>5000</v>
      </c>
      <c r="D62" s="154">
        <f t="shared" si="0"/>
        <v>2.5</v>
      </c>
      <c r="E62" s="154">
        <f t="shared" si="2"/>
        <v>250</v>
      </c>
      <c r="F62" s="158">
        <v>32</v>
      </c>
      <c r="G62" s="154">
        <v>100</v>
      </c>
      <c r="H62" s="154">
        <v>0</v>
      </c>
      <c r="I62" s="154">
        <v>0</v>
      </c>
      <c r="J62" s="154">
        <v>0</v>
      </c>
    </row>
    <row r="63" spans="2:10" x14ac:dyDescent="0.25">
      <c r="B63" s="154">
        <v>100</v>
      </c>
      <c r="C63" s="154">
        <f t="shared" ref="C63" si="4">B63/0.01</f>
        <v>10000</v>
      </c>
      <c r="D63" s="154">
        <f t="shared" si="0"/>
        <v>5</v>
      </c>
      <c r="E63" s="154">
        <f t="shared" ref="E63" si="5">D63/0.01</f>
        <v>500</v>
      </c>
      <c r="F63" s="158">
        <v>42</v>
      </c>
      <c r="G63" s="154">
        <v>100</v>
      </c>
      <c r="H63" s="154">
        <v>0</v>
      </c>
      <c r="I63" s="154">
        <v>0</v>
      </c>
      <c r="J63" s="154">
        <v>0</v>
      </c>
    </row>
    <row r="64" spans="2:10" x14ac:dyDescent="0.25">
      <c r="E64" s="8" t="s">
        <v>684</v>
      </c>
      <c r="F64" s="182">
        <v>1.5</v>
      </c>
      <c r="G64" s="124"/>
    </row>
    <row r="65" spans="1:32" x14ac:dyDescent="0.25">
      <c r="C65" s="123" t="s">
        <v>674</v>
      </c>
      <c r="D65" s="185">
        <v>60</v>
      </c>
      <c r="E65" s="13" t="s">
        <v>541</v>
      </c>
      <c r="F65" s="15" t="s">
        <v>696</v>
      </c>
      <c r="G65" s="172" t="s">
        <v>419</v>
      </c>
    </row>
    <row r="66" spans="1:32" x14ac:dyDescent="0.25">
      <c r="C66" s="13" t="s">
        <v>683</v>
      </c>
      <c r="D66" s="172">
        <f>D65*100</f>
        <v>6000</v>
      </c>
      <c r="E66" s="13">
        <v>0.5</v>
      </c>
      <c r="F66" s="15">
        <f>E66/0.01</f>
        <v>50</v>
      </c>
      <c r="G66" s="186">
        <f t="shared" ref="G66:G72" si="6">(1884.7*F66^-0.337)*Factor</f>
        <v>756.45064609225233</v>
      </c>
    </row>
    <row r="67" spans="1:32" x14ac:dyDescent="0.25">
      <c r="C67" s="126" t="s">
        <v>682</v>
      </c>
      <c r="D67" s="184">
        <f>1884.7*D66^-0.337</f>
        <v>100.46279559495675</v>
      </c>
      <c r="E67" s="13">
        <v>1</v>
      </c>
      <c r="F67" s="15">
        <f t="shared" ref="F67:F70" si="7">E67/0.01</f>
        <v>100</v>
      </c>
      <c r="G67" s="186">
        <f t="shared" si="6"/>
        <v>598.87128474042765</v>
      </c>
    </row>
    <row r="68" spans="1:32" x14ac:dyDescent="0.25">
      <c r="E68" s="13">
        <v>10</v>
      </c>
      <c r="F68" s="15">
        <f t="shared" si="7"/>
        <v>1000</v>
      </c>
      <c r="G68" s="186">
        <f t="shared" si="6"/>
        <v>275.63444553089391</v>
      </c>
    </row>
    <row r="69" spans="1:32" x14ac:dyDescent="0.25">
      <c r="E69" s="13">
        <v>35</v>
      </c>
      <c r="F69" s="15">
        <f t="shared" si="7"/>
        <v>3500</v>
      </c>
      <c r="G69" s="186">
        <f t="shared" si="6"/>
        <v>180.71015510721008</v>
      </c>
    </row>
    <row r="70" spans="1:32" x14ac:dyDescent="0.25">
      <c r="E70" s="13">
        <v>40</v>
      </c>
      <c r="F70" s="15">
        <f t="shared" si="7"/>
        <v>4000</v>
      </c>
      <c r="G70" s="186">
        <f t="shared" si="6"/>
        <v>172.75843952191815</v>
      </c>
    </row>
    <row r="71" spans="1:32" x14ac:dyDescent="0.25">
      <c r="E71" s="13">
        <v>50</v>
      </c>
      <c r="F71" s="15">
        <f t="shared" ref="F71:F72" si="8">E71/0.01</f>
        <v>5000</v>
      </c>
      <c r="G71" s="186">
        <f t="shared" si="6"/>
        <v>160.24356494154455</v>
      </c>
    </row>
    <row r="72" spans="1:32" x14ac:dyDescent="0.25">
      <c r="E72" s="126">
        <v>100</v>
      </c>
      <c r="F72" s="183">
        <f t="shared" si="8"/>
        <v>10000</v>
      </c>
      <c r="G72" s="187">
        <f t="shared" si="6"/>
        <v>126.86256546104607</v>
      </c>
    </row>
    <row r="74" spans="1:32" x14ac:dyDescent="0.25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</row>
    <row r="76" spans="1:32" x14ac:dyDescent="0.25">
      <c r="B76" s="181" t="s">
        <v>680</v>
      </c>
    </row>
    <row r="77" spans="1:32" x14ac:dyDescent="0.25">
      <c r="AE77" s="150" t="s">
        <v>481</v>
      </c>
    </row>
    <row r="78" spans="1:32" x14ac:dyDescent="0.25">
      <c r="A78" t="s">
        <v>338</v>
      </c>
      <c r="AE78" t="s">
        <v>478</v>
      </c>
      <c r="AF78">
        <v>10</v>
      </c>
    </row>
    <row r="79" spans="1:32" x14ac:dyDescent="0.25">
      <c r="B79" t="s">
        <v>348</v>
      </c>
      <c r="C79" t="s">
        <v>351</v>
      </c>
      <c r="E79" t="s">
        <v>384</v>
      </c>
      <c r="H79" t="s">
        <v>345</v>
      </c>
      <c r="J79" t="s">
        <v>385</v>
      </c>
      <c r="O79" t="s">
        <v>332</v>
      </c>
      <c r="P79">
        <v>100</v>
      </c>
      <c r="AE79" t="s">
        <v>480</v>
      </c>
      <c r="AF79">
        <f>AF78/1000</f>
        <v>0.01</v>
      </c>
    </row>
    <row r="80" spans="1:32" x14ac:dyDescent="0.25">
      <c r="B80" t="s">
        <v>339</v>
      </c>
      <c r="C80" s="88">
        <v>1000000</v>
      </c>
      <c r="E80" s="88">
        <v>10000000</v>
      </c>
      <c r="H80" s="88">
        <v>1000000</v>
      </c>
      <c r="J80" s="88">
        <f>E80</f>
        <v>10000000</v>
      </c>
      <c r="O80" t="s">
        <v>352</v>
      </c>
      <c r="P80">
        <f>1000/P79</f>
        <v>10</v>
      </c>
      <c r="AE80" t="s">
        <v>479</v>
      </c>
      <c r="AF80" s="88">
        <f>1/AF79</f>
        <v>100</v>
      </c>
    </row>
    <row r="81" spans="2:35" x14ac:dyDescent="0.25">
      <c r="B81" t="s">
        <v>340</v>
      </c>
      <c r="C81" s="96">
        <f>1000000/C80</f>
        <v>1</v>
      </c>
      <c r="E81" s="137">
        <f>1000000/E80</f>
        <v>0.1</v>
      </c>
      <c r="H81" s="96">
        <f>1000000/H80</f>
        <v>1</v>
      </c>
      <c r="J81" s="96">
        <f>1000000/J80</f>
        <v>0.1</v>
      </c>
    </row>
    <row r="82" spans="2:35" x14ac:dyDescent="0.25">
      <c r="B82" t="s">
        <v>341</v>
      </c>
      <c r="C82">
        <v>50</v>
      </c>
      <c r="E82">
        <v>50</v>
      </c>
      <c r="H82">
        <v>18</v>
      </c>
      <c r="J82">
        <v>18</v>
      </c>
      <c r="O82" t="s">
        <v>353</v>
      </c>
      <c r="P82">
        <v>2</v>
      </c>
      <c r="AE82" s="150" t="s">
        <v>482</v>
      </c>
    </row>
    <row r="83" spans="2:35" x14ac:dyDescent="0.25">
      <c r="B83" t="s">
        <v>342</v>
      </c>
      <c r="C83" s="96">
        <f>C81*C82</f>
        <v>50</v>
      </c>
      <c r="D83" t="s">
        <v>344</v>
      </c>
      <c r="E83" s="96">
        <f>E81*E82</f>
        <v>5</v>
      </c>
      <c r="H83" s="96">
        <f>H81*H82</f>
        <v>18</v>
      </c>
      <c r="I83" t="s">
        <v>346</v>
      </c>
      <c r="J83" s="96">
        <f>J81*J82</f>
        <v>1.8</v>
      </c>
      <c r="O83" t="s">
        <v>354</v>
      </c>
      <c r="P83">
        <f>1000/P82</f>
        <v>500</v>
      </c>
      <c r="AE83" t="s">
        <v>483</v>
      </c>
      <c r="AF83">
        <v>0</v>
      </c>
    </row>
    <row r="84" spans="2:35" x14ac:dyDescent="0.25">
      <c r="B84" t="s">
        <v>343</v>
      </c>
      <c r="C84" s="96">
        <f>1000000/C83</f>
        <v>20000</v>
      </c>
      <c r="D84" t="s">
        <v>344</v>
      </c>
      <c r="E84" s="96">
        <f>1000000/E83</f>
        <v>200000</v>
      </c>
      <c r="H84" s="96">
        <f>1000000/H83</f>
        <v>55555.555555555555</v>
      </c>
      <c r="I84" t="s">
        <v>346</v>
      </c>
      <c r="J84" s="96">
        <f>1000000/J83</f>
        <v>555555.5555555555</v>
      </c>
      <c r="AE84" t="s">
        <v>484</v>
      </c>
      <c r="AF84">
        <v>5</v>
      </c>
    </row>
    <row r="85" spans="2:35" x14ac:dyDescent="0.25">
      <c r="B85" t="s">
        <v>347</v>
      </c>
      <c r="C85">
        <v>50</v>
      </c>
      <c r="E85">
        <v>50</v>
      </c>
      <c r="AE85" t="s">
        <v>485</v>
      </c>
      <c r="AF85">
        <f>(2^16)-1</f>
        <v>65535</v>
      </c>
      <c r="AH85" t="s">
        <v>455</v>
      </c>
      <c r="AI85" t="s">
        <v>266</v>
      </c>
    </row>
    <row r="86" spans="2:35" x14ac:dyDescent="0.25">
      <c r="B86" t="s">
        <v>350</v>
      </c>
      <c r="C86" s="96">
        <f>C85*C83</f>
        <v>2500</v>
      </c>
      <c r="E86" s="96">
        <f>E85*E83</f>
        <v>250</v>
      </c>
      <c r="F86" s="96"/>
      <c r="AE86" t="s">
        <v>486</v>
      </c>
      <c r="AF86" s="151">
        <f>AF84/AF85</f>
        <v>7.6295109483482109E-5</v>
      </c>
      <c r="AH86" s="97">
        <v>600</v>
      </c>
      <c r="AI86" s="100">
        <f>AH86*AF86</f>
        <v>4.5777065690089262E-2</v>
      </c>
    </row>
    <row r="87" spans="2:35" x14ac:dyDescent="0.25">
      <c r="B87" t="s">
        <v>349</v>
      </c>
      <c r="C87" s="96">
        <f>1000000/C86</f>
        <v>400</v>
      </c>
      <c r="E87" s="96">
        <f>1000000/E86</f>
        <v>4000</v>
      </c>
      <c r="F87" s="96"/>
      <c r="AE87" t="s">
        <v>673</v>
      </c>
      <c r="AF87">
        <f>10000/65535</f>
        <v>0.15259021896696423</v>
      </c>
    </row>
    <row r="89" spans="2:35" x14ac:dyDescent="0.25">
      <c r="AE89" s="150" t="s">
        <v>387</v>
      </c>
    </row>
    <row r="90" spans="2:35" x14ac:dyDescent="0.25">
      <c r="AE90" t="s">
        <v>388</v>
      </c>
      <c r="AF90">
        <v>16</v>
      </c>
    </row>
    <row r="91" spans="2:35" x14ac:dyDescent="0.25">
      <c r="AE91" t="s">
        <v>389</v>
      </c>
      <c r="AF91">
        <v>4.0960000000000001</v>
      </c>
    </row>
    <row r="92" spans="2:35" x14ac:dyDescent="0.25">
      <c r="AE92" t="s">
        <v>395</v>
      </c>
      <c r="AF92">
        <v>2.5</v>
      </c>
    </row>
    <row r="93" spans="2:35" x14ac:dyDescent="0.25">
      <c r="AE93" t="s">
        <v>390</v>
      </c>
      <c r="AF93" s="150">
        <v>10</v>
      </c>
      <c r="AG93">
        <v>10.24</v>
      </c>
    </row>
    <row r="94" spans="2:35" x14ac:dyDescent="0.25">
      <c r="AE94" t="s">
        <v>391</v>
      </c>
      <c r="AF94">
        <f>2^AF90</f>
        <v>65536</v>
      </c>
    </row>
    <row r="95" spans="2:35" x14ac:dyDescent="0.25">
      <c r="AE95" t="s">
        <v>394</v>
      </c>
      <c r="AF95">
        <f>AF93/AF94</f>
        <v>1.52587890625E-4</v>
      </c>
    </row>
    <row r="96" spans="2:35" x14ac:dyDescent="0.25">
      <c r="AE96" t="s">
        <v>392</v>
      </c>
      <c r="AF96" s="97">
        <v>12990</v>
      </c>
    </row>
    <row r="97" spans="2:33" x14ac:dyDescent="0.25">
      <c r="AE97" t="s">
        <v>393</v>
      </c>
      <c r="AF97" s="143">
        <f>AF96*AF95</f>
        <v>1.98211669921875</v>
      </c>
    </row>
    <row r="98" spans="2:33" x14ac:dyDescent="0.25">
      <c r="AE98" t="s">
        <v>547</v>
      </c>
      <c r="AF98" s="140">
        <f>10/AF103</f>
        <v>0.1</v>
      </c>
    </row>
    <row r="99" spans="2:33" x14ac:dyDescent="0.25">
      <c r="AE99" t="s">
        <v>548</v>
      </c>
      <c r="AF99">
        <f>AF98/AF95</f>
        <v>655.36</v>
      </c>
    </row>
    <row r="100" spans="2:33" x14ac:dyDescent="0.25">
      <c r="AE100" t="s">
        <v>549</v>
      </c>
      <c r="AF100" s="166">
        <f>AF99/AF80</f>
        <v>6.5536000000000003</v>
      </c>
    </row>
    <row r="101" spans="2:33" x14ac:dyDescent="0.25">
      <c r="B101" t="s">
        <v>355</v>
      </c>
      <c r="C101">
        <v>0.01</v>
      </c>
      <c r="E101" s="225" t="s">
        <v>356</v>
      </c>
      <c r="F101" s="225"/>
    </row>
    <row r="102" spans="2:33" x14ac:dyDescent="0.25">
      <c r="B102" t="s">
        <v>357</v>
      </c>
      <c r="C102">
        <f>2*C101</f>
        <v>0.02</v>
      </c>
      <c r="E102" t="s">
        <v>358</v>
      </c>
      <c r="J102" t="s">
        <v>387</v>
      </c>
      <c r="N102" t="s">
        <v>405</v>
      </c>
      <c r="P102" t="s">
        <v>416</v>
      </c>
      <c r="Q102" t="s">
        <v>417</v>
      </c>
      <c r="V102" t="s">
        <v>477</v>
      </c>
      <c r="W102" t="s">
        <v>456</v>
      </c>
      <c r="AE102" s="150" t="s">
        <v>487</v>
      </c>
    </row>
    <row r="103" spans="2:33" x14ac:dyDescent="0.25">
      <c r="B103" t="s">
        <v>359</v>
      </c>
      <c r="C103">
        <v>31.25</v>
      </c>
      <c r="E103" t="s">
        <v>360</v>
      </c>
      <c r="F103" s="97">
        <v>15</v>
      </c>
      <c r="J103" t="s">
        <v>388</v>
      </c>
      <c r="K103">
        <v>16</v>
      </c>
      <c r="N103">
        <v>16</v>
      </c>
      <c r="P103">
        <v>0</v>
      </c>
      <c r="Q103">
        <v>0</v>
      </c>
      <c r="V103">
        <v>0</v>
      </c>
      <c r="W103">
        <v>0</v>
      </c>
      <c r="AE103" t="s">
        <v>495</v>
      </c>
      <c r="AF103">
        <v>100</v>
      </c>
    </row>
    <row r="104" spans="2:33" x14ac:dyDescent="0.25">
      <c r="B104" t="s">
        <v>361</v>
      </c>
      <c r="C104">
        <v>100</v>
      </c>
      <c r="E104" t="s">
        <v>362</v>
      </c>
      <c r="F104">
        <f>F103/C109</f>
        <v>0.72000000000000008</v>
      </c>
      <c r="J104" t="s">
        <v>389</v>
      </c>
      <c r="K104">
        <v>4.0960000000000001</v>
      </c>
      <c r="N104">
        <v>5</v>
      </c>
      <c r="P104">
        <v>5</v>
      </c>
      <c r="Q104">
        <f>N107</f>
        <v>65535</v>
      </c>
      <c r="V104">
        <v>5</v>
      </c>
      <c r="W104">
        <v>75</v>
      </c>
      <c r="AE104" t="s">
        <v>483</v>
      </c>
      <c r="AF104">
        <v>0</v>
      </c>
    </row>
    <row r="105" spans="2:33" x14ac:dyDescent="0.25">
      <c r="B105" t="s">
        <v>363</v>
      </c>
      <c r="C105">
        <v>-20</v>
      </c>
      <c r="E105" t="s">
        <v>364</v>
      </c>
      <c r="F105">
        <f>F104*1000</f>
        <v>720.00000000000011</v>
      </c>
      <c r="J105" t="s">
        <v>395</v>
      </c>
      <c r="K105">
        <v>2.5</v>
      </c>
      <c r="N105">
        <v>5</v>
      </c>
      <c r="AE105" t="s">
        <v>484</v>
      </c>
      <c r="AF105">
        <v>150</v>
      </c>
    </row>
    <row r="106" spans="2:33" x14ac:dyDescent="0.25">
      <c r="B106" t="s">
        <v>365</v>
      </c>
      <c r="C106">
        <v>150</v>
      </c>
      <c r="J106" t="s">
        <v>390</v>
      </c>
      <c r="K106">
        <f>K105*K104</f>
        <v>10.24</v>
      </c>
      <c r="N106">
        <v>5</v>
      </c>
      <c r="P106" s="97">
        <v>0.2</v>
      </c>
      <c r="Q106">
        <f>P106/N108</f>
        <v>2621.4</v>
      </c>
      <c r="AE106" t="s">
        <v>496</v>
      </c>
      <c r="AF106">
        <f>AF105/AF103</f>
        <v>1.5</v>
      </c>
    </row>
    <row r="107" spans="2:33" x14ac:dyDescent="0.25">
      <c r="B107" t="s">
        <v>366</v>
      </c>
      <c r="C107">
        <f>C106/C104</f>
        <v>1.5</v>
      </c>
      <c r="J107" t="s">
        <v>391</v>
      </c>
      <c r="K107">
        <f>2^K103</f>
        <v>65536</v>
      </c>
      <c r="N107">
        <f>2^N103-1</f>
        <v>65535</v>
      </c>
    </row>
    <row r="108" spans="2:33" x14ac:dyDescent="0.25">
      <c r="B108" t="s">
        <v>367</v>
      </c>
      <c r="C108">
        <f>C106/C103</f>
        <v>4.8</v>
      </c>
      <c r="E108" t="s">
        <v>386</v>
      </c>
      <c r="J108" t="s">
        <v>394</v>
      </c>
      <c r="K108" s="168">
        <f>K106/K107</f>
        <v>1.5625E-4</v>
      </c>
      <c r="L108" s="167">
        <f>K108*6.4</f>
        <v>1E-3</v>
      </c>
      <c r="N108" s="141">
        <f>N106/N107</f>
        <v>7.6295109483482109E-5</v>
      </c>
      <c r="AE108" s="150" t="s">
        <v>489</v>
      </c>
      <c r="AF108" s="150" t="s">
        <v>490</v>
      </c>
      <c r="AG108" s="150" t="s">
        <v>488</v>
      </c>
    </row>
    <row r="109" spans="2:33" x14ac:dyDescent="0.25">
      <c r="B109" t="s">
        <v>368</v>
      </c>
      <c r="C109" s="100">
        <f>(1/C107)*C103</f>
        <v>20.833333333333332</v>
      </c>
      <c r="E109" t="s">
        <v>369</v>
      </c>
      <c r="F109" s="139">
        <f>2*(C109/C102)</f>
        <v>2083.333333333333</v>
      </c>
      <c r="J109" t="s">
        <v>392</v>
      </c>
      <c r="K109" s="97">
        <v>12990</v>
      </c>
      <c r="AE109" t="s">
        <v>491</v>
      </c>
      <c r="AF109">
        <v>0</v>
      </c>
      <c r="AG109">
        <v>0</v>
      </c>
    </row>
    <row r="110" spans="2:33" x14ac:dyDescent="0.25">
      <c r="B110" t="s">
        <v>370</v>
      </c>
      <c r="C110">
        <f>1000*C107*C101</f>
        <v>15</v>
      </c>
      <c r="E110" t="s">
        <v>371</v>
      </c>
      <c r="F110" s="139">
        <f>5*F109</f>
        <v>10416.666666666664</v>
      </c>
      <c r="J110" t="s">
        <v>393</v>
      </c>
      <c r="K110">
        <f>K109*K108</f>
        <v>2.0296875000000001</v>
      </c>
      <c r="AE110" t="s">
        <v>492</v>
      </c>
      <c r="AF110">
        <v>10</v>
      </c>
      <c r="AG110">
        <v>5</v>
      </c>
    </row>
    <row r="111" spans="2:33" x14ac:dyDescent="0.25">
      <c r="B111" t="s">
        <v>372</v>
      </c>
      <c r="C111">
        <v>0</v>
      </c>
      <c r="E111" t="s">
        <v>373</v>
      </c>
      <c r="F111" s="136">
        <f>1000000/F110</f>
        <v>96.000000000000028</v>
      </c>
      <c r="J111" t="s">
        <v>398</v>
      </c>
      <c r="K111" s="97">
        <v>4000</v>
      </c>
      <c r="AE111" t="s">
        <v>493</v>
      </c>
      <c r="AF111">
        <v>0</v>
      </c>
      <c r="AG111">
        <v>-15</v>
      </c>
    </row>
    <row r="112" spans="2:33" x14ac:dyDescent="0.25">
      <c r="B112" t="s">
        <v>374</v>
      </c>
      <c r="C112">
        <v>10</v>
      </c>
      <c r="J112" t="s">
        <v>401</v>
      </c>
      <c r="K112">
        <f>1000/K111</f>
        <v>0.25</v>
      </c>
      <c r="AE112" t="s">
        <v>494</v>
      </c>
      <c r="AF112">
        <v>150</v>
      </c>
      <c r="AG112">
        <v>150</v>
      </c>
    </row>
    <row r="113" spans="2:38" x14ac:dyDescent="0.25">
      <c r="B113" t="s">
        <v>375</v>
      </c>
      <c r="C113">
        <f>C106/(C112-C111)</f>
        <v>15</v>
      </c>
      <c r="E113" t="s">
        <v>376</v>
      </c>
      <c r="F113">
        <v>500</v>
      </c>
      <c r="J113" t="s">
        <v>399</v>
      </c>
      <c r="K113" s="97">
        <v>500</v>
      </c>
    </row>
    <row r="114" spans="2:38" ht="30" x14ac:dyDescent="0.25">
      <c r="B114" t="s">
        <v>377</v>
      </c>
      <c r="C114">
        <f>C110/C113</f>
        <v>1</v>
      </c>
      <c r="E114" s="134" t="s">
        <v>378</v>
      </c>
      <c r="F114">
        <f>F113/50</f>
        <v>10</v>
      </c>
      <c r="J114" t="s">
        <v>400</v>
      </c>
      <c r="K114">
        <f>1000/K113</f>
        <v>2</v>
      </c>
      <c r="AE114" s="150" t="s">
        <v>497</v>
      </c>
    </row>
    <row r="115" spans="2:38" x14ac:dyDescent="0.25">
      <c r="B115" t="s">
        <v>379</v>
      </c>
      <c r="C115">
        <v>0</v>
      </c>
      <c r="J115" t="s">
        <v>402</v>
      </c>
      <c r="K115">
        <f>K111/K113</f>
        <v>8</v>
      </c>
      <c r="AE115" t="s">
        <v>498</v>
      </c>
      <c r="AF115">
        <v>250</v>
      </c>
      <c r="AL115">
        <f>4.5/100</f>
        <v>4.4999999999999998E-2</v>
      </c>
    </row>
    <row r="116" spans="2:38" x14ac:dyDescent="0.25">
      <c r="B116" t="s">
        <v>380</v>
      </c>
      <c r="C116">
        <v>5</v>
      </c>
      <c r="J116" t="s">
        <v>404</v>
      </c>
      <c r="K116">
        <f>K111</f>
        <v>4000</v>
      </c>
      <c r="AE116" t="s">
        <v>500</v>
      </c>
      <c r="AF116">
        <v>100</v>
      </c>
    </row>
    <row r="117" spans="2:38" x14ac:dyDescent="0.25">
      <c r="B117" t="s">
        <v>381</v>
      </c>
      <c r="C117" s="140">
        <f>((C116-C115)*1000)/(2^13)</f>
        <v>0.6103515625</v>
      </c>
      <c r="AE117" t="s">
        <v>499</v>
      </c>
    </row>
    <row r="119" spans="2:38" x14ac:dyDescent="0.25">
      <c r="J119" t="s">
        <v>403</v>
      </c>
      <c r="K119" t="s">
        <v>353</v>
      </c>
      <c r="AE119" s="150" t="s">
        <v>356</v>
      </c>
      <c r="AF119" s="150" t="s">
        <v>490</v>
      </c>
      <c r="AG119" s="150" t="s">
        <v>488</v>
      </c>
    </row>
    <row r="120" spans="2:38" x14ac:dyDescent="0.25">
      <c r="J120" t="s">
        <v>396</v>
      </c>
      <c r="K120">
        <v>2595.5</v>
      </c>
      <c r="AE120" s="123" t="s">
        <v>557</v>
      </c>
      <c r="AF120" s="171">
        <v>1</v>
      </c>
    </row>
    <row r="121" spans="2:38" x14ac:dyDescent="0.25">
      <c r="C121" t="s">
        <v>353</v>
      </c>
      <c r="D121" t="s">
        <v>354</v>
      </c>
      <c r="J121" t="s">
        <v>397</v>
      </c>
      <c r="K121">
        <v>2605</v>
      </c>
      <c r="AE121" s="13" t="s">
        <v>558</v>
      </c>
      <c r="AF121" s="176">
        <f>AF80*AF120</f>
        <v>100</v>
      </c>
    </row>
    <row r="122" spans="2:38" x14ac:dyDescent="0.25">
      <c r="B122" t="s">
        <v>382</v>
      </c>
      <c r="C122">
        <v>10</v>
      </c>
      <c r="D122" s="139">
        <f>1000/C122</f>
        <v>100</v>
      </c>
      <c r="J122" t="s">
        <v>294</v>
      </c>
      <c r="K122">
        <f>K121-K120</f>
        <v>9.5</v>
      </c>
      <c r="AE122" s="13" t="s">
        <v>559</v>
      </c>
      <c r="AF122" s="172">
        <f>AF106*AF120</f>
        <v>1.5</v>
      </c>
    </row>
    <row r="123" spans="2:38" x14ac:dyDescent="0.25">
      <c r="C123">
        <v>1</v>
      </c>
      <c r="D123" s="139">
        <f>1000/C123</f>
        <v>1000</v>
      </c>
      <c r="J123" t="s">
        <v>418</v>
      </c>
      <c r="K123" s="136">
        <f>1000/K122</f>
        <v>105.26315789473684</v>
      </c>
      <c r="AE123" s="13" t="s">
        <v>560</v>
      </c>
      <c r="AF123" s="177">
        <f>0.0667*AF122</f>
        <v>0.10005</v>
      </c>
      <c r="AG123">
        <f>(0.303*AF122)+0.4545</f>
        <v>0.90900000000000003</v>
      </c>
    </row>
    <row r="124" spans="2:38" x14ac:dyDescent="0.25">
      <c r="C124">
        <v>0.5</v>
      </c>
      <c r="D124" s="139">
        <f>1000/C124</f>
        <v>2000</v>
      </c>
      <c r="W124" t="s">
        <v>457</v>
      </c>
      <c r="X124" t="s">
        <v>458</v>
      </c>
      <c r="Y124" t="s">
        <v>449</v>
      </c>
      <c r="AE124" s="126" t="s">
        <v>561</v>
      </c>
      <c r="AF124" s="178">
        <f>AF123/AF86</f>
        <v>1311.35535</v>
      </c>
      <c r="AG124" s="113">
        <f>AG123/AF86</f>
        <v>11914.263000000001</v>
      </c>
    </row>
    <row r="125" spans="2:38" x14ac:dyDescent="0.25">
      <c r="C125">
        <v>0.1</v>
      </c>
      <c r="D125" s="139">
        <f>1000/C125</f>
        <v>10000</v>
      </c>
      <c r="N125" t="s">
        <v>455</v>
      </c>
      <c r="O125" t="s">
        <v>456</v>
      </c>
      <c r="W125" s="148">
        <f>1310.7*X125</f>
        <v>1297.5930000000001</v>
      </c>
      <c r="X125" s="143">
        <f>Y125/100</f>
        <v>0.99</v>
      </c>
      <c r="Y125" s="97">
        <v>99</v>
      </c>
      <c r="AE125" s="123" t="s">
        <v>550</v>
      </c>
      <c r="AF125" s="171">
        <v>2</v>
      </c>
    </row>
    <row r="126" spans="2:38" x14ac:dyDescent="0.25">
      <c r="N126">
        <v>0</v>
      </c>
      <c r="O126">
        <v>0</v>
      </c>
      <c r="AE126" s="126" t="s">
        <v>551</v>
      </c>
      <c r="AF126" s="175">
        <f>AF125/AF98</f>
        <v>20</v>
      </c>
    </row>
    <row r="127" spans="2:38" x14ac:dyDescent="0.25">
      <c r="N127">
        <f>Q104</f>
        <v>65535</v>
      </c>
      <c r="O127">
        <v>50</v>
      </c>
      <c r="AF127" s="136"/>
    </row>
    <row r="128" spans="2:38" x14ac:dyDescent="0.25">
      <c r="AE128" s="123" t="s">
        <v>552</v>
      </c>
      <c r="AF128" s="171">
        <v>10</v>
      </c>
    </row>
    <row r="129" spans="2:32" x14ac:dyDescent="0.25">
      <c r="B129" t="s">
        <v>406</v>
      </c>
      <c r="AE129" s="13" t="s">
        <v>553</v>
      </c>
      <c r="AF129" s="173">
        <f>AF128/AF95</f>
        <v>65536</v>
      </c>
    </row>
    <row r="130" spans="2:32" x14ac:dyDescent="0.25">
      <c r="AE130" s="13" t="s">
        <v>555</v>
      </c>
      <c r="AF130" s="172">
        <f>AF93/AF84</f>
        <v>2</v>
      </c>
    </row>
    <row r="131" spans="2:32" x14ac:dyDescent="0.25">
      <c r="C131" t="s">
        <v>222</v>
      </c>
      <c r="D131" t="s">
        <v>412</v>
      </c>
      <c r="AE131" s="13" t="s">
        <v>554</v>
      </c>
      <c r="AF131" s="172">
        <f>AF128/AF130</f>
        <v>5</v>
      </c>
    </row>
    <row r="132" spans="2:32" x14ac:dyDescent="0.25">
      <c r="C132">
        <v>5</v>
      </c>
      <c r="D132">
        <v>100</v>
      </c>
      <c r="L132" t="s">
        <v>222</v>
      </c>
      <c r="M132" t="s">
        <v>223</v>
      </c>
      <c r="AE132" s="126" t="s">
        <v>556</v>
      </c>
      <c r="AF132" s="148">
        <f>AF129*AF130</f>
        <v>131072</v>
      </c>
    </row>
    <row r="133" spans="2:32" x14ac:dyDescent="0.25">
      <c r="C133">
        <v>0</v>
      </c>
      <c r="D133">
        <v>0</v>
      </c>
      <c r="L133">
        <v>0</v>
      </c>
      <c r="M133">
        <v>-15</v>
      </c>
    </row>
    <row r="134" spans="2:32" x14ac:dyDescent="0.25">
      <c r="L134">
        <v>5</v>
      </c>
      <c r="M134">
        <v>150</v>
      </c>
    </row>
    <row r="135" spans="2:32" x14ac:dyDescent="0.25">
      <c r="B135" t="s">
        <v>407</v>
      </c>
      <c r="D135" s="97">
        <v>10000</v>
      </c>
    </row>
    <row r="136" spans="2:32" x14ac:dyDescent="0.25">
      <c r="B136" t="s">
        <v>408</v>
      </c>
      <c r="D136" s="142">
        <v>0.1</v>
      </c>
    </row>
    <row r="137" spans="2:32" x14ac:dyDescent="0.25">
      <c r="B137" t="s">
        <v>409</v>
      </c>
      <c r="D137" s="97">
        <v>5</v>
      </c>
    </row>
    <row r="138" spans="2:32" x14ac:dyDescent="0.25">
      <c r="B138" t="s">
        <v>410</v>
      </c>
      <c r="D138">
        <f>0.05*D136</f>
        <v>5.000000000000001E-3</v>
      </c>
    </row>
    <row r="139" spans="2:32" x14ac:dyDescent="0.25">
      <c r="B139" t="s">
        <v>411</v>
      </c>
      <c r="D139">
        <f>D137-D138</f>
        <v>4.9950000000000001</v>
      </c>
    </row>
    <row r="140" spans="2:32" x14ac:dyDescent="0.25">
      <c r="B140" t="s">
        <v>413</v>
      </c>
      <c r="D140" s="140">
        <f>D135-D136</f>
        <v>9999.9</v>
      </c>
    </row>
    <row r="141" spans="2:32" x14ac:dyDescent="0.25">
      <c r="B141" t="s">
        <v>414</v>
      </c>
      <c r="D141" s="140">
        <f>100 - D136</f>
        <v>99.9</v>
      </c>
      <c r="AA141">
        <f>1/0.06</f>
        <v>16.666666666666668</v>
      </c>
      <c r="AB141" s="162"/>
    </row>
    <row r="143" spans="2:32" x14ac:dyDescent="0.25">
      <c r="B143" t="s">
        <v>415</v>
      </c>
      <c r="C143" s="97">
        <v>0.1</v>
      </c>
    </row>
    <row r="144" spans="2:32" x14ac:dyDescent="0.25">
      <c r="B144" t="s">
        <v>222</v>
      </c>
      <c r="C144">
        <f>0.05*C143</f>
        <v>5.000000000000001E-3</v>
      </c>
    </row>
    <row r="152" spans="5:29" x14ac:dyDescent="0.25">
      <c r="E152" t="s">
        <v>419</v>
      </c>
      <c r="F152" t="s">
        <v>420</v>
      </c>
      <c r="G152" t="s">
        <v>421</v>
      </c>
      <c r="H152" t="s">
        <v>424</v>
      </c>
      <c r="I152" t="s">
        <v>423</v>
      </c>
      <c r="J152" t="s">
        <v>397</v>
      </c>
      <c r="K152" t="s">
        <v>422</v>
      </c>
      <c r="Q152" t="s">
        <v>472</v>
      </c>
      <c r="R152" t="s">
        <v>475</v>
      </c>
    </row>
    <row r="153" spans="5:29" x14ac:dyDescent="0.25">
      <c r="E153">
        <v>35</v>
      </c>
      <c r="F153">
        <v>10</v>
      </c>
      <c r="G153">
        <v>500</v>
      </c>
      <c r="H153">
        <v>100</v>
      </c>
      <c r="I153">
        <v>1678</v>
      </c>
      <c r="J153">
        <v>1734</v>
      </c>
      <c r="K153">
        <f>J153-I153</f>
        <v>56</v>
      </c>
      <c r="O153" t="s">
        <v>465</v>
      </c>
      <c r="AB153" t="s">
        <v>457</v>
      </c>
      <c r="AC153">
        <v>15</v>
      </c>
    </row>
    <row r="154" spans="5:29" x14ac:dyDescent="0.25">
      <c r="E154">
        <v>35</v>
      </c>
      <c r="F154">
        <v>10</v>
      </c>
      <c r="G154">
        <v>0</v>
      </c>
      <c r="H154">
        <v>100</v>
      </c>
      <c r="I154">
        <v>1990</v>
      </c>
      <c r="J154">
        <v>2063</v>
      </c>
      <c r="K154">
        <f>J154-I154</f>
        <v>73</v>
      </c>
      <c r="O154" t="s">
        <v>466</v>
      </c>
      <c r="P154">
        <v>0</v>
      </c>
      <c r="Q154">
        <v>0</v>
      </c>
      <c r="R154">
        <v>0</v>
      </c>
      <c r="AB154" t="s">
        <v>458</v>
      </c>
      <c r="AC154">
        <f>AC153/13.107</f>
        <v>1.1444266422522318</v>
      </c>
    </row>
    <row r="155" spans="5:29" x14ac:dyDescent="0.25">
      <c r="E155">
        <v>35</v>
      </c>
      <c r="F155">
        <v>0</v>
      </c>
      <c r="G155">
        <v>500</v>
      </c>
      <c r="H155">
        <v>100</v>
      </c>
      <c r="I155">
        <v>1386</v>
      </c>
      <c r="J155">
        <v>1464</v>
      </c>
      <c r="K155">
        <f>J155-I155</f>
        <v>78</v>
      </c>
      <c r="O155" t="s">
        <v>467</v>
      </c>
      <c r="P155">
        <v>5</v>
      </c>
      <c r="Q155">
        <f>N127</f>
        <v>65535</v>
      </c>
      <c r="R155">
        <f>P161</f>
        <v>5000</v>
      </c>
    </row>
    <row r="156" spans="5:29" x14ac:dyDescent="0.25">
      <c r="E156">
        <v>50</v>
      </c>
      <c r="F156">
        <v>100</v>
      </c>
      <c r="G156">
        <v>500</v>
      </c>
      <c r="H156">
        <v>100</v>
      </c>
      <c r="I156">
        <v>1482</v>
      </c>
      <c r="J156">
        <v>1534</v>
      </c>
      <c r="K156">
        <f t="shared" ref="K156:K160" si="9">J156-I156</f>
        <v>52</v>
      </c>
      <c r="O156" t="s">
        <v>468</v>
      </c>
      <c r="P156">
        <v>50</v>
      </c>
    </row>
    <row r="157" spans="5:29" x14ac:dyDescent="0.25">
      <c r="E157">
        <v>50</v>
      </c>
      <c r="F157">
        <v>200</v>
      </c>
      <c r="G157">
        <v>500</v>
      </c>
      <c r="H157">
        <v>100</v>
      </c>
      <c r="I157">
        <v>1049</v>
      </c>
      <c r="J157">
        <v>1102</v>
      </c>
      <c r="K157">
        <f t="shared" si="9"/>
        <v>53</v>
      </c>
      <c r="O157" t="s">
        <v>469</v>
      </c>
    </row>
    <row r="158" spans="5:29" x14ac:dyDescent="0.25">
      <c r="E158">
        <v>80</v>
      </c>
      <c r="F158">
        <v>200</v>
      </c>
      <c r="G158">
        <v>500</v>
      </c>
      <c r="H158">
        <v>100</v>
      </c>
      <c r="I158">
        <v>973</v>
      </c>
      <c r="J158">
        <v>1013</v>
      </c>
      <c r="K158">
        <f t="shared" si="9"/>
        <v>40</v>
      </c>
      <c r="O158" t="s">
        <v>470</v>
      </c>
      <c r="P158">
        <v>10</v>
      </c>
    </row>
    <row r="159" spans="5:29" x14ac:dyDescent="0.25">
      <c r="K159">
        <f t="shared" si="9"/>
        <v>0</v>
      </c>
      <c r="O159" t="s">
        <v>471</v>
      </c>
      <c r="P159">
        <f>P158/1000</f>
        <v>0.01</v>
      </c>
    </row>
    <row r="160" spans="5:29" x14ac:dyDescent="0.25">
      <c r="K160">
        <f t="shared" si="9"/>
        <v>0</v>
      </c>
      <c r="O160" t="s">
        <v>473</v>
      </c>
      <c r="P160">
        <f>1/P159</f>
        <v>100</v>
      </c>
    </row>
    <row r="161" spans="5:16" x14ac:dyDescent="0.25">
      <c r="O161" t="s">
        <v>474</v>
      </c>
      <c r="P161">
        <f>P160*P156</f>
        <v>5000</v>
      </c>
    </row>
    <row r="163" spans="5:16" x14ac:dyDescent="0.25">
      <c r="E163" t="s">
        <v>425</v>
      </c>
      <c r="O163" t="s">
        <v>266</v>
      </c>
      <c r="P163">
        <v>1</v>
      </c>
    </row>
    <row r="164" spans="5:16" x14ac:dyDescent="0.25">
      <c r="E164" t="s">
        <v>429</v>
      </c>
      <c r="O164" t="s">
        <v>476</v>
      </c>
      <c r="P164">
        <f>P163*100/13.107</f>
        <v>7.6295109483482113</v>
      </c>
    </row>
    <row r="165" spans="5:16" x14ac:dyDescent="0.25">
      <c r="E165" t="s">
        <v>427</v>
      </c>
      <c r="F165" s="97">
        <v>100</v>
      </c>
      <c r="G165" s="97">
        <v>55</v>
      </c>
      <c r="H165" s="97">
        <v>9</v>
      </c>
    </row>
    <row r="166" spans="5:16" x14ac:dyDescent="0.25">
      <c r="E166" t="s">
        <v>428</v>
      </c>
      <c r="F166" s="97">
        <v>20</v>
      </c>
      <c r="G166" s="97">
        <v>2</v>
      </c>
      <c r="H166" s="97">
        <f>6.25/2</f>
        <v>3.125</v>
      </c>
    </row>
    <row r="167" spans="5:16" x14ac:dyDescent="0.25">
      <c r="E167" t="s">
        <v>426</v>
      </c>
      <c r="F167" s="143">
        <f>(F165)/(1000*F166)</f>
        <v>5.0000000000000001E-3</v>
      </c>
      <c r="G167" s="143">
        <f>(G165)/(1000*G166)</f>
        <v>2.75E-2</v>
      </c>
      <c r="H167" s="143">
        <f>(H165)/(1000*H166)</f>
        <v>2.8800000000000002E-3</v>
      </c>
    </row>
    <row r="169" spans="5:16" x14ac:dyDescent="0.25">
      <c r="E169" t="s">
        <v>435</v>
      </c>
      <c r="F169" t="s">
        <v>436</v>
      </c>
    </row>
    <row r="170" spans="5:16" x14ac:dyDescent="0.25">
      <c r="E170" t="s">
        <v>430</v>
      </c>
      <c r="F170">
        <v>0</v>
      </c>
      <c r="G170">
        <v>0</v>
      </c>
      <c r="H170">
        <v>0</v>
      </c>
    </row>
    <row r="171" spans="5:16" x14ac:dyDescent="0.25">
      <c r="E171" t="s">
        <v>431</v>
      </c>
      <c r="F171">
        <f>F167</f>
        <v>5.0000000000000001E-3</v>
      </c>
      <c r="G171">
        <f>G167</f>
        <v>2.75E-2</v>
      </c>
      <c r="H171">
        <f>H167</f>
        <v>2.8800000000000002E-3</v>
      </c>
    </row>
    <row r="172" spans="5:16" x14ac:dyDescent="0.25">
      <c r="E172" t="s">
        <v>432</v>
      </c>
      <c r="F172">
        <f>F165/1000000</f>
        <v>1E-4</v>
      </c>
      <c r="G172">
        <f>G165/1000000</f>
        <v>5.5000000000000002E-5</v>
      </c>
      <c r="H172">
        <f>H165/1000000</f>
        <v>9.0000000000000002E-6</v>
      </c>
    </row>
    <row r="173" spans="5:16" x14ac:dyDescent="0.25">
      <c r="E173" t="s">
        <v>433</v>
      </c>
      <c r="F173">
        <f>F166/1000</f>
        <v>0.02</v>
      </c>
      <c r="G173">
        <f>G166/1000</f>
        <v>2E-3</v>
      </c>
      <c r="H173">
        <f>H166/1000</f>
        <v>3.1250000000000002E-3</v>
      </c>
    </row>
    <row r="174" spans="5:16" x14ac:dyDescent="0.25">
      <c r="E174" t="s">
        <v>434</v>
      </c>
      <c r="F174" s="143">
        <f>(F171^2 - F170^2)/(2*F172)</f>
        <v>0.125</v>
      </c>
      <c r="G174" s="143">
        <f>(G171^2 - G170^2)/(2*G172)</f>
        <v>6.8749999999999991</v>
      </c>
      <c r="H174" s="143">
        <f>(H171^2 - H170^2)/(2*H172)</f>
        <v>0.46080000000000004</v>
      </c>
    </row>
    <row r="175" spans="5:16" x14ac:dyDescent="0.25">
      <c r="E175" t="s">
        <v>448</v>
      </c>
      <c r="F175" s="147">
        <v>9.8066499999999994</v>
      </c>
      <c r="G175" s="147">
        <v>9.8066499999999994</v>
      </c>
    </row>
    <row r="176" spans="5:16" x14ac:dyDescent="0.25">
      <c r="E176" t="s">
        <v>439</v>
      </c>
    </row>
    <row r="177" spans="4:9" x14ac:dyDescent="0.25">
      <c r="E177" t="s">
        <v>437</v>
      </c>
      <c r="F177" s="97">
        <v>10</v>
      </c>
      <c r="G177" s="97">
        <v>10</v>
      </c>
    </row>
    <row r="178" spans="4:9" x14ac:dyDescent="0.25">
      <c r="E178" t="s">
        <v>440</v>
      </c>
      <c r="F178" s="140">
        <f>F177*0.453592</f>
        <v>4.53592</v>
      </c>
      <c r="G178" s="140">
        <f>G177*0.453592</f>
        <v>4.53592</v>
      </c>
    </row>
    <row r="179" spans="4:9" x14ac:dyDescent="0.25">
      <c r="E179" t="s">
        <v>438</v>
      </c>
      <c r="F179" s="145">
        <f>F178*F174</f>
        <v>0.56698999999999999</v>
      </c>
      <c r="G179" s="145">
        <f>G178*G174</f>
        <v>31.184449999999995</v>
      </c>
    </row>
    <row r="181" spans="4:9" x14ac:dyDescent="0.25">
      <c r="E181" t="s">
        <v>441</v>
      </c>
    </row>
    <row r="182" spans="4:9" x14ac:dyDescent="0.25">
      <c r="E182" t="s">
        <v>442</v>
      </c>
      <c r="F182" s="146" t="e" cm="1" vm="1">
        <f t="array" ref="F182">F178*_FV(F1272,"80665")</f>
        <v>#VALUE!</v>
      </c>
      <c r="G182" s="146">
        <f>G178*9.80665</f>
        <v>44.482179867999996</v>
      </c>
    </row>
    <row r="183" spans="4:9" x14ac:dyDescent="0.25">
      <c r="E183" t="s">
        <v>445</v>
      </c>
      <c r="F183">
        <v>1.42</v>
      </c>
      <c r="G183">
        <v>1.42</v>
      </c>
      <c r="H183">
        <v>8</v>
      </c>
    </row>
    <row r="184" spans="4:9" x14ac:dyDescent="0.25">
      <c r="E184" t="s">
        <v>446</v>
      </c>
      <c r="F184" s="144">
        <f>F183*0.11298</f>
        <v>0.16043159999999998</v>
      </c>
      <c r="G184" s="144">
        <f>G183*0.11298</f>
        <v>0.16043159999999998</v>
      </c>
      <c r="H184" s="144">
        <f>H183*0.11298</f>
        <v>0.90383999999999998</v>
      </c>
    </row>
    <row r="185" spans="4:9" x14ac:dyDescent="0.25">
      <c r="D185" t="s">
        <v>443</v>
      </c>
      <c r="E185" t="s">
        <v>447</v>
      </c>
      <c r="F185" s="143">
        <f>F172*F184</f>
        <v>1.604316E-5</v>
      </c>
      <c r="G185" s="143">
        <f>G172*G184</f>
        <v>8.8237379999999988E-6</v>
      </c>
    </row>
    <row r="186" spans="4:9" x14ac:dyDescent="0.25">
      <c r="E186" t="s">
        <v>444</v>
      </c>
      <c r="F186" s="146" t="e" vm="2">
        <f>F182+F185</f>
        <v>#VALUE!</v>
      </c>
      <c r="G186" s="146">
        <f>G182+G185</f>
        <v>44.482188691737996</v>
      </c>
    </row>
    <row r="191" spans="4:9" x14ac:dyDescent="0.25">
      <c r="H191" t="s">
        <v>353</v>
      </c>
      <c r="I191" t="s">
        <v>336</v>
      </c>
    </row>
    <row r="192" spans="4:9" x14ac:dyDescent="0.25">
      <c r="F192">
        <v>1694.5</v>
      </c>
      <c r="G192">
        <v>1700.75</v>
      </c>
      <c r="H192">
        <f>G192-F192</f>
        <v>6.25</v>
      </c>
      <c r="I192">
        <f>1000/H192</f>
        <v>160</v>
      </c>
    </row>
    <row r="193" spans="2:12" x14ac:dyDescent="0.25">
      <c r="E193" t="s">
        <v>449</v>
      </c>
      <c r="F193">
        <v>121356.8</v>
      </c>
      <c r="G193">
        <v>121347.3</v>
      </c>
      <c r="H193">
        <f>F193-G193</f>
        <v>9.5</v>
      </c>
      <c r="I193">
        <f>H193/1000000</f>
        <v>9.5000000000000005E-6</v>
      </c>
    </row>
    <row r="194" spans="2:12" x14ac:dyDescent="0.25">
      <c r="K194" t="s">
        <v>459</v>
      </c>
    </row>
    <row r="195" spans="2:12" x14ac:dyDescent="0.25">
      <c r="K195" t="s">
        <v>462</v>
      </c>
      <c r="L195">
        <v>2300</v>
      </c>
    </row>
    <row r="196" spans="2:12" x14ac:dyDescent="0.25">
      <c r="E196" t="s">
        <v>450</v>
      </c>
      <c r="K196" t="s">
        <v>463</v>
      </c>
      <c r="L196">
        <f>7.1/1000</f>
        <v>7.0999999999999995E-3</v>
      </c>
    </row>
    <row r="197" spans="2:12" x14ac:dyDescent="0.25">
      <c r="E197" t="s">
        <v>451</v>
      </c>
      <c r="F197">
        <v>9.8066499999999994</v>
      </c>
      <c r="K197" t="s">
        <v>460</v>
      </c>
      <c r="L197">
        <f>0.45*L195</f>
        <v>1035</v>
      </c>
    </row>
    <row r="198" spans="2:12" x14ac:dyDescent="0.25">
      <c r="E198" t="s">
        <v>452</v>
      </c>
      <c r="F198" s="97">
        <v>0</v>
      </c>
      <c r="K198" t="s">
        <v>461</v>
      </c>
      <c r="L198">
        <f>L196/1.2</f>
        <v>5.9166666666666664E-3</v>
      </c>
    </row>
    <row r="199" spans="2:12" x14ac:dyDescent="0.25">
      <c r="E199" t="s">
        <v>453</v>
      </c>
      <c r="F199" s="97">
        <f>(H192/2)/1000</f>
        <v>3.1250000000000002E-3</v>
      </c>
      <c r="K199" t="s">
        <v>464</v>
      </c>
      <c r="L199">
        <f>(0.54*L195)/L198</f>
        <v>209915.49295774649</v>
      </c>
    </row>
    <row r="200" spans="2:12" x14ac:dyDescent="0.25">
      <c r="E200" t="s">
        <v>426</v>
      </c>
      <c r="F200" s="143">
        <f>F198+F197*F199</f>
        <v>3.064578125E-2</v>
      </c>
    </row>
    <row r="201" spans="2:12" x14ac:dyDescent="0.25">
      <c r="E201" t="s">
        <v>454</v>
      </c>
      <c r="F201" s="143">
        <f>(1/2)*F197*F199^2</f>
        <v>4.7884033203125007E-5</v>
      </c>
    </row>
    <row r="202" spans="2:12" x14ac:dyDescent="0.25">
      <c r="E202" t="s">
        <v>427</v>
      </c>
      <c r="F202" s="140">
        <f>F201*1000000</f>
        <v>47.884033203125007</v>
      </c>
    </row>
    <row r="205" spans="2:12" x14ac:dyDescent="0.25">
      <c r="C205" s="152" t="s">
        <v>509</v>
      </c>
      <c r="D205" t="s">
        <v>511</v>
      </c>
    </row>
    <row r="206" spans="2:12" x14ac:dyDescent="0.25">
      <c r="B206" s="150" t="s">
        <v>524</v>
      </c>
      <c r="C206" s="153" t="s">
        <v>510</v>
      </c>
      <c r="D206" t="s">
        <v>512</v>
      </c>
    </row>
    <row r="207" spans="2:12" x14ac:dyDescent="0.25">
      <c r="B207" t="s">
        <v>514</v>
      </c>
      <c r="C207" t="s">
        <v>502</v>
      </c>
      <c r="D207">
        <v>5</v>
      </c>
    </row>
    <row r="208" spans="2:12" x14ac:dyDescent="0.25">
      <c r="B208" s="149" t="s">
        <v>412</v>
      </c>
      <c r="C208" s="149" t="s">
        <v>503</v>
      </c>
      <c r="D208" s="150" t="s">
        <v>504</v>
      </c>
      <c r="E208" s="150" t="s">
        <v>505</v>
      </c>
      <c r="F208" s="149" t="s">
        <v>460</v>
      </c>
      <c r="G208" s="149" t="s">
        <v>464</v>
      </c>
      <c r="H208" s="149" t="s">
        <v>501</v>
      </c>
      <c r="I208" s="149" t="s">
        <v>506</v>
      </c>
      <c r="J208" s="149" t="s">
        <v>507</v>
      </c>
      <c r="K208" s="149" t="s">
        <v>517</v>
      </c>
    </row>
    <row r="209" spans="2:10" x14ac:dyDescent="0.25">
      <c r="B209" s="154">
        <v>1</v>
      </c>
      <c r="C209" s="154">
        <f t="shared" ref="C209:C232" si="10">B209*0.05</f>
        <v>0.05</v>
      </c>
      <c r="D209" s="154">
        <f t="shared" ref="D209:D228" si="11">C209/0.01</f>
        <v>5</v>
      </c>
      <c r="E209" s="158">
        <v>22.5</v>
      </c>
      <c r="F209" s="154">
        <v>500</v>
      </c>
      <c r="G209" s="154">
        <v>0</v>
      </c>
      <c r="H209" s="154">
        <v>0</v>
      </c>
      <c r="I209" s="154">
        <v>0</v>
      </c>
      <c r="J209" s="156"/>
    </row>
    <row r="210" spans="2:10" x14ac:dyDescent="0.25">
      <c r="B210" s="155">
        <v>1</v>
      </c>
      <c r="C210" s="155">
        <f t="shared" si="10"/>
        <v>0.05</v>
      </c>
      <c r="D210" s="155">
        <f t="shared" si="11"/>
        <v>5</v>
      </c>
      <c r="E210" s="155">
        <v>63.2</v>
      </c>
      <c r="F210" s="155">
        <v>500</v>
      </c>
      <c r="G210" s="155">
        <v>0</v>
      </c>
      <c r="H210" s="155">
        <v>0</v>
      </c>
      <c r="I210" s="155">
        <v>0</v>
      </c>
      <c r="J210" s="157"/>
    </row>
    <row r="211" spans="2:10" x14ac:dyDescent="0.25">
      <c r="B211" s="155">
        <v>1</v>
      </c>
      <c r="C211" s="155">
        <f t="shared" si="10"/>
        <v>0.05</v>
      </c>
      <c r="D211" s="155">
        <f t="shared" si="11"/>
        <v>5</v>
      </c>
      <c r="E211" s="159" t="s">
        <v>513</v>
      </c>
      <c r="F211" s="155">
        <v>700</v>
      </c>
      <c r="G211" s="155">
        <v>0</v>
      </c>
      <c r="H211" s="155">
        <v>0</v>
      </c>
      <c r="I211" s="155">
        <v>0</v>
      </c>
      <c r="J211" s="157"/>
    </row>
    <row r="212" spans="2:10" x14ac:dyDescent="0.25">
      <c r="B212" s="154">
        <v>2</v>
      </c>
      <c r="C212" s="154">
        <f t="shared" si="10"/>
        <v>0.1</v>
      </c>
      <c r="D212" s="154">
        <f t="shared" si="11"/>
        <v>10</v>
      </c>
      <c r="E212" s="154">
        <v>979</v>
      </c>
      <c r="F212" s="154">
        <v>500</v>
      </c>
      <c r="G212" s="154">
        <v>0</v>
      </c>
      <c r="H212" s="154">
        <v>0</v>
      </c>
      <c r="I212" s="154">
        <v>0</v>
      </c>
      <c r="J212" s="154" t="s">
        <v>508</v>
      </c>
    </row>
    <row r="213" spans="2:10" x14ac:dyDescent="0.25">
      <c r="B213" s="154">
        <v>2</v>
      </c>
      <c r="C213" s="154">
        <f t="shared" si="10"/>
        <v>0.1</v>
      </c>
      <c r="D213" s="154">
        <f t="shared" si="11"/>
        <v>10</v>
      </c>
      <c r="E213" s="158">
        <v>27.5</v>
      </c>
      <c r="F213" s="154">
        <v>450</v>
      </c>
      <c r="G213" s="154">
        <v>0</v>
      </c>
      <c r="H213" s="154">
        <v>0</v>
      </c>
      <c r="I213" s="154">
        <v>0</v>
      </c>
      <c r="J213" s="154"/>
    </row>
    <row r="214" spans="2:10" x14ac:dyDescent="0.25">
      <c r="B214" s="155">
        <v>2</v>
      </c>
      <c r="C214" s="155">
        <f t="shared" si="10"/>
        <v>0.1</v>
      </c>
      <c r="D214" s="155">
        <f t="shared" si="11"/>
        <v>10</v>
      </c>
      <c r="E214" s="155">
        <v>32.5</v>
      </c>
      <c r="F214" s="155">
        <v>450</v>
      </c>
      <c r="G214" s="155">
        <v>0</v>
      </c>
      <c r="H214" s="155">
        <v>0</v>
      </c>
      <c r="I214" s="155">
        <v>0</v>
      </c>
      <c r="J214" s="155"/>
    </row>
    <row r="215" spans="2:10" x14ac:dyDescent="0.25">
      <c r="B215" s="155">
        <v>2</v>
      </c>
      <c r="C215" s="155">
        <f t="shared" si="10"/>
        <v>0.1</v>
      </c>
      <c r="D215" s="155">
        <f t="shared" si="11"/>
        <v>10</v>
      </c>
      <c r="E215" s="159">
        <v>21.9</v>
      </c>
      <c r="F215" s="155">
        <v>650</v>
      </c>
      <c r="G215" s="155">
        <v>0</v>
      </c>
      <c r="H215" s="155">
        <v>0</v>
      </c>
      <c r="I215" s="155">
        <v>0</v>
      </c>
      <c r="J215" s="155"/>
    </row>
    <row r="216" spans="2:10" x14ac:dyDescent="0.25">
      <c r="B216" s="154">
        <v>3</v>
      </c>
      <c r="C216" s="154">
        <f t="shared" si="10"/>
        <v>0.15000000000000002</v>
      </c>
      <c r="D216" s="154">
        <f t="shared" si="11"/>
        <v>15.000000000000002</v>
      </c>
      <c r="E216" s="158">
        <v>32.799999999999997</v>
      </c>
      <c r="F216" s="154">
        <v>425</v>
      </c>
      <c r="G216" s="154">
        <v>0</v>
      </c>
      <c r="H216" s="154">
        <v>0</v>
      </c>
      <c r="I216" s="154">
        <v>0</v>
      </c>
      <c r="J216" s="154"/>
    </row>
    <row r="217" spans="2:10" x14ac:dyDescent="0.25">
      <c r="B217" s="155">
        <v>3</v>
      </c>
      <c r="C217" s="155">
        <f t="shared" si="10"/>
        <v>0.15000000000000002</v>
      </c>
      <c r="D217" s="155">
        <f t="shared" si="11"/>
        <v>15.000000000000002</v>
      </c>
      <c r="E217" s="159">
        <v>30.9</v>
      </c>
      <c r="F217" s="155">
        <v>425</v>
      </c>
      <c r="G217" s="155">
        <v>0</v>
      </c>
      <c r="H217" s="155">
        <v>0</v>
      </c>
      <c r="I217" s="155">
        <v>0</v>
      </c>
      <c r="J217" s="155"/>
    </row>
    <row r="218" spans="2:10" x14ac:dyDescent="0.25">
      <c r="B218" s="154">
        <v>5</v>
      </c>
      <c r="C218" s="154">
        <f t="shared" si="10"/>
        <v>0.25</v>
      </c>
      <c r="D218" s="154">
        <f t="shared" si="11"/>
        <v>25</v>
      </c>
      <c r="E218" s="158">
        <v>22.6</v>
      </c>
      <c r="F218" s="154">
        <v>425</v>
      </c>
      <c r="G218" s="154">
        <v>0</v>
      </c>
      <c r="H218" s="154">
        <v>0</v>
      </c>
      <c r="I218" s="154">
        <v>0</v>
      </c>
      <c r="J218" s="154"/>
    </row>
    <row r="219" spans="2:10" x14ac:dyDescent="0.25">
      <c r="B219" s="155">
        <v>5</v>
      </c>
      <c r="C219" s="155">
        <f t="shared" si="10"/>
        <v>0.25</v>
      </c>
      <c r="D219" s="155">
        <f t="shared" si="11"/>
        <v>25</v>
      </c>
      <c r="E219" s="159">
        <v>22.9</v>
      </c>
      <c r="F219" s="155">
        <v>425</v>
      </c>
      <c r="G219" s="155">
        <v>0</v>
      </c>
      <c r="H219" s="155">
        <v>0</v>
      </c>
      <c r="I219" s="155">
        <v>0</v>
      </c>
      <c r="J219" s="155"/>
    </row>
    <row r="220" spans="2:10" x14ac:dyDescent="0.25">
      <c r="B220" s="154">
        <v>10</v>
      </c>
      <c r="C220" s="154">
        <f t="shared" si="10"/>
        <v>0.5</v>
      </c>
      <c r="D220" s="154">
        <f t="shared" si="11"/>
        <v>50</v>
      </c>
      <c r="E220" s="158">
        <v>37.9</v>
      </c>
      <c r="F220" s="154">
        <v>300</v>
      </c>
      <c r="G220" s="154">
        <v>0</v>
      </c>
      <c r="H220" s="154">
        <v>0</v>
      </c>
      <c r="I220" s="154">
        <v>0</v>
      </c>
      <c r="J220" s="154"/>
    </row>
    <row r="221" spans="2:10" x14ac:dyDescent="0.25">
      <c r="B221" s="155">
        <v>10</v>
      </c>
      <c r="C221" s="155">
        <f t="shared" si="10"/>
        <v>0.5</v>
      </c>
      <c r="D221" s="155">
        <f t="shared" si="11"/>
        <v>50</v>
      </c>
      <c r="E221" s="159">
        <v>23.1</v>
      </c>
      <c r="F221" s="155">
        <v>425</v>
      </c>
      <c r="G221" s="155">
        <v>0</v>
      </c>
      <c r="H221" s="155">
        <v>0</v>
      </c>
      <c r="I221" s="155">
        <v>0</v>
      </c>
      <c r="J221" s="155"/>
    </row>
    <row r="222" spans="2:10" x14ac:dyDescent="0.25">
      <c r="B222" s="154">
        <v>20</v>
      </c>
      <c r="C222" s="154">
        <f t="shared" si="10"/>
        <v>1</v>
      </c>
      <c r="D222" s="154">
        <f t="shared" si="11"/>
        <v>100</v>
      </c>
      <c r="E222" s="158">
        <v>30.6</v>
      </c>
      <c r="F222" s="154">
        <v>300</v>
      </c>
      <c r="G222" s="154">
        <v>0</v>
      </c>
      <c r="H222" s="154">
        <v>0</v>
      </c>
      <c r="I222" s="154">
        <v>0</v>
      </c>
      <c r="J222" s="154"/>
    </row>
    <row r="223" spans="2:10" x14ac:dyDescent="0.25">
      <c r="B223" s="155">
        <v>20</v>
      </c>
      <c r="C223" s="155">
        <f t="shared" si="10"/>
        <v>1</v>
      </c>
      <c r="D223" s="155">
        <f t="shared" si="11"/>
        <v>100</v>
      </c>
      <c r="E223" s="159">
        <v>23.5</v>
      </c>
      <c r="F223" s="155">
        <v>425</v>
      </c>
      <c r="G223" s="155">
        <v>0</v>
      </c>
      <c r="H223" s="155">
        <v>0</v>
      </c>
      <c r="I223" s="155">
        <v>0</v>
      </c>
      <c r="J223" s="155"/>
    </row>
    <row r="224" spans="2:10" x14ac:dyDescent="0.25">
      <c r="B224" s="154">
        <v>30</v>
      </c>
      <c r="C224" s="154">
        <f t="shared" si="10"/>
        <v>1.5</v>
      </c>
      <c r="D224" s="154">
        <f t="shared" si="11"/>
        <v>150</v>
      </c>
      <c r="E224" s="160">
        <v>30.6</v>
      </c>
      <c r="F224" s="154">
        <v>300</v>
      </c>
      <c r="G224" s="154">
        <v>0</v>
      </c>
      <c r="H224" s="154">
        <v>0</v>
      </c>
      <c r="I224" s="154">
        <v>0</v>
      </c>
      <c r="J224" s="154" t="s">
        <v>515</v>
      </c>
    </row>
    <row r="225" spans="1:17" x14ac:dyDescent="0.25">
      <c r="B225" s="154">
        <v>30</v>
      </c>
      <c r="C225" s="154">
        <f t="shared" si="10"/>
        <v>1.5</v>
      </c>
      <c r="D225" s="154">
        <f t="shared" si="11"/>
        <v>150</v>
      </c>
      <c r="E225" s="158">
        <v>39.299999999999997</v>
      </c>
      <c r="F225" s="154">
        <v>200</v>
      </c>
      <c r="G225" s="154">
        <v>0</v>
      </c>
      <c r="H225" s="154">
        <v>0</v>
      </c>
      <c r="I225" s="154">
        <v>0</v>
      </c>
      <c r="J225" s="154"/>
    </row>
    <row r="226" spans="1:17" x14ac:dyDescent="0.25">
      <c r="B226" s="155">
        <v>30</v>
      </c>
      <c r="C226" s="155">
        <f t="shared" si="10"/>
        <v>1.5</v>
      </c>
      <c r="D226" s="155">
        <f t="shared" si="11"/>
        <v>150</v>
      </c>
      <c r="E226" s="161">
        <v>22.5</v>
      </c>
      <c r="F226" s="155">
        <v>425</v>
      </c>
      <c r="G226" s="155">
        <v>0</v>
      </c>
      <c r="H226" s="155">
        <v>0</v>
      </c>
      <c r="I226" s="155">
        <v>0</v>
      </c>
      <c r="J226" s="155" t="s">
        <v>516</v>
      </c>
    </row>
    <row r="227" spans="1:17" x14ac:dyDescent="0.25">
      <c r="B227" s="155">
        <v>30</v>
      </c>
      <c r="C227" s="155">
        <f t="shared" si="10"/>
        <v>1.5</v>
      </c>
      <c r="D227" s="155">
        <f t="shared" si="11"/>
        <v>150</v>
      </c>
      <c r="E227" s="159">
        <v>31.6</v>
      </c>
      <c r="F227" s="155">
        <v>300</v>
      </c>
      <c r="G227" s="155">
        <v>0</v>
      </c>
      <c r="H227" s="155">
        <v>0</v>
      </c>
      <c r="I227" s="155">
        <v>0</v>
      </c>
      <c r="J227" s="155"/>
    </row>
    <row r="228" spans="1:17" x14ac:dyDescent="0.25">
      <c r="B228" s="154">
        <v>40</v>
      </c>
      <c r="C228" s="154">
        <f t="shared" si="10"/>
        <v>2</v>
      </c>
      <c r="D228" s="154">
        <f t="shared" si="11"/>
        <v>200</v>
      </c>
      <c r="E228" s="160">
        <v>41.5</v>
      </c>
      <c r="F228" s="154">
        <v>200</v>
      </c>
      <c r="G228" s="154">
        <v>0</v>
      </c>
      <c r="H228" s="154">
        <v>0</v>
      </c>
      <c r="I228" s="154">
        <v>0</v>
      </c>
      <c r="J228" s="154" t="s">
        <v>516</v>
      </c>
    </row>
    <row r="229" spans="1:17" x14ac:dyDescent="0.25">
      <c r="B229" s="154">
        <v>40</v>
      </c>
      <c r="C229" s="154">
        <f t="shared" si="10"/>
        <v>2</v>
      </c>
      <c r="D229" s="154">
        <v>150</v>
      </c>
      <c r="E229" s="158">
        <v>47.7</v>
      </c>
      <c r="F229" s="154">
        <v>200</v>
      </c>
      <c r="G229" s="154">
        <v>0</v>
      </c>
      <c r="H229" s="154">
        <v>0</v>
      </c>
      <c r="I229" s="154">
        <v>0</v>
      </c>
      <c r="J229" s="154"/>
      <c r="K229" s="154">
        <v>3.5</v>
      </c>
    </row>
    <row r="230" spans="1:17" x14ac:dyDescent="0.25">
      <c r="B230" s="155">
        <v>40</v>
      </c>
      <c r="C230" s="155">
        <f t="shared" si="10"/>
        <v>2</v>
      </c>
      <c r="D230" s="155">
        <f>C230/0.01</f>
        <v>200</v>
      </c>
      <c r="E230" s="159">
        <v>33.6</v>
      </c>
      <c r="F230" s="155">
        <v>300</v>
      </c>
      <c r="G230" s="155">
        <v>0</v>
      </c>
      <c r="H230" s="155">
        <v>0</v>
      </c>
      <c r="I230" s="155">
        <v>0</v>
      </c>
      <c r="J230" s="155"/>
      <c r="K230" s="155">
        <v>4.2</v>
      </c>
    </row>
    <row r="231" spans="1:17" x14ac:dyDescent="0.25">
      <c r="B231" s="154">
        <v>50</v>
      </c>
      <c r="C231" s="154">
        <f t="shared" si="10"/>
        <v>2.5</v>
      </c>
      <c r="D231" s="154">
        <v>150</v>
      </c>
      <c r="E231" s="158">
        <v>47.7</v>
      </c>
      <c r="F231" s="154">
        <v>200</v>
      </c>
      <c r="G231" s="154">
        <v>0</v>
      </c>
      <c r="H231" s="154">
        <v>0</v>
      </c>
      <c r="I231" s="154">
        <v>0</v>
      </c>
      <c r="J231" s="154"/>
    </row>
    <row r="232" spans="1:17" x14ac:dyDescent="0.25">
      <c r="B232" s="155">
        <v>50</v>
      </c>
      <c r="C232" s="155">
        <f t="shared" si="10"/>
        <v>2.5</v>
      </c>
      <c r="D232" s="155">
        <f>C232/0.01</f>
        <v>250</v>
      </c>
      <c r="E232" s="159">
        <v>33.6</v>
      </c>
      <c r="F232" s="155">
        <v>300</v>
      </c>
      <c r="G232" s="155">
        <v>0</v>
      </c>
      <c r="H232" s="155">
        <v>0</v>
      </c>
      <c r="I232" s="155">
        <v>0</v>
      </c>
      <c r="J232" s="155"/>
    </row>
    <row r="236" spans="1:17" x14ac:dyDescent="0.25">
      <c r="B236" t="s">
        <v>518</v>
      </c>
      <c r="C236" s="150" t="s">
        <v>524</v>
      </c>
    </row>
    <row r="237" spans="1:17" x14ac:dyDescent="0.25">
      <c r="B237" s="152" t="s">
        <v>509</v>
      </c>
    </row>
    <row r="238" spans="1:17" x14ac:dyDescent="0.25">
      <c r="B238" s="149" t="s">
        <v>412</v>
      </c>
      <c r="C238" s="149" t="s">
        <v>522</v>
      </c>
      <c r="D238" s="149" t="s">
        <v>503</v>
      </c>
      <c r="E238" s="150" t="s">
        <v>504</v>
      </c>
      <c r="F238" s="150" t="s">
        <v>505</v>
      </c>
      <c r="G238" s="149" t="s">
        <v>460</v>
      </c>
      <c r="H238" s="149" t="s">
        <v>464</v>
      </c>
      <c r="I238" s="149" t="s">
        <v>501</v>
      </c>
      <c r="J238" s="149" t="s">
        <v>506</v>
      </c>
      <c r="K238" s="149" t="s">
        <v>507</v>
      </c>
      <c r="L238" s="149" t="s">
        <v>519</v>
      </c>
      <c r="M238" s="149" t="s">
        <v>294</v>
      </c>
      <c r="N238" s="149" t="s">
        <v>520</v>
      </c>
      <c r="O238" s="149" t="s">
        <v>294</v>
      </c>
      <c r="P238" s="149" t="s">
        <v>521</v>
      </c>
      <c r="Q238" s="149" t="s">
        <v>294</v>
      </c>
    </row>
    <row r="239" spans="1:17" x14ac:dyDescent="0.25">
      <c r="A239">
        <v>1</v>
      </c>
      <c r="B239" s="154">
        <v>1</v>
      </c>
      <c r="C239" s="154">
        <f>B239/0.01</f>
        <v>100</v>
      </c>
      <c r="D239" s="154">
        <f t="shared" ref="D239:D247" si="12">B239*0.05</f>
        <v>0.05</v>
      </c>
      <c r="E239" s="154">
        <f t="shared" ref="E239:E247" si="13">D239/0.01</f>
        <v>5</v>
      </c>
      <c r="F239" s="158">
        <v>22.5</v>
      </c>
      <c r="G239" s="154">
        <v>500</v>
      </c>
      <c r="H239" s="154">
        <v>0</v>
      </c>
      <c r="I239" s="154">
        <v>0</v>
      </c>
      <c r="J239" s="154">
        <v>0</v>
      </c>
      <c r="K239" s="156"/>
      <c r="L239" s="113">
        <f t="shared" ref="L239:L247" si="14">-93.86*LN(B239)+644.36</f>
        <v>644.36</v>
      </c>
      <c r="M239" s="113">
        <f>L239-G239</f>
        <v>144.36000000000001</v>
      </c>
      <c r="N239" s="113">
        <f t="shared" ref="N239:N247" si="15">(0.2034*B239^2)-(15.855*B239) + 597.33</f>
        <v>581.67840000000001</v>
      </c>
      <c r="O239" s="113">
        <f>N239-G239</f>
        <v>81.678400000000011</v>
      </c>
      <c r="P239" s="113">
        <f t="shared" ref="P239:P247" si="16">(-6.2098*B239)+549.97</f>
        <v>543.76020000000005</v>
      </c>
      <c r="Q239" s="113">
        <f>P239-G239</f>
        <v>43.760200000000054</v>
      </c>
    </row>
    <row r="240" spans="1:17" x14ac:dyDescent="0.25">
      <c r="A240">
        <v>2</v>
      </c>
      <c r="B240" s="154">
        <v>2</v>
      </c>
      <c r="C240" s="154">
        <f t="shared" ref="C240:C247" si="17">B240/0.01</f>
        <v>200</v>
      </c>
      <c r="D240" s="154">
        <f t="shared" si="12"/>
        <v>0.1</v>
      </c>
      <c r="E240" s="154">
        <f t="shared" si="13"/>
        <v>10</v>
      </c>
      <c r="F240" s="158">
        <v>27.5</v>
      </c>
      <c r="G240" s="154">
        <v>450</v>
      </c>
      <c r="H240" s="154">
        <v>0</v>
      </c>
      <c r="I240" s="154">
        <v>0</v>
      </c>
      <c r="J240" s="154">
        <v>0</v>
      </c>
      <c r="K240" s="154"/>
      <c r="L240" s="113">
        <f t="shared" si="14"/>
        <v>579.30120563264359</v>
      </c>
      <c r="M240" s="113">
        <f t="shared" ref="M240:M247" si="18">L240-G240</f>
        <v>129.30120563264359</v>
      </c>
      <c r="N240" s="113">
        <f t="shared" si="15"/>
        <v>566.43360000000007</v>
      </c>
      <c r="O240" s="113">
        <f t="shared" ref="O240:O247" si="19">N240-G240</f>
        <v>116.43360000000007</v>
      </c>
      <c r="P240" s="113">
        <f t="shared" si="16"/>
        <v>537.55040000000008</v>
      </c>
      <c r="Q240" s="113">
        <f t="shared" ref="Q240:Q247" si="20">P240-G240</f>
        <v>87.550400000000081</v>
      </c>
    </row>
    <row r="241" spans="1:17" x14ac:dyDescent="0.25">
      <c r="A241">
        <v>3</v>
      </c>
      <c r="B241" s="154">
        <v>3</v>
      </c>
      <c r="C241" s="154">
        <f t="shared" si="17"/>
        <v>300</v>
      </c>
      <c r="D241" s="154">
        <f t="shared" si="12"/>
        <v>0.15000000000000002</v>
      </c>
      <c r="E241" s="154">
        <f t="shared" si="13"/>
        <v>15.000000000000002</v>
      </c>
      <c r="F241" s="158">
        <v>32.799999999999997</v>
      </c>
      <c r="G241" s="154">
        <v>425</v>
      </c>
      <c r="H241" s="154">
        <v>0</v>
      </c>
      <c r="I241" s="154">
        <v>0</v>
      </c>
      <c r="J241" s="154">
        <v>0</v>
      </c>
      <c r="K241" s="154"/>
      <c r="L241" s="113">
        <f t="shared" si="14"/>
        <v>541.24425058561121</v>
      </c>
      <c r="M241" s="113">
        <f t="shared" si="18"/>
        <v>116.24425058561121</v>
      </c>
      <c r="N241" s="113">
        <f t="shared" si="15"/>
        <v>551.59559999999999</v>
      </c>
      <c r="O241" s="113">
        <f t="shared" si="19"/>
        <v>126.59559999999999</v>
      </c>
      <c r="P241" s="113">
        <f t="shared" si="16"/>
        <v>531.34059999999999</v>
      </c>
      <c r="Q241" s="113">
        <f t="shared" si="20"/>
        <v>106.34059999999999</v>
      </c>
    </row>
    <row r="242" spans="1:17" x14ac:dyDescent="0.25">
      <c r="A242">
        <v>4</v>
      </c>
      <c r="B242" s="154">
        <v>5</v>
      </c>
      <c r="C242" s="154">
        <f t="shared" si="17"/>
        <v>500</v>
      </c>
      <c r="D242" s="154">
        <f t="shared" si="12"/>
        <v>0.25</v>
      </c>
      <c r="E242" s="154">
        <f t="shared" si="13"/>
        <v>25</v>
      </c>
      <c r="F242" s="158">
        <v>22.6</v>
      </c>
      <c r="G242" s="154">
        <v>425</v>
      </c>
      <c r="H242" s="154">
        <v>0</v>
      </c>
      <c r="I242" s="154">
        <v>0</v>
      </c>
      <c r="J242" s="154">
        <v>0</v>
      </c>
      <c r="K242" s="154"/>
      <c r="L242" s="113">
        <f t="shared" si="14"/>
        <v>493.29815753893536</v>
      </c>
      <c r="M242" s="113">
        <f t="shared" si="18"/>
        <v>68.298157538935357</v>
      </c>
      <c r="N242" s="113">
        <f t="shared" si="15"/>
        <v>523.14</v>
      </c>
      <c r="O242" s="113">
        <f t="shared" si="19"/>
        <v>98.139999999999986</v>
      </c>
      <c r="P242" s="113">
        <f t="shared" si="16"/>
        <v>518.92100000000005</v>
      </c>
      <c r="Q242" s="113">
        <f t="shared" si="20"/>
        <v>93.921000000000049</v>
      </c>
    </row>
    <row r="243" spans="1:17" x14ac:dyDescent="0.25">
      <c r="A243">
        <v>5</v>
      </c>
      <c r="B243" s="154">
        <v>10</v>
      </c>
      <c r="C243" s="154">
        <f t="shared" si="17"/>
        <v>1000</v>
      </c>
      <c r="D243" s="154">
        <f t="shared" si="12"/>
        <v>0.5</v>
      </c>
      <c r="E243" s="154">
        <f t="shared" si="13"/>
        <v>50</v>
      </c>
      <c r="F243" s="158">
        <v>37.9</v>
      </c>
      <c r="G243" s="154">
        <v>300</v>
      </c>
      <c r="H243" s="154">
        <v>0</v>
      </c>
      <c r="I243" s="154">
        <v>0</v>
      </c>
      <c r="J243" s="154">
        <v>0</v>
      </c>
      <c r="K243" s="154"/>
      <c r="L243" s="113">
        <f t="shared" si="14"/>
        <v>428.23936317157887</v>
      </c>
      <c r="M243" s="113">
        <f t="shared" si="18"/>
        <v>128.23936317157887</v>
      </c>
      <c r="N243" s="113">
        <f t="shared" si="15"/>
        <v>459.12</v>
      </c>
      <c r="O243" s="113">
        <f t="shared" si="19"/>
        <v>159.12</v>
      </c>
      <c r="P243" s="113">
        <f t="shared" si="16"/>
        <v>487.87200000000001</v>
      </c>
      <c r="Q243" s="113">
        <f t="shared" si="20"/>
        <v>187.87200000000001</v>
      </c>
    </row>
    <row r="244" spans="1:17" x14ac:dyDescent="0.25">
      <c r="A244">
        <v>6</v>
      </c>
      <c r="B244" s="154">
        <v>20</v>
      </c>
      <c r="C244" s="154">
        <f t="shared" si="17"/>
        <v>2000</v>
      </c>
      <c r="D244" s="154">
        <f t="shared" si="12"/>
        <v>1</v>
      </c>
      <c r="E244" s="154">
        <f t="shared" si="13"/>
        <v>100</v>
      </c>
      <c r="F244" s="158">
        <v>30.6</v>
      </c>
      <c r="G244" s="154">
        <v>300</v>
      </c>
      <c r="H244" s="154">
        <v>0</v>
      </c>
      <c r="I244" s="154">
        <v>0</v>
      </c>
      <c r="J244" s="154">
        <v>0</v>
      </c>
      <c r="K244" s="154"/>
      <c r="L244" s="113">
        <f t="shared" si="14"/>
        <v>363.18056880422245</v>
      </c>
      <c r="M244" s="113">
        <f t="shared" si="18"/>
        <v>63.180568804222446</v>
      </c>
      <c r="N244" s="113">
        <f t="shared" si="15"/>
        <v>361.59000000000003</v>
      </c>
      <c r="O244" s="113">
        <f t="shared" si="19"/>
        <v>61.590000000000032</v>
      </c>
      <c r="P244" s="113">
        <f t="shared" si="16"/>
        <v>425.774</v>
      </c>
      <c r="Q244" s="113">
        <f t="shared" si="20"/>
        <v>125.774</v>
      </c>
    </row>
    <row r="245" spans="1:17" x14ac:dyDescent="0.25">
      <c r="A245">
        <v>7</v>
      </c>
      <c r="B245" s="154">
        <v>30</v>
      </c>
      <c r="C245" s="154">
        <f t="shared" si="17"/>
        <v>3000</v>
      </c>
      <c r="D245" s="154">
        <f t="shared" si="12"/>
        <v>1.5</v>
      </c>
      <c r="E245" s="154">
        <f t="shared" si="13"/>
        <v>150</v>
      </c>
      <c r="F245" s="158">
        <v>39.299999999999997</v>
      </c>
      <c r="G245" s="154">
        <v>200</v>
      </c>
      <c r="H245" s="154">
        <v>0</v>
      </c>
      <c r="I245" s="154">
        <v>0</v>
      </c>
      <c r="J245" s="154">
        <v>0</v>
      </c>
      <c r="K245" s="154"/>
      <c r="L245" s="113">
        <f t="shared" si="14"/>
        <v>325.12361375719013</v>
      </c>
      <c r="M245" s="113">
        <f t="shared" si="18"/>
        <v>125.12361375719013</v>
      </c>
      <c r="N245" s="113">
        <f t="shared" si="15"/>
        <v>304.74</v>
      </c>
      <c r="O245" s="113">
        <f t="shared" si="19"/>
        <v>104.74000000000001</v>
      </c>
      <c r="P245" s="113">
        <f t="shared" si="16"/>
        <v>363.67600000000004</v>
      </c>
      <c r="Q245" s="113">
        <f t="shared" si="20"/>
        <v>163.67600000000004</v>
      </c>
    </row>
    <row r="246" spans="1:17" x14ac:dyDescent="0.25">
      <c r="A246">
        <v>8</v>
      </c>
      <c r="B246" s="154">
        <v>40</v>
      </c>
      <c r="C246" s="154">
        <f t="shared" si="17"/>
        <v>4000</v>
      </c>
      <c r="D246" s="154">
        <f t="shared" si="12"/>
        <v>2</v>
      </c>
      <c r="E246" s="154">
        <f t="shared" si="13"/>
        <v>200</v>
      </c>
      <c r="F246" s="158">
        <v>47.7</v>
      </c>
      <c r="G246" s="154">
        <v>200</v>
      </c>
      <c r="H246" s="154">
        <v>0</v>
      </c>
      <c r="I246" s="154">
        <v>0</v>
      </c>
      <c r="J246" s="154">
        <v>0</v>
      </c>
      <c r="K246" s="154"/>
      <c r="L246" s="113">
        <f t="shared" si="14"/>
        <v>298.12177443686596</v>
      </c>
      <c r="M246" s="113">
        <f t="shared" si="18"/>
        <v>98.121774436865962</v>
      </c>
      <c r="N246" s="113">
        <f t="shared" si="15"/>
        <v>288.57</v>
      </c>
      <c r="O246" s="113">
        <f t="shared" si="19"/>
        <v>88.57</v>
      </c>
      <c r="P246" s="113">
        <f t="shared" si="16"/>
        <v>301.57799999999997</v>
      </c>
      <c r="Q246" s="113">
        <f t="shared" si="20"/>
        <v>101.57799999999997</v>
      </c>
    </row>
    <row r="247" spans="1:17" x14ac:dyDescent="0.25">
      <c r="A247">
        <v>9</v>
      </c>
      <c r="B247" s="154">
        <v>50</v>
      </c>
      <c r="C247" s="154">
        <f t="shared" si="17"/>
        <v>5000</v>
      </c>
      <c r="D247" s="154">
        <f t="shared" si="12"/>
        <v>2.5</v>
      </c>
      <c r="E247" s="154">
        <f t="shared" si="13"/>
        <v>250</v>
      </c>
      <c r="F247" s="158">
        <v>47.7</v>
      </c>
      <c r="G247" s="154">
        <v>200</v>
      </c>
      <c r="H247" s="154">
        <v>0</v>
      </c>
      <c r="I247" s="154">
        <v>0</v>
      </c>
      <c r="J247" s="154">
        <v>0</v>
      </c>
      <c r="K247" s="154"/>
      <c r="L247" s="113">
        <f t="shared" si="14"/>
        <v>277.17752071051422</v>
      </c>
      <c r="M247" s="113">
        <f t="shared" si="18"/>
        <v>77.177520710514216</v>
      </c>
      <c r="N247" s="113">
        <f t="shared" si="15"/>
        <v>313.08000000000004</v>
      </c>
      <c r="O247" s="113">
        <f t="shared" si="19"/>
        <v>113.08000000000004</v>
      </c>
      <c r="P247" s="113">
        <f t="shared" si="16"/>
        <v>239.48000000000002</v>
      </c>
      <c r="Q247" s="113">
        <f t="shared" si="20"/>
        <v>39.480000000000018</v>
      </c>
    </row>
    <row r="250" spans="1:17" x14ac:dyDescent="0.25">
      <c r="B250" s="153" t="s">
        <v>510</v>
      </c>
      <c r="C250" s="150" t="s">
        <v>524</v>
      </c>
    </row>
    <row r="251" spans="1:17" x14ac:dyDescent="0.25">
      <c r="B251" s="149" t="s">
        <v>412</v>
      </c>
      <c r="C251" s="149" t="s">
        <v>522</v>
      </c>
      <c r="D251" s="149" t="s">
        <v>503</v>
      </c>
      <c r="E251" s="150" t="s">
        <v>504</v>
      </c>
      <c r="F251" s="150" t="s">
        <v>505</v>
      </c>
      <c r="G251" s="149" t="s">
        <v>460</v>
      </c>
      <c r="H251" s="149" t="s">
        <v>464</v>
      </c>
      <c r="I251" s="149" t="s">
        <v>501</v>
      </c>
      <c r="J251" s="149" t="s">
        <v>506</v>
      </c>
      <c r="K251" s="149" t="s">
        <v>507</v>
      </c>
      <c r="N251" s="149" t="s">
        <v>523</v>
      </c>
      <c r="O251">
        <f>93.86 - (93.86-82.64)/2</f>
        <v>88.25</v>
      </c>
    </row>
    <row r="252" spans="1:17" x14ac:dyDescent="0.25">
      <c r="A252">
        <v>1</v>
      </c>
      <c r="B252" s="155">
        <v>1</v>
      </c>
      <c r="C252" s="155">
        <f>B252/0.01</f>
        <v>100</v>
      </c>
      <c r="D252" s="155">
        <f t="shared" ref="D252:D260" si="21">B252*0.05</f>
        <v>0.05</v>
      </c>
      <c r="E252" s="155">
        <f t="shared" ref="E252:E260" si="22">D252/0.01</f>
        <v>5</v>
      </c>
      <c r="F252" s="159">
        <v>28.2</v>
      </c>
      <c r="G252" s="155">
        <v>700</v>
      </c>
      <c r="H252" s="155">
        <v>0</v>
      </c>
      <c r="I252" s="155">
        <v>0</v>
      </c>
      <c r="J252" s="155">
        <v>0</v>
      </c>
      <c r="K252" s="157"/>
      <c r="L252" s="113">
        <f>(-93.86*LN(C252))+1076.6</f>
        <v>644.35872634315763</v>
      </c>
      <c r="N252" s="113">
        <f>(-O251*LN(C252))+1076.6</f>
        <v>670.19373108655077</v>
      </c>
    </row>
    <row r="253" spans="1:17" x14ac:dyDescent="0.25">
      <c r="A253">
        <v>2</v>
      </c>
      <c r="B253" s="155">
        <v>2</v>
      </c>
      <c r="C253" s="155">
        <f t="shared" ref="C253:C260" si="23">B253/0.01</f>
        <v>200</v>
      </c>
      <c r="D253" s="155">
        <f t="shared" si="21"/>
        <v>0.1</v>
      </c>
      <c r="E253" s="155">
        <f t="shared" si="22"/>
        <v>10</v>
      </c>
      <c r="F253" s="159">
        <v>21.9</v>
      </c>
      <c r="G253" s="155">
        <v>650</v>
      </c>
      <c r="H253" s="155">
        <v>0</v>
      </c>
      <c r="I253" s="155">
        <v>0</v>
      </c>
      <c r="J253" s="155">
        <v>0</v>
      </c>
      <c r="K253" s="155"/>
      <c r="L253" s="113">
        <f t="shared" ref="L253:L260" si="24">(-93.86*LN(C253))+1076.6</f>
        <v>579.2999319758012</v>
      </c>
    </row>
    <row r="254" spans="1:17" x14ac:dyDescent="0.25">
      <c r="A254">
        <v>3</v>
      </c>
      <c r="B254" s="155">
        <v>3</v>
      </c>
      <c r="C254" s="155">
        <f t="shared" si="23"/>
        <v>300</v>
      </c>
      <c r="D254" s="155">
        <f t="shared" si="21"/>
        <v>0.15000000000000002</v>
      </c>
      <c r="E254" s="155">
        <f t="shared" si="22"/>
        <v>15.000000000000002</v>
      </c>
      <c r="F254" s="159">
        <v>30.9</v>
      </c>
      <c r="G254" s="155">
        <v>425</v>
      </c>
      <c r="H254" s="155">
        <v>0</v>
      </c>
      <c r="I254" s="155">
        <v>0</v>
      </c>
      <c r="J254" s="155">
        <v>0</v>
      </c>
      <c r="K254" s="155"/>
      <c r="L254" s="113">
        <f t="shared" si="24"/>
        <v>541.24297692876894</v>
      </c>
    </row>
    <row r="255" spans="1:17" x14ac:dyDescent="0.25">
      <c r="A255">
        <v>4</v>
      </c>
      <c r="B255" s="155">
        <v>5</v>
      </c>
      <c r="C255" s="155">
        <f t="shared" si="23"/>
        <v>500</v>
      </c>
      <c r="D255" s="155">
        <f t="shared" si="21"/>
        <v>0.25</v>
      </c>
      <c r="E255" s="155">
        <f t="shared" si="22"/>
        <v>25</v>
      </c>
      <c r="F255" s="159">
        <v>22.9</v>
      </c>
      <c r="G255" s="155">
        <v>425</v>
      </c>
      <c r="H255" s="155">
        <v>0</v>
      </c>
      <c r="I255" s="155">
        <v>0</v>
      </c>
      <c r="J255" s="155">
        <v>0</v>
      </c>
      <c r="K255" s="155"/>
      <c r="L255" s="113">
        <f t="shared" si="24"/>
        <v>493.29688388209297</v>
      </c>
    </row>
    <row r="256" spans="1:17" x14ac:dyDescent="0.25">
      <c r="A256">
        <v>5</v>
      </c>
      <c r="B256" s="155">
        <v>10</v>
      </c>
      <c r="C256" s="155">
        <f t="shared" si="23"/>
        <v>1000</v>
      </c>
      <c r="D256" s="155">
        <f t="shared" si="21"/>
        <v>0.5</v>
      </c>
      <c r="E256" s="155">
        <f t="shared" si="22"/>
        <v>50</v>
      </c>
      <c r="F256" s="159">
        <v>23.1</v>
      </c>
      <c r="G256" s="155">
        <v>425</v>
      </c>
      <c r="H256" s="155">
        <v>0</v>
      </c>
      <c r="I256" s="155">
        <v>0</v>
      </c>
      <c r="J256" s="155">
        <v>0</v>
      </c>
      <c r="K256" s="155"/>
      <c r="L256" s="113">
        <f t="shared" si="24"/>
        <v>428.23808951473654</v>
      </c>
    </row>
    <row r="257" spans="1:16" x14ac:dyDescent="0.25">
      <c r="A257">
        <v>6</v>
      </c>
      <c r="B257" s="155">
        <v>20</v>
      </c>
      <c r="C257" s="155">
        <f t="shared" si="23"/>
        <v>2000</v>
      </c>
      <c r="D257" s="155">
        <f t="shared" si="21"/>
        <v>1</v>
      </c>
      <c r="E257" s="155">
        <f t="shared" si="22"/>
        <v>100</v>
      </c>
      <c r="F257" s="159">
        <v>23.5</v>
      </c>
      <c r="G257" s="155">
        <v>425</v>
      </c>
      <c r="H257" s="155">
        <v>0</v>
      </c>
      <c r="I257" s="155">
        <v>0</v>
      </c>
      <c r="J257" s="155">
        <v>0</v>
      </c>
      <c r="K257" s="155"/>
      <c r="L257" s="113">
        <f t="shared" si="24"/>
        <v>363.17929514738012</v>
      </c>
    </row>
    <row r="258" spans="1:16" x14ac:dyDescent="0.25">
      <c r="A258">
        <v>7</v>
      </c>
      <c r="B258" s="155">
        <v>30</v>
      </c>
      <c r="C258" s="155">
        <f t="shared" si="23"/>
        <v>3000</v>
      </c>
      <c r="D258" s="155">
        <f t="shared" si="21"/>
        <v>1.5</v>
      </c>
      <c r="E258" s="155">
        <f t="shared" si="22"/>
        <v>150</v>
      </c>
      <c r="F258" s="159">
        <v>31.6</v>
      </c>
      <c r="G258" s="155">
        <v>300</v>
      </c>
      <c r="H258" s="155">
        <v>0</v>
      </c>
      <c r="I258" s="155">
        <v>0</v>
      </c>
      <c r="J258" s="155">
        <v>0</v>
      </c>
      <c r="K258" s="155"/>
      <c r="L258" s="113">
        <f t="shared" si="24"/>
        <v>325.12234010034786</v>
      </c>
    </row>
    <row r="259" spans="1:16" x14ac:dyDescent="0.25">
      <c r="A259">
        <v>8</v>
      </c>
      <c r="B259" s="155">
        <v>40</v>
      </c>
      <c r="C259" s="155">
        <f t="shared" si="23"/>
        <v>4000</v>
      </c>
      <c r="D259" s="155">
        <f t="shared" si="21"/>
        <v>2</v>
      </c>
      <c r="E259" s="155">
        <f t="shared" si="22"/>
        <v>200</v>
      </c>
      <c r="F259" s="159">
        <v>33.6</v>
      </c>
      <c r="G259" s="155">
        <v>300</v>
      </c>
      <c r="H259" s="155">
        <v>0</v>
      </c>
      <c r="I259" s="155">
        <v>0</v>
      </c>
      <c r="J259" s="155">
        <v>0</v>
      </c>
      <c r="K259" s="155"/>
      <c r="L259" s="113">
        <f t="shared" si="24"/>
        <v>298.12050078002358</v>
      </c>
    </row>
    <row r="260" spans="1:16" x14ac:dyDescent="0.25">
      <c r="A260">
        <v>9</v>
      </c>
      <c r="B260" s="155">
        <v>50</v>
      </c>
      <c r="C260" s="155">
        <f t="shared" si="23"/>
        <v>5000</v>
      </c>
      <c r="D260" s="155">
        <f t="shared" si="21"/>
        <v>2.5</v>
      </c>
      <c r="E260" s="155">
        <f t="shared" si="22"/>
        <v>250</v>
      </c>
      <c r="F260" s="159">
        <v>33.6</v>
      </c>
      <c r="G260" s="155">
        <v>300</v>
      </c>
      <c r="H260" s="155">
        <v>0</v>
      </c>
      <c r="I260" s="155">
        <v>0</v>
      </c>
      <c r="J260" s="155">
        <v>0</v>
      </c>
      <c r="K260" s="155"/>
      <c r="L260" s="113">
        <f t="shared" si="24"/>
        <v>277.17624705367177</v>
      </c>
    </row>
    <row r="261" spans="1:16" x14ac:dyDescent="0.25">
      <c r="O261" s="150" t="s">
        <v>525</v>
      </c>
    </row>
    <row r="262" spans="1:16" x14ac:dyDescent="0.25">
      <c r="O262" t="s">
        <v>412</v>
      </c>
      <c r="P262" t="s">
        <v>362</v>
      </c>
    </row>
    <row r="263" spans="1:16" x14ac:dyDescent="0.25">
      <c r="O263">
        <v>0.5</v>
      </c>
      <c r="P263" s="113">
        <f>(46*O263*0.01)+26.004</f>
        <v>26.234000000000002</v>
      </c>
    </row>
    <row r="264" spans="1:16" x14ac:dyDescent="0.25">
      <c r="O264">
        <v>1</v>
      </c>
      <c r="P264" s="113">
        <f t="shared" ref="P264:P272" si="25">(46*O264*0.01)+26.004</f>
        <v>26.464000000000002</v>
      </c>
    </row>
    <row r="265" spans="1:16" x14ac:dyDescent="0.25">
      <c r="O265">
        <v>2</v>
      </c>
      <c r="P265" s="113">
        <f t="shared" si="25"/>
        <v>26.924000000000003</v>
      </c>
    </row>
    <row r="266" spans="1:16" x14ac:dyDescent="0.25">
      <c r="O266">
        <v>3</v>
      </c>
      <c r="P266" s="113">
        <f t="shared" si="25"/>
        <v>27.384</v>
      </c>
    </row>
    <row r="267" spans="1:16" x14ac:dyDescent="0.25">
      <c r="O267">
        <v>4</v>
      </c>
      <c r="P267" s="113">
        <f t="shared" si="25"/>
        <v>27.844000000000001</v>
      </c>
    </row>
    <row r="268" spans="1:16" x14ac:dyDescent="0.25">
      <c r="O268">
        <v>5</v>
      </c>
      <c r="P268" s="113">
        <f t="shared" si="25"/>
        <v>28.304000000000002</v>
      </c>
    </row>
    <row r="269" spans="1:16" x14ac:dyDescent="0.25">
      <c r="O269">
        <v>10</v>
      </c>
      <c r="P269" s="113">
        <f t="shared" si="25"/>
        <v>30.604000000000003</v>
      </c>
    </row>
    <row r="270" spans="1:16" x14ac:dyDescent="0.25">
      <c r="O270">
        <v>20</v>
      </c>
      <c r="P270" s="113">
        <f t="shared" si="25"/>
        <v>35.204000000000001</v>
      </c>
    </row>
    <row r="271" spans="1:16" x14ac:dyDescent="0.25">
      <c r="O271">
        <v>50</v>
      </c>
      <c r="P271" s="113">
        <f t="shared" si="25"/>
        <v>49.004000000000005</v>
      </c>
    </row>
    <row r="272" spans="1:16" x14ac:dyDescent="0.25">
      <c r="O272">
        <v>100</v>
      </c>
      <c r="P272" s="113">
        <f t="shared" si="25"/>
        <v>72.004000000000005</v>
      </c>
    </row>
    <row r="275" spans="2:16" x14ac:dyDescent="0.25">
      <c r="O275" s="150" t="s">
        <v>529</v>
      </c>
    </row>
    <row r="276" spans="2:16" x14ac:dyDescent="0.25">
      <c r="O276" t="s">
        <v>530</v>
      </c>
      <c r="P276" t="s">
        <v>531</v>
      </c>
    </row>
    <row r="277" spans="2:16" x14ac:dyDescent="0.25">
      <c r="O277">
        <v>100</v>
      </c>
      <c r="P277">
        <v>26</v>
      </c>
    </row>
    <row r="278" spans="2:16" x14ac:dyDescent="0.25">
      <c r="O278">
        <v>5000</v>
      </c>
      <c r="P278">
        <v>42</v>
      </c>
    </row>
    <row r="282" spans="2:16" x14ac:dyDescent="0.25">
      <c r="B282" s="150" t="s">
        <v>526</v>
      </c>
    </row>
    <row r="283" spans="2:16" x14ac:dyDescent="0.25">
      <c r="B283" t="s">
        <v>527</v>
      </c>
      <c r="C283" t="s">
        <v>528</v>
      </c>
    </row>
    <row r="284" spans="2:16" x14ac:dyDescent="0.25">
      <c r="B284">
        <v>894.81</v>
      </c>
      <c r="C284">
        <v>82.64</v>
      </c>
    </row>
    <row r="285" spans="2:16" x14ac:dyDescent="0.25">
      <c r="B285">
        <v>1076.5999999999999</v>
      </c>
      <c r="C285">
        <v>93.86</v>
      </c>
    </row>
    <row r="295" spans="2:10" x14ac:dyDescent="0.25">
      <c r="B295" s="153" t="s">
        <v>536</v>
      </c>
      <c r="C295" s="150" t="s">
        <v>524</v>
      </c>
    </row>
    <row r="296" spans="2:10" x14ac:dyDescent="0.25">
      <c r="B296" s="163" t="s">
        <v>412</v>
      </c>
      <c r="C296" s="163" t="s">
        <v>522</v>
      </c>
      <c r="D296" s="163" t="s">
        <v>503</v>
      </c>
      <c r="E296" s="150" t="s">
        <v>504</v>
      </c>
      <c r="F296" s="150" t="s">
        <v>505</v>
      </c>
      <c r="G296" s="163" t="s">
        <v>460</v>
      </c>
      <c r="H296" s="163" t="s">
        <v>537</v>
      </c>
      <c r="I296" s="163" t="s">
        <v>538</v>
      </c>
      <c r="J296" s="163" t="s">
        <v>506</v>
      </c>
    </row>
    <row r="297" spans="2:10" x14ac:dyDescent="0.25">
      <c r="B297" s="155">
        <v>0.5</v>
      </c>
      <c r="C297" s="155">
        <f>B297/0.01</f>
        <v>50</v>
      </c>
      <c r="D297" s="155">
        <f t="shared" ref="D297" si="26">B297*0.05</f>
        <v>2.5000000000000001E-2</v>
      </c>
      <c r="E297" s="155">
        <f t="shared" ref="E297" si="27">D297/0.01</f>
        <v>2.5</v>
      </c>
      <c r="F297" s="159">
        <v>38</v>
      </c>
      <c r="G297" s="155">
        <v>550</v>
      </c>
      <c r="H297" s="155">
        <v>0</v>
      </c>
      <c r="I297" s="155">
        <v>0</v>
      </c>
      <c r="J297" s="155">
        <v>0</v>
      </c>
    </row>
    <row r="298" spans="2:10" x14ac:dyDescent="0.25">
      <c r="B298" s="155">
        <v>1</v>
      </c>
      <c r="C298" s="155">
        <f>B298/0.01</f>
        <v>100</v>
      </c>
      <c r="D298" s="155">
        <f t="shared" ref="D298:D299" si="28">B298*0.05</f>
        <v>0.05</v>
      </c>
      <c r="E298" s="155">
        <f t="shared" ref="E298:E299" si="29">D298/0.01</f>
        <v>5</v>
      </c>
      <c r="F298" s="159">
        <v>29</v>
      </c>
      <c r="G298" s="155">
        <v>480</v>
      </c>
      <c r="H298" s="155">
        <v>0</v>
      </c>
      <c r="I298" s="155">
        <v>0</v>
      </c>
      <c r="J298" s="155">
        <v>0</v>
      </c>
    </row>
    <row r="299" spans="2:10" x14ac:dyDescent="0.25">
      <c r="B299" s="155">
        <v>10</v>
      </c>
      <c r="C299" s="155">
        <f>B299/0.01</f>
        <v>1000</v>
      </c>
      <c r="D299" s="155">
        <f t="shared" si="28"/>
        <v>0.5</v>
      </c>
      <c r="E299" s="155">
        <f t="shared" si="29"/>
        <v>50</v>
      </c>
      <c r="F299" s="159">
        <v>33</v>
      </c>
      <c r="G299" s="155">
        <v>300</v>
      </c>
      <c r="H299" s="155">
        <v>0</v>
      </c>
      <c r="I299" s="155">
        <v>0</v>
      </c>
      <c r="J299" s="155">
        <v>0</v>
      </c>
    </row>
    <row r="300" spans="2:10" x14ac:dyDescent="0.25">
      <c r="B300" s="155">
        <v>35</v>
      </c>
      <c r="C300" s="155">
        <f>B300/0.01</f>
        <v>3500</v>
      </c>
      <c r="D300" s="155">
        <f t="shared" ref="D300" si="30">B300*0.05</f>
        <v>1.75</v>
      </c>
      <c r="E300" s="155">
        <f t="shared" ref="E300" si="31">D300/0.01</f>
        <v>175</v>
      </c>
      <c r="F300" s="159">
        <v>32</v>
      </c>
      <c r="G300" s="155">
        <v>250</v>
      </c>
      <c r="H300" s="155">
        <v>0</v>
      </c>
      <c r="I300" s="155">
        <v>0</v>
      </c>
      <c r="J300" s="155">
        <v>0</v>
      </c>
    </row>
    <row r="301" spans="2:10" x14ac:dyDescent="0.25">
      <c r="B301" s="155">
        <v>40</v>
      </c>
      <c r="C301" s="155">
        <f>B301/0.01</f>
        <v>4000</v>
      </c>
      <c r="D301" s="155">
        <f t="shared" ref="D301" si="32">B301*0.05</f>
        <v>2</v>
      </c>
      <c r="E301" s="155">
        <f t="shared" ref="E301" si="33">D301/0.01</f>
        <v>200</v>
      </c>
      <c r="F301" s="159">
        <v>42</v>
      </c>
      <c r="G301" s="155">
        <v>200</v>
      </c>
      <c r="H301" s="155">
        <v>0</v>
      </c>
      <c r="I301" s="155">
        <v>0</v>
      </c>
      <c r="J301" s="155">
        <v>0</v>
      </c>
    </row>
    <row r="303" spans="2:10" x14ac:dyDescent="0.25">
      <c r="E303" t="s">
        <v>532</v>
      </c>
    </row>
    <row r="304" spans="2:10" x14ac:dyDescent="0.25">
      <c r="E304" t="s">
        <v>533</v>
      </c>
      <c r="F304" t="s">
        <v>458</v>
      </c>
      <c r="G304" t="s">
        <v>534</v>
      </c>
    </row>
    <row r="305" spans="2:10" x14ac:dyDescent="0.25">
      <c r="F305" s="97">
        <v>1</v>
      </c>
      <c r="G305" s="164">
        <f>-74.34*LN(F305)+487.64</f>
        <v>487.64</v>
      </c>
    </row>
    <row r="308" spans="2:10" x14ac:dyDescent="0.25">
      <c r="C308" s="150" t="s">
        <v>524</v>
      </c>
    </row>
    <row r="309" spans="2:10" x14ac:dyDescent="0.25">
      <c r="B309" s="152" t="s">
        <v>535</v>
      </c>
    </row>
    <row r="310" spans="2:10" x14ac:dyDescent="0.25">
      <c r="B310" s="163" t="s">
        <v>412</v>
      </c>
      <c r="C310" s="163" t="s">
        <v>522</v>
      </c>
      <c r="D310" s="163" t="s">
        <v>503</v>
      </c>
      <c r="E310" s="150" t="s">
        <v>504</v>
      </c>
      <c r="F310" s="150" t="s">
        <v>505</v>
      </c>
      <c r="G310" s="163" t="s">
        <v>460</v>
      </c>
      <c r="H310" s="163" t="s">
        <v>464</v>
      </c>
      <c r="I310" s="163" t="s">
        <v>501</v>
      </c>
      <c r="J310" s="163" t="s">
        <v>539</v>
      </c>
    </row>
    <row r="311" spans="2:10" x14ac:dyDescent="0.25">
      <c r="B311" s="154">
        <v>0.5</v>
      </c>
      <c r="C311" s="154">
        <f>B311/0.01</f>
        <v>50</v>
      </c>
      <c r="D311" s="154">
        <f t="shared" ref="D311:D315" si="34">B311*0.05</f>
        <v>2.5000000000000001E-2</v>
      </c>
      <c r="E311" s="154">
        <f t="shared" ref="E311:E315" si="35">D311/0.01</f>
        <v>2.5</v>
      </c>
      <c r="F311" s="154">
        <v>38</v>
      </c>
      <c r="G311" s="154">
        <v>420</v>
      </c>
      <c r="H311" s="154">
        <v>0</v>
      </c>
      <c r="I311" s="154">
        <v>0</v>
      </c>
      <c r="J311" s="154">
        <v>20</v>
      </c>
    </row>
    <row r="312" spans="2:10" x14ac:dyDescent="0.25">
      <c r="B312" s="154">
        <v>1</v>
      </c>
      <c r="C312" s="154">
        <f>B312/0.01</f>
        <v>100</v>
      </c>
      <c r="D312" s="154">
        <f t="shared" si="34"/>
        <v>0.05</v>
      </c>
      <c r="E312" s="154">
        <f t="shared" si="35"/>
        <v>5</v>
      </c>
      <c r="F312" s="154">
        <v>29</v>
      </c>
      <c r="G312" s="154">
        <v>350</v>
      </c>
      <c r="H312" s="154">
        <v>0</v>
      </c>
      <c r="I312" s="154">
        <v>0</v>
      </c>
      <c r="J312" s="154">
        <v>20</v>
      </c>
    </row>
    <row r="313" spans="2:10" x14ac:dyDescent="0.25">
      <c r="B313" s="154">
        <v>10</v>
      </c>
      <c r="C313" s="154">
        <f>B313/0.01</f>
        <v>1000</v>
      </c>
      <c r="D313" s="154">
        <f t="shared" si="34"/>
        <v>0.5</v>
      </c>
      <c r="E313" s="154">
        <f t="shared" si="35"/>
        <v>50</v>
      </c>
      <c r="F313" s="154">
        <v>33</v>
      </c>
      <c r="G313" s="154">
        <v>250</v>
      </c>
      <c r="H313" s="154">
        <v>0</v>
      </c>
      <c r="I313" s="154">
        <v>0</v>
      </c>
      <c r="J313" s="154">
        <v>20</v>
      </c>
    </row>
    <row r="314" spans="2:10" x14ac:dyDescent="0.25">
      <c r="B314" s="154">
        <v>35</v>
      </c>
      <c r="C314" s="154">
        <f>B314/0.01</f>
        <v>3500</v>
      </c>
      <c r="D314" s="154">
        <f t="shared" si="34"/>
        <v>1.75</v>
      </c>
      <c r="E314" s="154">
        <f t="shared" si="35"/>
        <v>175</v>
      </c>
      <c r="F314" s="154">
        <v>32</v>
      </c>
      <c r="G314" s="154">
        <v>200</v>
      </c>
      <c r="H314" s="154">
        <v>0</v>
      </c>
      <c r="I314" s="154">
        <v>0</v>
      </c>
      <c r="J314" s="154">
        <v>20</v>
      </c>
    </row>
    <row r="315" spans="2:10" x14ac:dyDescent="0.25">
      <c r="B315" s="154">
        <v>40</v>
      </c>
      <c r="C315" s="154">
        <f>B315/0.01</f>
        <v>4000</v>
      </c>
      <c r="D315" s="154">
        <f t="shared" si="34"/>
        <v>2</v>
      </c>
      <c r="E315" s="154">
        <f t="shared" si="35"/>
        <v>200</v>
      </c>
      <c r="F315" s="154">
        <v>42</v>
      </c>
      <c r="G315" s="154">
        <v>200</v>
      </c>
      <c r="H315" s="154">
        <v>0</v>
      </c>
      <c r="I315" s="154">
        <v>0</v>
      </c>
      <c r="J315" s="154">
        <v>20</v>
      </c>
    </row>
    <row r="317" spans="2:10" x14ac:dyDescent="0.25">
      <c r="B317" t="s">
        <v>532</v>
      </c>
    </row>
    <row r="318" spans="2:10" x14ac:dyDescent="0.25">
      <c r="B318" t="s">
        <v>545</v>
      </c>
      <c r="C318" t="s">
        <v>458</v>
      </c>
      <c r="D318" t="s">
        <v>534</v>
      </c>
    </row>
    <row r="319" spans="2:10" x14ac:dyDescent="0.25">
      <c r="C319" s="165">
        <v>100</v>
      </c>
      <c r="D319" s="164">
        <f>-47.76*LN(C319)+588.53</f>
        <v>368.58707191720873</v>
      </c>
      <c r="E319" t="s">
        <v>542</v>
      </c>
    </row>
    <row r="320" spans="2:10" x14ac:dyDescent="0.25">
      <c r="E320" s="97">
        <v>1.5</v>
      </c>
      <c r="F320" t="s">
        <v>546</v>
      </c>
    </row>
    <row r="321" spans="2:7" x14ac:dyDescent="0.25">
      <c r="B321" t="s">
        <v>526</v>
      </c>
      <c r="C321">
        <f>D321*E320</f>
        <v>71.64</v>
      </c>
      <c r="D321">
        <v>47.76</v>
      </c>
      <c r="F321" t="s">
        <v>544</v>
      </c>
      <c r="G321" t="s">
        <v>362</v>
      </c>
    </row>
    <row r="322" spans="2:7" x14ac:dyDescent="0.25">
      <c r="B322" t="s">
        <v>540</v>
      </c>
      <c r="C322">
        <f>D322*E320</f>
        <v>882.79499999999996</v>
      </c>
      <c r="D322">
        <v>588.53</v>
      </c>
      <c r="F322">
        <v>100</v>
      </c>
      <c r="G322">
        <v>30</v>
      </c>
    </row>
    <row r="323" spans="2:7" x14ac:dyDescent="0.25">
      <c r="F323">
        <v>4000</v>
      </c>
      <c r="G323">
        <v>45</v>
      </c>
    </row>
    <row r="324" spans="2:7" x14ac:dyDescent="0.25">
      <c r="B324" t="s">
        <v>541</v>
      </c>
      <c r="C324" t="s">
        <v>544</v>
      </c>
      <c r="D324" t="s">
        <v>419</v>
      </c>
      <c r="E324" t="s">
        <v>362</v>
      </c>
    </row>
    <row r="325" spans="2:7" x14ac:dyDescent="0.25">
      <c r="B325">
        <v>0.5</v>
      </c>
      <c r="C325">
        <f>B325/0.01</f>
        <v>50</v>
      </c>
      <c r="D325" s="113">
        <f>-First_term*LN(C325)+Second_term</f>
        <v>602.5376718911275</v>
      </c>
      <c r="E325">
        <v>32</v>
      </c>
    </row>
    <row r="326" spans="2:7" x14ac:dyDescent="0.25">
      <c r="B326">
        <v>1</v>
      </c>
      <c r="C326">
        <f t="shared" ref="C326:C329" si="36">B326/0.01</f>
        <v>100</v>
      </c>
      <c r="D326" s="113">
        <f>-First_term*LN(C326)+Second_term</f>
        <v>552.88060787581298</v>
      </c>
    </row>
    <row r="327" spans="2:7" x14ac:dyDescent="0.25">
      <c r="B327">
        <v>10</v>
      </c>
      <c r="C327">
        <f t="shared" si="36"/>
        <v>1000</v>
      </c>
      <c r="D327" s="113">
        <f>-First_term*LN(C327)+Second_term</f>
        <v>387.92341181371967</v>
      </c>
    </row>
    <row r="328" spans="2:7" x14ac:dyDescent="0.25">
      <c r="B328">
        <v>35</v>
      </c>
      <c r="C328">
        <f t="shared" si="36"/>
        <v>3500</v>
      </c>
      <c r="D328" s="113">
        <f>-First_term*LN(C328)+Second_term</f>
        <v>298.17547275071149</v>
      </c>
    </row>
    <row r="329" spans="2:7" x14ac:dyDescent="0.25">
      <c r="B329">
        <v>40</v>
      </c>
      <c r="C329">
        <f t="shared" si="36"/>
        <v>4000</v>
      </c>
      <c r="D329" s="113">
        <f>-First_term*LN(C329)+Second_term</f>
        <v>288.60928378309075</v>
      </c>
      <c r="E329">
        <v>40</v>
      </c>
    </row>
    <row r="331" spans="2:7" x14ac:dyDescent="0.25">
      <c r="E331" t="s">
        <v>456</v>
      </c>
      <c r="F331">
        <v>1</v>
      </c>
    </row>
    <row r="332" spans="2:7" x14ac:dyDescent="0.25">
      <c r="E332" t="s">
        <v>543</v>
      </c>
      <c r="F332">
        <f>0.0025*F331*100+29.873</f>
        <v>30.123000000000001</v>
      </c>
    </row>
    <row r="338" spans="2:12" x14ac:dyDescent="0.25">
      <c r="B338" s="150" t="s">
        <v>562</v>
      </c>
    </row>
    <row r="339" spans="2:12" x14ac:dyDescent="0.25">
      <c r="C339" s="170" t="s">
        <v>560</v>
      </c>
      <c r="D339" s="170" t="s">
        <v>563</v>
      </c>
      <c r="E339" s="170" t="s">
        <v>564</v>
      </c>
      <c r="F339" s="170" t="s">
        <v>570</v>
      </c>
      <c r="G339" s="170" t="s">
        <v>354</v>
      </c>
      <c r="H339" s="170" t="s">
        <v>569</v>
      </c>
      <c r="I339" s="170" t="s">
        <v>565</v>
      </c>
      <c r="J339" s="170" t="s">
        <v>567</v>
      </c>
      <c r="K339" s="170" t="s">
        <v>568</v>
      </c>
      <c r="L339" s="170" t="s">
        <v>419</v>
      </c>
    </row>
    <row r="340" spans="2:12" x14ac:dyDescent="0.25">
      <c r="C340" s="169">
        <v>0.2</v>
      </c>
      <c r="D340" s="179">
        <f>C340/(5/65565)</f>
        <v>2622.6</v>
      </c>
      <c r="E340" s="169">
        <v>3</v>
      </c>
      <c r="F340" s="169">
        <v>0.5</v>
      </c>
      <c r="G340" s="169">
        <v>80</v>
      </c>
      <c r="H340">
        <f>C340/(5/50)</f>
        <v>2</v>
      </c>
      <c r="I340">
        <f>H340/(50/5)</f>
        <v>0.2</v>
      </c>
      <c r="J340" s="113">
        <f>D340/(E340/0.25)</f>
        <v>218.54999999999998</v>
      </c>
      <c r="K340">
        <f>F340*100</f>
        <v>50</v>
      </c>
      <c r="L340">
        <f>J340/K340</f>
        <v>4.3709999999999996</v>
      </c>
    </row>
    <row r="341" spans="2:12" x14ac:dyDescent="0.25">
      <c r="C341" s="169">
        <v>0.4</v>
      </c>
      <c r="D341" s="179">
        <f>C341/(5/65565)</f>
        <v>5245.2</v>
      </c>
      <c r="E341" s="169">
        <v>3</v>
      </c>
      <c r="F341" s="169">
        <v>1</v>
      </c>
      <c r="G341" s="169">
        <v>80</v>
      </c>
      <c r="H341">
        <f t="shared" ref="H341:H344" si="37">C341/(5/50)</f>
        <v>4</v>
      </c>
      <c r="I341">
        <f t="shared" ref="I341:I344" si="38">H341/(50/5)</f>
        <v>0.4</v>
      </c>
      <c r="J341" s="113">
        <f t="shared" ref="J341:J344" si="39">D341/(E341/0.25)</f>
        <v>437.09999999999997</v>
      </c>
      <c r="K341">
        <f t="shared" ref="K341:K344" si="40">F341*100</f>
        <v>100</v>
      </c>
      <c r="L341">
        <f t="shared" ref="L341:L344" si="41">J341/K341</f>
        <v>4.3709999999999996</v>
      </c>
    </row>
    <row r="342" spans="2:12" x14ac:dyDescent="0.25">
      <c r="C342" s="169">
        <v>0.8</v>
      </c>
      <c r="D342" s="179">
        <f>C342/(5/65565)</f>
        <v>10490.4</v>
      </c>
      <c r="E342" s="169">
        <v>3.5</v>
      </c>
      <c r="F342" s="169">
        <v>2</v>
      </c>
      <c r="G342" s="169">
        <v>70</v>
      </c>
      <c r="H342">
        <f t="shared" si="37"/>
        <v>8</v>
      </c>
      <c r="I342">
        <f t="shared" si="38"/>
        <v>0.8</v>
      </c>
      <c r="J342" s="113">
        <f t="shared" si="39"/>
        <v>749.31428571428569</v>
      </c>
      <c r="K342">
        <f t="shared" si="40"/>
        <v>200</v>
      </c>
      <c r="L342">
        <f t="shared" si="41"/>
        <v>3.7465714285714284</v>
      </c>
    </row>
    <row r="343" spans="2:12" x14ac:dyDescent="0.25">
      <c r="C343" s="169">
        <v>1.6</v>
      </c>
      <c r="D343" s="179">
        <f>C343/(5/65565)</f>
        <v>20980.799999999999</v>
      </c>
      <c r="E343" s="169">
        <v>10</v>
      </c>
      <c r="F343" s="169">
        <v>10</v>
      </c>
      <c r="G343" s="169">
        <v>25</v>
      </c>
      <c r="H343">
        <f t="shared" si="37"/>
        <v>16</v>
      </c>
      <c r="I343">
        <f t="shared" si="38"/>
        <v>1.6</v>
      </c>
      <c r="J343" s="113">
        <f t="shared" si="39"/>
        <v>524.52</v>
      </c>
      <c r="K343">
        <f t="shared" si="40"/>
        <v>1000</v>
      </c>
      <c r="L343">
        <f t="shared" si="41"/>
        <v>0.52451999999999999</v>
      </c>
    </row>
    <row r="344" spans="2:12" x14ac:dyDescent="0.25">
      <c r="C344" s="169">
        <v>5</v>
      </c>
      <c r="D344" s="179">
        <f>C344/(5/65565)</f>
        <v>65565</v>
      </c>
      <c r="E344" s="169">
        <v>12</v>
      </c>
      <c r="F344" s="169">
        <v>50</v>
      </c>
      <c r="G344" s="169">
        <v>20</v>
      </c>
      <c r="H344">
        <f t="shared" si="37"/>
        <v>50</v>
      </c>
      <c r="I344">
        <f t="shared" si="38"/>
        <v>5</v>
      </c>
      <c r="J344" s="113">
        <f t="shared" si="39"/>
        <v>1365.9375</v>
      </c>
      <c r="K344">
        <f t="shared" si="40"/>
        <v>5000</v>
      </c>
      <c r="L344">
        <f t="shared" si="41"/>
        <v>0.27318750000000003</v>
      </c>
    </row>
    <row r="347" spans="2:12" x14ac:dyDescent="0.25">
      <c r="H347" t="s">
        <v>566</v>
      </c>
      <c r="I347" s="97">
        <v>0.8</v>
      </c>
    </row>
    <row r="348" spans="2:12" x14ac:dyDescent="0.25">
      <c r="H348" t="s">
        <v>557</v>
      </c>
      <c r="I348">
        <f>I347/(5/50)</f>
        <v>8</v>
      </c>
    </row>
    <row r="352" spans="2:12" x14ac:dyDescent="0.25">
      <c r="H352" t="s">
        <v>568</v>
      </c>
      <c r="I352" s="97">
        <v>10</v>
      </c>
    </row>
    <row r="353" spans="8:13" x14ac:dyDescent="0.25">
      <c r="H353" t="s">
        <v>571</v>
      </c>
      <c r="I353">
        <f>I352*(65535/10000)</f>
        <v>65.534999999999997</v>
      </c>
    </row>
    <row r="356" spans="8:13" x14ac:dyDescent="0.25">
      <c r="I356">
        <f>(65535/10000)</f>
        <v>6.5534999999999997</v>
      </c>
    </row>
    <row r="367" spans="8:13" x14ac:dyDescent="0.25">
      <c r="J367" t="s">
        <v>572</v>
      </c>
      <c r="K367" t="s">
        <v>573</v>
      </c>
      <c r="L367">
        <v>13.1070004</v>
      </c>
      <c r="M367">
        <v>1</v>
      </c>
    </row>
    <row r="368" spans="8:13" x14ac:dyDescent="0.25">
      <c r="J368" t="s">
        <v>574</v>
      </c>
      <c r="K368" t="s">
        <v>573</v>
      </c>
      <c r="L368">
        <v>19.660499600000001</v>
      </c>
      <c r="M368">
        <v>2</v>
      </c>
    </row>
    <row r="369" spans="10:13" x14ac:dyDescent="0.25">
      <c r="J369" t="s">
        <v>575</v>
      </c>
      <c r="K369" t="s">
        <v>573</v>
      </c>
      <c r="L369">
        <v>26.2140007</v>
      </c>
      <c r="M369">
        <v>3</v>
      </c>
    </row>
    <row r="370" spans="10:13" x14ac:dyDescent="0.25">
      <c r="J370" t="s">
        <v>576</v>
      </c>
      <c r="K370" t="s">
        <v>573</v>
      </c>
      <c r="L370">
        <v>26.2140007</v>
      </c>
      <c r="M370">
        <v>4</v>
      </c>
    </row>
    <row r="371" spans="10:13" x14ac:dyDescent="0.25">
      <c r="J371" t="s">
        <v>577</v>
      </c>
      <c r="K371" t="s">
        <v>573</v>
      </c>
      <c r="L371">
        <v>32.767501799999998</v>
      </c>
      <c r="M371">
        <v>5</v>
      </c>
    </row>
    <row r="372" spans="10:13" x14ac:dyDescent="0.25">
      <c r="J372" t="s">
        <v>578</v>
      </c>
      <c r="K372" t="s">
        <v>573</v>
      </c>
      <c r="L372">
        <v>32.767501799999998</v>
      </c>
      <c r="M372">
        <v>6</v>
      </c>
    </row>
    <row r="373" spans="10:13" x14ac:dyDescent="0.25">
      <c r="J373" t="s">
        <v>579</v>
      </c>
      <c r="K373" t="s">
        <v>573</v>
      </c>
      <c r="L373">
        <v>39.320999100000002</v>
      </c>
      <c r="M373">
        <v>7</v>
      </c>
    </row>
    <row r="374" spans="10:13" x14ac:dyDescent="0.25">
      <c r="J374" t="s">
        <v>580</v>
      </c>
      <c r="K374" t="s">
        <v>573</v>
      </c>
      <c r="L374">
        <v>45.874500300000001</v>
      </c>
      <c r="M374">
        <v>8</v>
      </c>
    </row>
    <row r="375" spans="10:13" x14ac:dyDescent="0.25">
      <c r="J375" t="s">
        <v>581</v>
      </c>
      <c r="K375" t="s">
        <v>573</v>
      </c>
      <c r="L375">
        <v>39.320999100000002</v>
      </c>
      <c r="M375">
        <v>9</v>
      </c>
    </row>
    <row r="376" spans="10:13" x14ac:dyDescent="0.25">
      <c r="J376" t="s">
        <v>582</v>
      </c>
      <c r="K376" t="s">
        <v>573</v>
      </c>
      <c r="L376">
        <v>39.320999100000002</v>
      </c>
      <c r="M376">
        <v>10</v>
      </c>
    </row>
    <row r="377" spans="10:13" x14ac:dyDescent="0.25">
      <c r="J377" t="s">
        <v>583</v>
      </c>
      <c r="K377" t="s">
        <v>573</v>
      </c>
      <c r="L377">
        <v>32.767501799999998</v>
      </c>
      <c r="M377">
        <v>11</v>
      </c>
    </row>
    <row r="378" spans="10:13" x14ac:dyDescent="0.25">
      <c r="J378" t="s">
        <v>584</v>
      </c>
      <c r="K378" t="s">
        <v>573</v>
      </c>
      <c r="L378">
        <v>26.2140007</v>
      </c>
      <c r="M378">
        <v>12</v>
      </c>
    </row>
    <row r="379" spans="10:13" x14ac:dyDescent="0.25">
      <c r="J379" t="s">
        <v>585</v>
      </c>
      <c r="K379" t="s">
        <v>573</v>
      </c>
      <c r="L379">
        <v>19.660499600000001</v>
      </c>
      <c r="M379">
        <v>13</v>
      </c>
    </row>
    <row r="380" spans="10:13" x14ac:dyDescent="0.25">
      <c r="J380" t="s">
        <v>586</v>
      </c>
      <c r="K380" t="s">
        <v>573</v>
      </c>
      <c r="L380">
        <v>0</v>
      </c>
      <c r="M380">
        <v>14</v>
      </c>
    </row>
    <row r="381" spans="10:13" x14ac:dyDescent="0.25">
      <c r="J381" t="s">
        <v>587</v>
      </c>
      <c r="K381" t="s">
        <v>573</v>
      </c>
      <c r="L381">
        <v>0</v>
      </c>
      <c r="M381">
        <v>15</v>
      </c>
    </row>
    <row r="382" spans="10:13" x14ac:dyDescent="0.25">
      <c r="J382" t="s">
        <v>588</v>
      </c>
      <c r="K382" t="s">
        <v>573</v>
      </c>
      <c r="L382">
        <v>-19.660499600000001</v>
      </c>
      <c r="M382">
        <v>16</v>
      </c>
    </row>
    <row r="383" spans="10:13" x14ac:dyDescent="0.25">
      <c r="J383" t="s">
        <v>589</v>
      </c>
      <c r="K383" t="s">
        <v>573</v>
      </c>
      <c r="L383">
        <v>-19.660499600000001</v>
      </c>
      <c r="M383">
        <v>17</v>
      </c>
    </row>
    <row r="384" spans="10:13" x14ac:dyDescent="0.25">
      <c r="J384" t="s">
        <v>590</v>
      </c>
      <c r="K384" t="s">
        <v>573</v>
      </c>
      <c r="L384">
        <v>-26.2140007</v>
      </c>
      <c r="M384">
        <v>18</v>
      </c>
    </row>
    <row r="385" spans="10:13" x14ac:dyDescent="0.25">
      <c r="J385" t="s">
        <v>591</v>
      </c>
      <c r="K385" t="s">
        <v>573</v>
      </c>
      <c r="L385">
        <v>-32.767501799999998</v>
      </c>
      <c r="M385">
        <v>19</v>
      </c>
    </row>
    <row r="386" spans="10:13" x14ac:dyDescent="0.25">
      <c r="J386" t="s">
        <v>592</v>
      </c>
      <c r="K386" t="s">
        <v>573</v>
      </c>
      <c r="L386">
        <v>-26.2140007</v>
      </c>
      <c r="M386">
        <v>20</v>
      </c>
    </row>
    <row r="387" spans="10:13" x14ac:dyDescent="0.25">
      <c r="J387" t="s">
        <v>593</v>
      </c>
      <c r="K387" t="s">
        <v>573</v>
      </c>
      <c r="L387">
        <v>-26.2140007</v>
      </c>
      <c r="M387">
        <v>21</v>
      </c>
    </row>
    <row r="388" spans="10:13" x14ac:dyDescent="0.25">
      <c r="J388" t="s">
        <v>594</v>
      </c>
      <c r="K388" t="s">
        <v>573</v>
      </c>
      <c r="L388">
        <v>-26.2140007</v>
      </c>
      <c r="M388">
        <v>22</v>
      </c>
    </row>
    <row r="389" spans="10:13" x14ac:dyDescent="0.25">
      <c r="J389" t="s">
        <v>595</v>
      </c>
      <c r="K389" t="s">
        <v>573</v>
      </c>
      <c r="L389">
        <v>-19.660499600000001</v>
      </c>
      <c r="M389">
        <v>23</v>
      </c>
    </row>
    <row r="390" spans="10:13" x14ac:dyDescent="0.25">
      <c r="J390" t="s">
        <v>596</v>
      </c>
      <c r="K390" t="s">
        <v>573</v>
      </c>
      <c r="L390">
        <v>-19.660499600000001</v>
      </c>
      <c r="M390">
        <v>24</v>
      </c>
    </row>
    <row r="391" spans="10:13" x14ac:dyDescent="0.25">
      <c r="J391" t="s">
        <v>597</v>
      </c>
      <c r="K391" t="s">
        <v>573</v>
      </c>
      <c r="L391">
        <v>-26.2140007</v>
      </c>
      <c r="M391">
        <v>25</v>
      </c>
    </row>
    <row r="392" spans="10:13" x14ac:dyDescent="0.25">
      <c r="J392" t="s">
        <v>598</v>
      </c>
      <c r="K392" t="s">
        <v>573</v>
      </c>
      <c r="L392">
        <v>-32.767501799999998</v>
      </c>
      <c r="M392">
        <v>26</v>
      </c>
    </row>
    <row r="393" spans="10:13" x14ac:dyDescent="0.25">
      <c r="J393" t="s">
        <v>599</v>
      </c>
      <c r="K393" t="s">
        <v>573</v>
      </c>
      <c r="L393">
        <v>-32.767501799999998</v>
      </c>
      <c r="M393">
        <v>27</v>
      </c>
    </row>
    <row r="394" spans="10:13" x14ac:dyDescent="0.25">
      <c r="J394" t="s">
        <v>600</v>
      </c>
      <c r="K394" t="s">
        <v>573</v>
      </c>
      <c r="L394">
        <v>-39.320999100000002</v>
      </c>
      <c r="M394">
        <v>28</v>
      </c>
    </row>
    <row r="395" spans="10:13" x14ac:dyDescent="0.25">
      <c r="J395" t="s">
        <v>601</v>
      </c>
      <c r="K395" t="s">
        <v>573</v>
      </c>
      <c r="L395">
        <v>-45.874500300000001</v>
      </c>
      <c r="M395">
        <v>29</v>
      </c>
    </row>
    <row r="396" spans="10:13" x14ac:dyDescent="0.25">
      <c r="J396" t="s">
        <v>602</v>
      </c>
      <c r="K396" t="s">
        <v>573</v>
      </c>
      <c r="L396">
        <v>-45.874500300000001</v>
      </c>
      <c r="M396">
        <v>30</v>
      </c>
    </row>
    <row r="397" spans="10:13" x14ac:dyDescent="0.25">
      <c r="J397" t="s">
        <v>603</v>
      </c>
      <c r="K397" t="s">
        <v>573</v>
      </c>
      <c r="L397">
        <v>-52.428001399999999</v>
      </c>
      <c r="M397">
        <v>31</v>
      </c>
    </row>
    <row r="398" spans="10:13" x14ac:dyDescent="0.25">
      <c r="J398" t="s">
        <v>604</v>
      </c>
      <c r="K398" t="s">
        <v>573</v>
      </c>
      <c r="L398">
        <v>-52.428001399999999</v>
      </c>
      <c r="M398">
        <v>32</v>
      </c>
    </row>
    <row r="399" spans="10:13" x14ac:dyDescent="0.25">
      <c r="J399" t="s">
        <v>605</v>
      </c>
      <c r="K399" t="s">
        <v>573</v>
      </c>
      <c r="L399">
        <v>-52.428001399999999</v>
      </c>
      <c r="M399">
        <v>33</v>
      </c>
    </row>
    <row r="400" spans="10:13" x14ac:dyDescent="0.25">
      <c r="J400" t="s">
        <v>606</v>
      </c>
      <c r="K400" t="s">
        <v>573</v>
      </c>
      <c r="L400">
        <v>-52.428001399999999</v>
      </c>
      <c r="M400">
        <v>34</v>
      </c>
    </row>
    <row r="401" spans="10:13" x14ac:dyDescent="0.25">
      <c r="J401" t="s">
        <v>607</v>
      </c>
      <c r="K401" t="s">
        <v>573</v>
      </c>
      <c r="L401">
        <v>-39.320999100000002</v>
      </c>
      <c r="M401">
        <v>35</v>
      </c>
    </row>
    <row r="402" spans="10:13" x14ac:dyDescent="0.25">
      <c r="J402" t="s">
        <v>608</v>
      </c>
      <c r="K402" t="s">
        <v>573</v>
      </c>
      <c r="L402">
        <v>-39.320999100000002</v>
      </c>
      <c r="M402">
        <v>36</v>
      </c>
    </row>
    <row r="403" spans="10:13" x14ac:dyDescent="0.25">
      <c r="J403" t="s">
        <v>609</v>
      </c>
      <c r="K403" t="s">
        <v>573</v>
      </c>
      <c r="L403">
        <v>-39.320999100000002</v>
      </c>
      <c r="M403">
        <v>37</v>
      </c>
    </row>
    <row r="404" spans="10:13" x14ac:dyDescent="0.25">
      <c r="J404" t="s">
        <v>610</v>
      </c>
      <c r="K404" t="s">
        <v>573</v>
      </c>
      <c r="L404">
        <v>-32.767501799999998</v>
      </c>
      <c r="M404">
        <v>38</v>
      </c>
    </row>
    <row r="405" spans="10:13" x14ac:dyDescent="0.25">
      <c r="J405" t="s">
        <v>611</v>
      </c>
      <c r="K405" t="s">
        <v>573</v>
      </c>
      <c r="L405">
        <v>-26.2140007</v>
      </c>
      <c r="M405">
        <v>39</v>
      </c>
    </row>
    <row r="406" spans="10:13" x14ac:dyDescent="0.25">
      <c r="J406" t="s">
        <v>612</v>
      </c>
      <c r="K406" t="s">
        <v>573</v>
      </c>
      <c r="L406">
        <v>-19.660499600000001</v>
      </c>
      <c r="M406">
        <v>40</v>
      </c>
    </row>
    <row r="407" spans="10:13" x14ac:dyDescent="0.25">
      <c r="J407" t="s">
        <v>613</v>
      </c>
      <c r="K407" t="s">
        <v>573</v>
      </c>
      <c r="L407">
        <v>-19.660499600000001</v>
      </c>
      <c r="M407">
        <v>41</v>
      </c>
    </row>
    <row r="408" spans="10:13" x14ac:dyDescent="0.25">
      <c r="J408" t="s">
        <v>614</v>
      </c>
      <c r="K408" t="s">
        <v>573</v>
      </c>
      <c r="L408">
        <v>-19.660499600000001</v>
      </c>
      <c r="M408">
        <v>42</v>
      </c>
    </row>
    <row r="409" spans="10:13" x14ac:dyDescent="0.25">
      <c r="J409" t="s">
        <v>615</v>
      </c>
      <c r="K409" t="s">
        <v>573</v>
      </c>
      <c r="L409">
        <v>-26.2140007</v>
      </c>
      <c r="M409">
        <v>43</v>
      </c>
    </row>
    <row r="410" spans="10:13" x14ac:dyDescent="0.25">
      <c r="J410" t="s">
        <v>616</v>
      </c>
      <c r="K410" t="s">
        <v>573</v>
      </c>
      <c r="L410">
        <v>-26.2140007</v>
      </c>
      <c r="M410">
        <v>44</v>
      </c>
    </row>
    <row r="411" spans="10:13" x14ac:dyDescent="0.25">
      <c r="J411" t="s">
        <v>617</v>
      </c>
      <c r="K411" t="s">
        <v>573</v>
      </c>
      <c r="L411">
        <v>-26.2140007</v>
      </c>
      <c r="M411">
        <v>45</v>
      </c>
    </row>
    <row r="412" spans="10:13" x14ac:dyDescent="0.25">
      <c r="J412" t="s">
        <v>618</v>
      </c>
      <c r="K412" t="s">
        <v>573</v>
      </c>
      <c r="L412">
        <v>-32.767501799999998</v>
      </c>
      <c r="M412">
        <v>46</v>
      </c>
    </row>
    <row r="413" spans="10:13" x14ac:dyDescent="0.25">
      <c r="J413" t="s">
        <v>619</v>
      </c>
      <c r="K413" t="s">
        <v>573</v>
      </c>
      <c r="L413">
        <v>-39.320999100000002</v>
      </c>
      <c r="M413">
        <v>47</v>
      </c>
    </row>
    <row r="414" spans="10:13" x14ac:dyDescent="0.25">
      <c r="J414" t="s">
        <v>620</v>
      </c>
      <c r="K414" t="s">
        <v>573</v>
      </c>
      <c r="L414">
        <v>-45.874500300000001</v>
      </c>
      <c r="M414">
        <v>48</v>
      </c>
    </row>
    <row r="415" spans="10:13" x14ac:dyDescent="0.25">
      <c r="J415" t="s">
        <v>621</v>
      </c>
      <c r="K415" t="s">
        <v>573</v>
      </c>
      <c r="L415">
        <v>-45.874500300000001</v>
      </c>
      <c r="M415">
        <v>49</v>
      </c>
    </row>
    <row r="416" spans="10:13" x14ac:dyDescent="0.25">
      <c r="J416" t="s">
        <v>622</v>
      </c>
      <c r="K416" t="s">
        <v>573</v>
      </c>
      <c r="L416">
        <v>-39.320999100000002</v>
      </c>
      <c r="M416">
        <v>50</v>
      </c>
    </row>
    <row r="417" spans="10:13" x14ac:dyDescent="0.25">
      <c r="J417" t="s">
        <v>623</v>
      </c>
      <c r="K417" t="s">
        <v>573</v>
      </c>
      <c r="L417">
        <v>-32.767501799999998</v>
      </c>
      <c r="M417">
        <v>51</v>
      </c>
    </row>
    <row r="418" spans="10:13" x14ac:dyDescent="0.25">
      <c r="J418" t="s">
        <v>624</v>
      </c>
      <c r="K418" t="s">
        <v>573</v>
      </c>
      <c r="L418">
        <v>-26.2140007</v>
      </c>
      <c r="M418">
        <v>52</v>
      </c>
    </row>
    <row r="419" spans="10:13" x14ac:dyDescent="0.25">
      <c r="J419" t="s">
        <v>625</v>
      </c>
      <c r="K419" t="s">
        <v>573</v>
      </c>
      <c r="L419">
        <v>-13.1070004</v>
      </c>
      <c r="M419">
        <v>53</v>
      </c>
    </row>
    <row r="420" spans="10:13" x14ac:dyDescent="0.25">
      <c r="J420" t="s">
        <v>626</v>
      </c>
      <c r="K420" t="s">
        <v>573</v>
      </c>
      <c r="L420">
        <v>-6.5535001800000003</v>
      </c>
      <c r="M420">
        <v>54</v>
      </c>
    </row>
    <row r="421" spans="10:13" x14ac:dyDescent="0.25">
      <c r="J421" t="s">
        <v>627</v>
      </c>
      <c r="K421" t="s">
        <v>573</v>
      </c>
      <c r="L421">
        <v>-52.428001399999999</v>
      </c>
      <c r="M421">
        <v>55</v>
      </c>
    </row>
    <row r="422" spans="10:13" x14ac:dyDescent="0.25">
      <c r="J422" t="s">
        <v>628</v>
      </c>
      <c r="K422" t="s">
        <v>573</v>
      </c>
      <c r="L422">
        <v>-52.428001399999999</v>
      </c>
      <c r="M422">
        <v>56</v>
      </c>
    </row>
    <row r="423" spans="10:13" x14ac:dyDescent="0.25">
      <c r="J423" t="s">
        <v>629</v>
      </c>
      <c r="K423" t="s">
        <v>573</v>
      </c>
      <c r="L423">
        <v>-45.874500300000001</v>
      </c>
      <c r="M423">
        <v>57</v>
      </c>
    </row>
    <row r="424" spans="10:13" x14ac:dyDescent="0.25">
      <c r="J424" t="s">
        <v>630</v>
      </c>
      <c r="K424" t="s">
        <v>573</v>
      </c>
      <c r="L424">
        <v>-39.320999100000002</v>
      </c>
      <c r="M424">
        <v>58</v>
      </c>
    </row>
    <row r="425" spans="10:13" x14ac:dyDescent="0.25">
      <c r="J425" t="s">
        <v>631</v>
      </c>
      <c r="K425" t="s">
        <v>573</v>
      </c>
      <c r="L425">
        <v>-32.767501799999998</v>
      </c>
      <c r="M425">
        <v>59</v>
      </c>
    </row>
    <row r="426" spans="10:13" x14ac:dyDescent="0.25">
      <c r="J426" t="s">
        <v>632</v>
      </c>
      <c r="K426" t="s">
        <v>573</v>
      </c>
      <c r="L426">
        <v>-26.2140007</v>
      </c>
      <c r="M426">
        <v>60</v>
      </c>
    </row>
    <row r="427" spans="10:13" x14ac:dyDescent="0.25">
      <c r="J427" t="s">
        <v>633</v>
      </c>
      <c r="K427" t="s">
        <v>573</v>
      </c>
      <c r="L427">
        <v>-19.660499600000001</v>
      </c>
      <c r="M427">
        <v>61</v>
      </c>
    </row>
    <row r="428" spans="10:13" x14ac:dyDescent="0.25">
      <c r="J428" t="s">
        <v>634</v>
      </c>
      <c r="K428" t="s">
        <v>573</v>
      </c>
      <c r="L428">
        <v>-26.2140007</v>
      </c>
      <c r="M428">
        <v>62</v>
      </c>
    </row>
    <row r="429" spans="10:13" x14ac:dyDescent="0.25">
      <c r="J429" t="s">
        <v>635</v>
      </c>
      <c r="K429" t="s">
        <v>573</v>
      </c>
      <c r="L429">
        <v>-19.660499600000001</v>
      </c>
      <c r="M429">
        <v>63</v>
      </c>
    </row>
    <row r="430" spans="10:13" x14ac:dyDescent="0.25">
      <c r="J430" t="s">
        <v>636</v>
      </c>
      <c r="K430" t="s">
        <v>573</v>
      </c>
      <c r="L430">
        <v>-19.660499600000001</v>
      </c>
      <c r="M430">
        <v>64</v>
      </c>
    </row>
    <row r="431" spans="10:13" x14ac:dyDescent="0.25">
      <c r="J431" t="s">
        <v>637</v>
      </c>
      <c r="K431" t="s">
        <v>573</v>
      </c>
      <c r="L431">
        <v>-26.2140007</v>
      </c>
      <c r="M431">
        <v>65</v>
      </c>
    </row>
    <row r="432" spans="10:13" x14ac:dyDescent="0.25">
      <c r="J432" t="s">
        <v>638</v>
      </c>
      <c r="K432" t="s">
        <v>573</v>
      </c>
      <c r="L432">
        <v>-32.767501799999998</v>
      </c>
      <c r="M432">
        <v>66</v>
      </c>
    </row>
    <row r="433" spans="10:13" x14ac:dyDescent="0.25">
      <c r="J433" t="s">
        <v>639</v>
      </c>
      <c r="K433" t="s">
        <v>573</v>
      </c>
      <c r="L433">
        <v>-32.767501799999998</v>
      </c>
      <c r="M433">
        <v>67</v>
      </c>
    </row>
    <row r="434" spans="10:13" x14ac:dyDescent="0.25">
      <c r="J434" t="s">
        <v>640</v>
      </c>
      <c r="K434" t="s">
        <v>573</v>
      </c>
      <c r="L434">
        <v>-45.874500300000001</v>
      </c>
      <c r="M434">
        <v>68</v>
      </c>
    </row>
    <row r="435" spans="10:13" x14ac:dyDescent="0.25">
      <c r="J435" t="s">
        <v>641</v>
      </c>
      <c r="K435" t="s">
        <v>573</v>
      </c>
      <c r="L435">
        <v>-45.874500300000001</v>
      </c>
      <c r="M435">
        <v>69</v>
      </c>
    </row>
    <row r="436" spans="10:13" x14ac:dyDescent="0.25">
      <c r="J436" t="s">
        <v>642</v>
      </c>
      <c r="K436" t="s">
        <v>573</v>
      </c>
      <c r="L436">
        <v>-45.874500300000001</v>
      </c>
      <c r="M436">
        <v>70</v>
      </c>
    </row>
    <row r="437" spans="10:13" x14ac:dyDescent="0.25">
      <c r="J437" t="s">
        <v>643</v>
      </c>
      <c r="K437" t="s">
        <v>573</v>
      </c>
      <c r="L437">
        <v>-45.874500300000001</v>
      </c>
      <c r="M437">
        <v>71</v>
      </c>
    </row>
    <row r="438" spans="10:13" x14ac:dyDescent="0.25">
      <c r="J438" t="s">
        <v>644</v>
      </c>
      <c r="K438" t="s">
        <v>573</v>
      </c>
      <c r="L438">
        <v>-26.2140007</v>
      </c>
      <c r="M438">
        <v>72</v>
      </c>
    </row>
    <row r="439" spans="10:13" x14ac:dyDescent="0.25">
      <c r="J439" t="s">
        <v>645</v>
      </c>
      <c r="K439" t="s">
        <v>573</v>
      </c>
      <c r="L439">
        <v>-26.2140007</v>
      </c>
      <c r="M439">
        <v>73</v>
      </c>
    </row>
    <row r="440" spans="10:13" x14ac:dyDescent="0.25">
      <c r="J440" t="s">
        <v>646</v>
      </c>
      <c r="K440" t="s">
        <v>573</v>
      </c>
      <c r="L440">
        <v>-19.660499600000001</v>
      </c>
      <c r="M440">
        <v>74</v>
      </c>
    </row>
    <row r="441" spans="10:13" x14ac:dyDescent="0.25">
      <c r="J441" t="s">
        <v>647</v>
      </c>
      <c r="K441" t="s">
        <v>573</v>
      </c>
      <c r="L441">
        <v>0</v>
      </c>
      <c r="M441">
        <v>75</v>
      </c>
    </row>
    <row r="442" spans="10:13" x14ac:dyDescent="0.25">
      <c r="J442" t="s">
        <v>648</v>
      </c>
      <c r="K442" t="s">
        <v>573</v>
      </c>
      <c r="L442">
        <v>6.5535001800000003</v>
      </c>
      <c r="M442">
        <v>76</v>
      </c>
    </row>
    <row r="443" spans="10:13" x14ac:dyDescent="0.25">
      <c r="J443" t="s">
        <v>649</v>
      </c>
      <c r="K443" t="s">
        <v>573</v>
      </c>
      <c r="L443">
        <v>19.660499600000001</v>
      </c>
      <c r="M443">
        <v>77</v>
      </c>
    </row>
    <row r="444" spans="10:13" x14ac:dyDescent="0.25">
      <c r="J444" t="s">
        <v>650</v>
      </c>
      <c r="K444" t="s">
        <v>573</v>
      </c>
      <c r="L444">
        <v>19.660499600000001</v>
      </c>
      <c r="M444">
        <v>78</v>
      </c>
    </row>
    <row r="445" spans="10:13" x14ac:dyDescent="0.25">
      <c r="J445" t="s">
        <v>651</v>
      </c>
      <c r="K445" t="s">
        <v>573</v>
      </c>
      <c r="L445">
        <v>26.2140007</v>
      </c>
      <c r="M445">
        <v>79</v>
      </c>
    </row>
    <row r="446" spans="10:13" x14ac:dyDescent="0.25">
      <c r="J446" t="s">
        <v>652</v>
      </c>
      <c r="K446" t="s">
        <v>573</v>
      </c>
      <c r="L446">
        <v>26.2140007</v>
      </c>
      <c r="M446">
        <v>80</v>
      </c>
    </row>
    <row r="447" spans="10:13" x14ac:dyDescent="0.25">
      <c r="J447" t="s">
        <v>653</v>
      </c>
      <c r="K447" t="s">
        <v>573</v>
      </c>
      <c r="L447">
        <v>26.2140007</v>
      </c>
      <c r="M447">
        <v>81</v>
      </c>
    </row>
    <row r="448" spans="10:13" x14ac:dyDescent="0.25">
      <c r="J448" t="s">
        <v>654</v>
      </c>
      <c r="K448" t="s">
        <v>573</v>
      </c>
      <c r="L448">
        <v>32.767501799999998</v>
      </c>
      <c r="M448">
        <v>82</v>
      </c>
    </row>
    <row r="449" spans="10:13" x14ac:dyDescent="0.25">
      <c r="J449" t="s">
        <v>655</v>
      </c>
      <c r="K449" t="s">
        <v>573</v>
      </c>
      <c r="L449">
        <v>26.2140007</v>
      </c>
      <c r="M449">
        <v>83</v>
      </c>
    </row>
    <row r="450" spans="10:13" x14ac:dyDescent="0.25">
      <c r="J450" t="s">
        <v>656</v>
      </c>
      <c r="K450" t="s">
        <v>573</v>
      </c>
      <c r="L450">
        <v>26.2140007</v>
      </c>
      <c r="M450">
        <v>84</v>
      </c>
    </row>
    <row r="451" spans="10:13" x14ac:dyDescent="0.25">
      <c r="J451" t="s">
        <v>657</v>
      </c>
      <c r="K451" t="s">
        <v>573</v>
      </c>
      <c r="L451">
        <v>32.767501799999998</v>
      </c>
      <c r="M451">
        <v>85</v>
      </c>
    </row>
    <row r="452" spans="10:13" x14ac:dyDescent="0.25">
      <c r="J452" t="s">
        <v>658</v>
      </c>
      <c r="K452" t="s">
        <v>573</v>
      </c>
      <c r="L452">
        <v>32.767501799999998</v>
      </c>
      <c r="M452">
        <v>86</v>
      </c>
    </row>
    <row r="453" spans="10:13" x14ac:dyDescent="0.25">
      <c r="J453" t="s">
        <v>659</v>
      </c>
      <c r="K453" t="s">
        <v>573</v>
      </c>
      <c r="L453">
        <v>32.767501799999998</v>
      </c>
      <c r="M453">
        <v>87</v>
      </c>
    </row>
    <row r="454" spans="10:13" x14ac:dyDescent="0.25">
      <c r="J454" t="s">
        <v>660</v>
      </c>
      <c r="K454" t="s">
        <v>573</v>
      </c>
      <c r="L454">
        <v>39.320999100000002</v>
      </c>
      <c r="M454">
        <v>88</v>
      </c>
    </row>
    <row r="455" spans="10:13" x14ac:dyDescent="0.25">
      <c r="J455" t="s">
        <v>661</v>
      </c>
      <c r="K455" t="s">
        <v>573</v>
      </c>
      <c r="L455">
        <v>39.320999100000002</v>
      </c>
      <c r="M455">
        <v>89</v>
      </c>
    </row>
    <row r="456" spans="10:13" x14ac:dyDescent="0.25">
      <c r="J456" t="s">
        <v>662</v>
      </c>
      <c r="K456" t="s">
        <v>573</v>
      </c>
      <c r="L456">
        <v>45.874500300000001</v>
      </c>
      <c r="M456">
        <v>90</v>
      </c>
    </row>
    <row r="457" spans="10:13" x14ac:dyDescent="0.25">
      <c r="J457" t="s">
        <v>663</v>
      </c>
      <c r="K457" t="s">
        <v>573</v>
      </c>
      <c r="L457">
        <v>52.428001399999999</v>
      </c>
      <c r="M457">
        <v>91</v>
      </c>
    </row>
    <row r="458" spans="10:13" x14ac:dyDescent="0.25">
      <c r="J458" t="s">
        <v>664</v>
      </c>
      <c r="K458" t="s">
        <v>573</v>
      </c>
      <c r="L458">
        <v>52.428001399999999</v>
      </c>
      <c r="M458">
        <v>92</v>
      </c>
    </row>
    <row r="459" spans="10:13" x14ac:dyDescent="0.25">
      <c r="J459" t="s">
        <v>665</v>
      </c>
      <c r="K459" t="s">
        <v>573</v>
      </c>
      <c r="L459">
        <v>52.428001399999999</v>
      </c>
      <c r="M459">
        <v>93</v>
      </c>
    </row>
    <row r="460" spans="10:13" x14ac:dyDescent="0.25">
      <c r="J460" t="s">
        <v>666</v>
      </c>
      <c r="K460" t="s">
        <v>573</v>
      </c>
      <c r="L460">
        <v>58.981498700000003</v>
      </c>
      <c r="M460">
        <v>94</v>
      </c>
    </row>
    <row r="461" spans="10:13" x14ac:dyDescent="0.25">
      <c r="J461" t="s">
        <v>667</v>
      </c>
      <c r="K461" t="s">
        <v>573</v>
      </c>
      <c r="L461">
        <v>52.428001399999999</v>
      </c>
      <c r="M461">
        <v>95</v>
      </c>
    </row>
    <row r="462" spans="10:13" x14ac:dyDescent="0.25">
      <c r="J462" t="s">
        <v>668</v>
      </c>
      <c r="K462" t="s">
        <v>573</v>
      </c>
      <c r="L462">
        <v>45.874500300000001</v>
      </c>
      <c r="M462">
        <v>96</v>
      </c>
    </row>
    <row r="463" spans="10:13" x14ac:dyDescent="0.25">
      <c r="J463" t="s">
        <v>669</v>
      </c>
      <c r="K463" t="s">
        <v>573</v>
      </c>
      <c r="L463">
        <v>45.874500300000001</v>
      </c>
      <c r="M463">
        <v>97</v>
      </c>
    </row>
    <row r="464" spans="10:13" x14ac:dyDescent="0.25">
      <c r="J464" t="s">
        <v>670</v>
      </c>
      <c r="K464" t="s">
        <v>573</v>
      </c>
      <c r="L464">
        <v>32.767501799999998</v>
      </c>
      <c r="M464">
        <v>98</v>
      </c>
    </row>
    <row r="465" spans="10:13" x14ac:dyDescent="0.25">
      <c r="J465" t="s">
        <v>671</v>
      </c>
      <c r="K465" t="s">
        <v>573</v>
      </c>
      <c r="L465">
        <v>26.2140007</v>
      </c>
      <c r="M465">
        <v>99</v>
      </c>
    </row>
    <row r="466" spans="10:13" x14ac:dyDescent="0.25">
      <c r="J466" t="s">
        <v>672</v>
      </c>
      <c r="K466" t="s">
        <v>573</v>
      </c>
      <c r="L466">
        <v>26.2140007</v>
      </c>
      <c r="M466">
        <v>100</v>
      </c>
    </row>
  </sheetData>
  <mergeCells count="1">
    <mergeCell ref="E101:F101"/>
  </mergeCells>
  <pageMargins left="0.7" right="0.7" top="0.75" bottom="0.75" header="0.3" footer="0.3"/>
  <pageSetup orientation="portrait" r:id="rId1"/>
  <ignoredErrors>
    <ignoredError sqref="D53 D54:D60 D61:D63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8"/>
  <sheetViews>
    <sheetView topLeftCell="A7" workbookViewId="0">
      <selection activeCell="J11" sqref="J11"/>
    </sheetView>
  </sheetViews>
  <sheetFormatPr defaultRowHeight="15" x14ac:dyDescent="0.25"/>
  <cols>
    <col min="2" max="2" width="31.42578125" customWidth="1"/>
    <col min="3" max="3" width="16.85546875" customWidth="1"/>
    <col min="4" max="4" width="19.7109375" customWidth="1"/>
  </cols>
  <sheetData>
    <row r="3" spans="2:13" x14ac:dyDescent="0.25">
      <c r="B3" s="99" t="s">
        <v>235</v>
      </c>
    </row>
    <row r="4" spans="2:13" x14ac:dyDescent="0.25">
      <c r="B4" t="s">
        <v>236</v>
      </c>
      <c r="C4">
        <v>256</v>
      </c>
      <c r="E4" s="204" t="s">
        <v>778</v>
      </c>
    </row>
    <row r="5" spans="2:13" x14ac:dyDescent="0.25">
      <c r="B5" t="s">
        <v>237</v>
      </c>
      <c r="C5">
        <v>0</v>
      </c>
    </row>
    <row r="8" spans="2:13" x14ac:dyDescent="0.25">
      <c r="B8" s="99" t="s">
        <v>238</v>
      </c>
    </row>
    <row r="9" spans="2:13" x14ac:dyDescent="0.25">
      <c r="B9" t="s">
        <v>239</v>
      </c>
      <c r="C9">
        <v>10</v>
      </c>
    </row>
    <row r="10" spans="2:13" x14ac:dyDescent="0.25">
      <c r="G10" t="s">
        <v>779</v>
      </c>
      <c r="I10" t="s">
        <v>780</v>
      </c>
    </row>
    <row r="11" spans="2:13" x14ac:dyDescent="0.25">
      <c r="B11" t="s">
        <v>240</v>
      </c>
      <c r="C11" t="s">
        <v>241</v>
      </c>
      <c r="D11" t="s">
        <v>242</v>
      </c>
      <c r="G11" t="s">
        <v>781</v>
      </c>
      <c r="I11" t="s">
        <v>788</v>
      </c>
    </row>
    <row r="12" spans="2:13" x14ac:dyDescent="0.25">
      <c r="B12">
        <v>0</v>
      </c>
      <c r="C12">
        <f>EEPROM_START_ADDRESS</f>
        <v>0</v>
      </c>
      <c r="D12">
        <f t="shared" ref="D12:D18" si="0">C12+(SLOT_EEPROM_PAGES*EEPROM_25LC1024_PAGE_SIZE)</f>
        <v>2560</v>
      </c>
      <c r="G12" t="s">
        <v>782</v>
      </c>
    </row>
    <row r="13" spans="2:13" x14ac:dyDescent="0.25">
      <c r="B13">
        <v>1</v>
      </c>
      <c r="C13">
        <f t="shared" ref="C13:C18" si="1">D12</f>
        <v>2560</v>
      </c>
      <c r="D13">
        <f t="shared" si="0"/>
        <v>5120</v>
      </c>
    </row>
    <row r="14" spans="2:13" x14ac:dyDescent="0.25">
      <c r="B14">
        <v>2</v>
      </c>
      <c r="C14">
        <f t="shared" si="1"/>
        <v>5120</v>
      </c>
      <c r="D14">
        <f t="shared" si="0"/>
        <v>7680</v>
      </c>
      <c r="G14" t="s">
        <v>783</v>
      </c>
      <c r="J14" t="s">
        <v>786</v>
      </c>
    </row>
    <row r="15" spans="2:13" x14ac:dyDescent="0.25">
      <c r="B15">
        <v>3</v>
      </c>
      <c r="C15">
        <f t="shared" si="1"/>
        <v>7680</v>
      </c>
      <c r="D15">
        <f t="shared" si="0"/>
        <v>10240</v>
      </c>
      <c r="G15" t="s">
        <v>784</v>
      </c>
      <c r="H15" t="s">
        <v>785</v>
      </c>
      <c r="J15">
        <v>0</v>
      </c>
      <c r="K15">
        <v>1</v>
      </c>
      <c r="L15">
        <v>2</v>
      </c>
      <c r="M15">
        <v>3</v>
      </c>
    </row>
    <row r="16" spans="2:13" x14ac:dyDescent="0.25">
      <c r="B16">
        <v>4</v>
      </c>
      <c r="C16">
        <f t="shared" si="1"/>
        <v>10240</v>
      </c>
      <c r="D16">
        <f t="shared" si="0"/>
        <v>12800</v>
      </c>
      <c r="G16">
        <v>0</v>
      </c>
      <c r="H16">
        <v>0</v>
      </c>
    </row>
    <row r="17" spans="2:13" x14ac:dyDescent="0.25">
      <c r="B17">
        <v>5</v>
      </c>
      <c r="C17">
        <f t="shared" si="1"/>
        <v>12800</v>
      </c>
      <c r="D17">
        <f t="shared" si="0"/>
        <v>15360</v>
      </c>
      <c r="G17">
        <v>0</v>
      </c>
      <c r="H17">
        <v>1</v>
      </c>
      <c r="M17" t="s">
        <v>787</v>
      </c>
    </row>
    <row r="18" spans="2:13" x14ac:dyDescent="0.25">
      <c r="B18">
        <v>6</v>
      </c>
      <c r="C18">
        <f t="shared" si="1"/>
        <v>15360</v>
      </c>
      <c r="D18">
        <f t="shared" si="0"/>
        <v>17920</v>
      </c>
      <c r="G18">
        <v>1</v>
      </c>
      <c r="H18">
        <v>0</v>
      </c>
      <c r="L18" t="s">
        <v>787</v>
      </c>
      <c r="M18" t="s">
        <v>787</v>
      </c>
    </row>
    <row r="19" spans="2:13" x14ac:dyDescent="0.25">
      <c r="G19">
        <v>1</v>
      </c>
      <c r="H19">
        <v>1</v>
      </c>
      <c r="J19" t="s">
        <v>787</v>
      </c>
      <c r="K19" t="s">
        <v>787</v>
      </c>
      <c r="L19" t="s">
        <v>787</v>
      </c>
      <c r="M19" t="s">
        <v>787</v>
      </c>
    </row>
    <row r="21" spans="2:13" x14ac:dyDescent="0.25">
      <c r="B21" s="99" t="s">
        <v>243</v>
      </c>
    </row>
    <row r="22" spans="2:13" x14ac:dyDescent="0.25">
      <c r="B22" t="s">
        <v>246</v>
      </c>
      <c r="C22">
        <v>1</v>
      </c>
    </row>
    <row r="23" spans="2:13" x14ac:dyDescent="0.25">
      <c r="B23" t="s">
        <v>247</v>
      </c>
      <c r="C23">
        <f>7</f>
        <v>7</v>
      </c>
    </row>
    <row r="26" spans="2:13" x14ac:dyDescent="0.25">
      <c r="B26" t="s">
        <v>244</v>
      </c>
      <c r="C26">
        <f>D18</f>
        <v>17920</v>
      </c>
    </row>
    <row r="27" spans="2:13" x14ac:dyDescent="0.25">
      <c r="B27" t="s">
        <v>245</v>
      </c>
      <c r="C27">
        <f>USB_NUM_PORTS</f>
        <v>7</v>
      </c>
    </row>
    <row r="28" spans="2:13" x14ac:dyDescent="0.25">
      <c r="B28" t="s">
        <v>248</v>
      </c>
      <c r="C28">
        <f>(C26+(C27*EEPROM_25LC1024_PAGE_SIZE*C27))</f>
        <v>30464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C204-F03F-4BF7-ACC2-9E46B9ED2136}">
  <dimension ref="B1:U63"/>
  <sheetViews>
    <sheetView workbookViewId="0">
      <selection activeCell="H24" sqref="H24"/>
    </sheetView>
  </sheetViews>
  <sheetFormatPr defaultRowHeight="15" x14ac:dyDescent="0.25"/>
  <cols>
    <col min="2" max="2" width="16.28515625" bestFit="1" customWidth="1"/>
    <col min="8" max="8" width="21" bestFit="1" customWidth="1"/>
    <col min="9" max="9" width="14.140625" bestFit="1" customWidth="1"/>
    <col min="11" max="11" width="20" bestFit="1" customWidth="1"/>
  </cols>
  <sheetData>
    <row r="1" spans="2:12" x14ac:dyDescent="0.25">
      <c r="K1" t="s">
        <v>800</v>
      </c>
      <c r="L1">
        <v>256</v>
      </c>
    </row>
    <row r="2" spans="2:12" x14ac:dyDescent="0.25">
      <c r="C2" t="s">
        <v>794</v>
      </c>
      <c r="E2" t="s">
        <v>792</v>
      </c>
      <c r="F2" t="s">
        <v>793</v>
      </c>
      <c r="H2" t="s">
        <v>799</v>
      </c>
      <c r="I2" t="s">
        <v>801</v>
      </c>
      <c r="K2" t="s">
        <v>795</v>
      </c>
      <c r="L2">
        <v>10</v>
      </c>
    </row>
    <row r="3" spans="2:12" x14ac:dyDescent="0.25">
      <c r="B3" t="s">
        <v>790</v>
      </c>
      <c r="C3">
        <v>1</v>
      </c>
      <c r="E3">
        <v>0</v>
      </c>
      <c r="F3">
        <f>E3+C3-1</f>
        <v>0</v>
      </c>
      <c r="H3">
        <f>$L$1*(F3-E3+1)</f>
        <v>256</v>
      </c>
      <c r="I3">
        <f>H3/1</f>
        <v>256</v>
      </c>
      <c r="K3" t="s">
        <v>796</v>
      </c>
      <c r="L3">
        <v>7</v>
      </c>
    </row>
    <row r="4" spans="2:12" x14ac:dyDescent="0.25">
      <c r="B4" t="s">
        <v>238</v>
      </c>
      <c r="C4">
        <f>$L$2*$L$3</f>
        <v>70</v>
      </c>
      <c r="E4">
        <f>F3+1</f>
        <v>1</v>
      </c>
      <c r="F4">
        <f t="shared" ref="F4:F6" si="0">E4+C4-1</f>
        <v>70</v>
      </c>
      <c r="H4">
        <f t="shared" ref="H4:H6" si="1">$L$1*(F4-E4+1)</f>
        <v>17920</v>
      </c>
      <c r="I4">
        <f>H4/L3</f>
        <v>2560</v>
      </c>
      <c r="K4" t="s">
        <v>797</v>
      </c>
      <c r="L4">
        <v>7</v>
      </c>
    </row>
    <row r="5" spans="2:12" x14ac:dyDescent="0.25">
      <c r="B5" t="s">
        <v>789</v>
      </c>
      <c r="C5">
        <f>$L$4*$L$5</f>
        <v>7</v>
      </c>
      <c r="E5">
        <f t="shared" ref="E5:E6" si="2">F4+1</f>
        <v>71</v>
      </c>
      <c r="F5">
        <f t="shared" si="0"/>
        <v>77</v>
      </c>
      <c r="H5">
        <f t="shared" si="1"/>
        <v>1792</v>
      </c>
      <c r="I5">
        <f>H5/L4</f>
        <v>256</v>
      </c>
      <c r="K5" t="s">
        <v>798</v>
      </c>
      <c r="L5">
        <v>1</v>
      </c>
    </row>
    <row r="6" spans="2:12" x14ac:dyDescent="0.25">
      <c r="B6" t="s">
        <v>791</v>
      </c>
      <c r="C6">
        <v>1</v>
      </c>
      <c r="E6">
        <f t="shared" si="2"/>
        <v>78</v>
      </c>
      <c r="F6">
        <f t="shared" si="0"/>
        <v>78</v>
      </c>
      <c r="H6">
        <f t="shared" si="1"/>
        <v>256</v>
      </c>
      <c r="I6">
        <f>H6/1</f>
        <v>256</v>
      </c>
    </row>
    <row r="19" spans="2:21" x14ac:dyDescent="0.25">
      <c r="N19" s="220" t="s">
        <v>803</v>
      </c>
      <c r="O19" s="220"/>
      <c r="P19" s="220"/>
      <c r="Q19" s="220"/>
      <c r="R19" s="220"/>
      <c r="S19" s="220"/>
      <c r="T19" s="220"/>
      <c r="U19" s="220"/>
    </row>
    <row r="20" spans="2:21" x14ac:dyDescent="0.25">
      <c r="N20" t="s">
        <v>786</v>
      </c>
      <c r="O20" s="220" t="s">
        <v>804</v>
      </c>
      <c r="P20" s="220"/>
      <c r="Q20" s="220"/>
      <c r="R20" s="220"/>
      <c r="S20" s="220"/>
      <c r="T20" s="220"/>
      <c r="U20" s="220"/>
    </row>
    <row r="21" spans="2:21" x14ac:dyDescent="0.25">
      <c r="B21" t="s">
        <v>802</v>
      </c>
      <c r="N21" t="s">
        <v>805</v>
      </c>
      <c r="O21" t="s">
        <v>806</v>
      </c>
    </row>
    <row r="34" spans="2:16" x14ac:dyDescent="0.25">
      <c r="N34" t="s">
        <v>814</v>
      </c>
      <c r="P34" t="s">
        <v>815</v>
      </c>
    </row>
    <row r="35" spans="2:16" x14ac:dyDescent="0.25">
      <c r="N35">
        <v>1</v>
      </c>
      <c r="P35">
        <f>FLOOR($L$1/(N35+3),1)</f>
        <v>64</v>
      </c>
    </row>
    <row r="36" spans="2:16" x14ac:dyDescent="0.25">
      <c r="N36">
        <v>2</v>
      </c>
      <c r="P36">
        <f t="shared" ref="P36:P63" si="3">FLOOR($L$1/(N36+3),1)</f>
        <v>51</v>
      </c>
    </row>
    <row r="37" spans="2:16" x14ac:dyDescent="0.25">
      <c r="N37">
        <v>3</v>
      </c>
      <c r="P37">
        <f t="shared" si="3"/>
        <v>42</v>
      </c>
    </row>
    <row r="38" spans="2:16" x14ac:dyDescent="0.25">
      <c r="C38" t="s">
        <v>813</v>
      </c>
      <c r="N38">
        <v>4</v>
      </c>
      <c r="P38">
        <f t="shared" si="3"/>
        <v>36</v>
      </c>
    </row>
    <row r="39" spans="2:16" x14ac:dyDescent="0.25">
      <c r="B39" t="s">
        <v>807</v>
      </c>
      <c r="C39">
        <f>SUM(C40:C44)</f>
        <v>22</v>
      </c>
      <c r="G39">
        <f>FLOOR($L$1/(C39+3),1)</f>
        <v>10</v>
      </c>
      <c r="N39">
        <v>5</v>
      </c>
      <c r="P39">
        <f t="shared" si="3"/>
        <v>32</v>
      </c>
    </row>
    <row r="40" spans="2:16" x14ac:dyDescent="0.25">
      <c r="B40" t="s">
        <v>808</v>
      </c>
      <c r="C40">
        <v>1</v>
      </c>
      <c r="N40">
        <v>6</v>
      </c>
      <c r="P40">
        <f t="shared" si="3"/>
        <v>28</v>
      </c>
    </row>
    <row r="41" spans="2:16" x14ac:dyDescent="0.25">
      <c r="B41" t="s">
        <v>809</v>
      </c>
      <c r="C41">
        <v>4</v>
      </c>
      <c r="N41">
        <v>7</v>
      </c>
      <c r="P41">
        <f t="shared" si="3"/>
        <v>25</v>
      </c>
    </row>
    <row r="42" spans="2:16" x14ac:dyDescent="0.25">
      <c r="B42" t="s">
        <v>810</v>
      </c>
      <c r="C42">
        <v>1</v>
      </c>
      <c r="N42">
        <v>8</v>
      </c>
      <c r="P42">
        <f t="shared" si="3"/>
        <v>23</v>
      </c>
    </row>
    <row r="43" spans="2:16" x14ac:dyDescent="0.25">
      <c r="B43" t="s">
        <v>811</v>
      </c>
      <c r="C43">
        <v>4</v>
      </c>
      <c r="N43">
        <v>9</v>
      </c>
      <c r="P43">
        <f t="shared" si="3"/>
        <v>21</v>
      </c>
    </row>
    <row r="44" spans="2:16" x14ac:dyDescent="0.25">
      <c r="B44" t="s">
        <v>812</v>
      </c>
      <c r="C44">
        <v>12</v>
      </c>
      <c r="N44">
        <v>10</v>
      </c>
      <c r="P44">
        <f t="shared" si="3"/>
        <v>19</v>
      </c>
    </row>
    <row r="45" spans="2:16" x14ac:dyDescent="0.25">
      <c r="N45">
        <v>11</v>
      </c>
      <c r="P45">
        <f t="shared" si="3"/>
        <v>18</v>
      </c>
    </row>
    <row r="46" spans="2:16" x14ac:dyDescent="0.25">
      <c r="N46">
        <v>12</v>
      </c>
      <c r="P46">
        <f t="shared" si="3"/>
        <v>17</v>
      </c>
    </row>
    <row r="47" spans="2:16" x14ac:dyDescent="0.25">
      <c r="N47">
        <v>13</v>
      </c>
      <c r="P47">
        <f t="shared" si="3"/>
        <v>16</v>
      </c>
    </row>
    <row r="48" spans="2:16" x14ac:dyDescent="0.25">
      <c r="N48">
        <v>14</v>
      </c>
      <c r="P48">
        <f t="shared" si="3"/>
        <v>15</v>
      </c>
    </row>
    <row r="49" spans="14:16" x14ac:dyDescent="0.25">
      <c r="N49">
        <v>15</v>
      </c>
      <c r="P49">
        <f t="shared" si="3"/>
        <v>14</v>
      </c>
    </row>
    <row r="50" spans="14:16" x14ac:dyDescent="0.25">
      <c r="N50">
        <v>16</v>
      </c>
      <c r="P50">
        <f t="shared" si="3"/>
        <v>13</v>
      </c>
    </row>
    <row r="51" spans="14:16" x14ac:dyDescent="0.25">
      <c r="N51">
        <v>17</v>
      </c>
      <c r="P51">
        <f t="shared" si="3"/>
        <v>12</v>
      </c>
    </row>
    <row r="52" spans="14:16" x14ac:dyDescent="0.25">
      <c r="N52">
        <v>18</v>
      </c>
      <c r="P52">
        <f t="shared" si="3"/>
        <v>12</v>
      </c>
    </row>
    <row r="53" spans="14:16" x14ac:dyDescent="0.25">
      <c r="N53">
        <v>19</v>
      </c>
      <c r="P53">
        <f t="shared" si="3"/>
        <v>11</v>
      </c>
    </row>
    <row r="54" spans="14:16" x14ac:dyDescent="0.25">
      <c r="N54">
        <v>21</v>
      </c>
      <c r="P54">
        <f t="shared" si="3"/>
        <v>10</v>
      </c>
    </row>
    <row r="55" spans="14:16" x14ac:dyDescent="0.25">
      <c r="N55">
        <v>23</v>
      </c>
      <c r="P55">
        <f t="shared" si="3"/>
        <v>9</v>
      </c>
    </row>
    <row r="56" spans="14:16" x14ac:dyDescent="0.25">
      <c r="N56">
        <v>26</v>
      </c>
      <c r="P56">
        <f t="shared" si="3"/>
        <v>8</v>
      </c>
    </row>
    <row r="57" spans="14:16" x14ac:dyDescent="0.25">
      <c r="N57">
        <v>30</v>
      </c>
      <c r="P57">
        <f t="shared" si="3"/>
        <v>7</v>
      </c>
    </row>
    <row r="58" spans="14:16" x14ac:dyDescent="0.25">
      <c r="N58">
        <v>34</v>
      </c>
      <c r="P58">
        <f t="shared" si="3"/>
        <v>6</v>
      </c>
    </row>
    <row r="59" spans="14:16" x14ac:dyDescent="0.25">
      <c r="N59">
        <v>40</v>
      </c>
      <c r="P59">
        <f t="shared" si="3"/>
        <v>5</v>
      </c>
    </row>
    <row r="60" spans="14:16" x14ac:dyDescent="0.25">
      <c r="N60">
        <v>49</v>
      </c>
      <c r="P60">
        <f t="shared" si="3"/>
        <v>4</v>
      </c>
    </row>
    <row r="61" spans="14:16" x14ac:dyDescent="0.25">
      <c r="N61">
        <v>62</v>
      </c>
      <c r="P61">
        <f t="shared" si="3"/>
        <v>3</v>
      </c>
    </row>
    <row r="62" spans="14:16" x14ac:dyDescent="0.25">
      <c r="N62">
        <v>83</v>
      </c>
      <c r="P62">
        <f t="shared" si="3"/>
        <v>2</v>
      </c>
    </row>
    <row r="63" spans="14:16" x14ac:dyDescent="0.25">
      <c r="N63">
        <v>126</v>
      </c>
      <c r="P63">
        <f t="shared" si="3"/>
        <v>1</v>
      </c>
    </row>
  </sheetData>
  <mergeCells count="2">
    <mergeCell ref="N19:U19"/>
    <mergeCell ref="O20:U20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workbookViewId="0">
      <selection activeCell="I38" sqref="I38"/>
    </sheetView>
  </sheetViews>
  <sheetFormatPr defaultRowHeight="15" x14ac:dyDescent="0.25"/>
  <cols>
    <col min="2" max="2" width="11.140625" customWidth="1"/>
    <col min="3" max="3" width="16.140625" customWidth="1"/>
    <col min="4" max="4" width="14.140625" customWidth="1"/>
    <col min="9" max="9" width="17.85546875" customWidth="1"/>
  </cols>
  <sheetData>
    <row r="1" spans="1:15" ht="15.75" thickBot="1" x14ac:dyDescent="0.3"/>
    <row r="2" spans="1:15" x14ac:dyDescent="0.25">
      <c r="A2" s="74" t="s">
        <v>195</v>
      </c>
      <c r="B2" s="75"/>
      <c r="C2" s="75" t="s">
        <v>201</v>
      </c>
      <c r="D2" s="75" t="s">
        <v>202</v>
      </c>
      <c r="E2" s="75"/>
      <c r="F2" s="75"/>
      <c r="G2" s="76"/>
      <c r="I2" s="74" t="s">
        <v>203</v>
      </c>
      <c r="J2" s="75"/>
      <c r="K2" s="75"/>
      <c r="L2" s="75"/>
      <c r="M2" s="75"/>
      <c r="N2" s="75"/>
      <c r="O2" s="76"/>
    </row>
    <row r="3" spans="1:15" x14ac:dyDescent="0.25">
      <c r="A3" s="90"/>
      <c r="B3" s="15" t="s">
        <v>199</v>
      </c>
      <c r="C3" s="15">
        <v>32883</v>
      </c>
      <c r="D3" s="15">
        <v>0</v>
      </c>
      <c r="E3" s="15"/>
      <c r="F3" s="15"/>
      <c r="G3" s="91"/>
      <c r="I3" s="90">
        <v>1</v>
      </c>
      <c r="J3" s="15">
        <v>100</v>
      </c>
      <c r="K3" s="15"/>
      <c r="L3" s="15"/>
      <c r="M3" s="15"/>
      <c r="N3" s="15"/>
      <c r="O3" s="91"/>
    </row>
    <row r="4" spans="1:15" x14ac:dyDescent="0.25">
      <c r="A4" s="90"/>
      <c r="B4" s="15" t="s">
        <v>200</v>
      </c>
      <c r="C4" s="15">
        <v>200</v>
      </c>
      <c r="D4" s="15">
        <v>507</v>
      </c>
      <c r="E4" s="15"/>
      <c r="F4" s="15"/>
      <c r="G4" s="91"/>
      <c r="I4" s="90">
        <v>2</v>
      </c>
      <c r="J4" s="15">
        <v>400</v>
      </c>
      <c r="K4" s="15"/>
      <c r="L4" s="15"/>
      <c r="M4" s="15"/>
      <c r="N4" s="15"/>
      <c r="O4" s="91"/>
    </row>
    <row r="5" spans="1:15" x14ac:dyDescent="0.25">
      <c r="A5" s="90"/>
      <c r="B5" s="15"/>
      <c r="C5" s="15">
        <v>200</v>
      </c>
      <c r="D5" s="15">
        <v>518</v>
      </c>
      <c r="E5" s="15"/>
      <c r="F5" s="15"/>
      <c r="G5" s="91"/>
      <c r="I5" s="90">
        <v>3</v>
      </c>
      <c r="J5" s="15">
        <v>800</v>
      </c>
      <c r="K5" s="15"/>
      <c r="L5" s="15"/>
      <c r="M5" s="15"/>
      <c r="N5" s="15"/>
      <c r="O5" s="91"/>
    </row>
    <row r="6" spans="1:15" x14ac:dyDescent="0.25">
      <c r="A6" s="90"/>
      <c r="B6" s="15"/>
      <c r="C6" s="15">
        <v>32883</v>
      </c>
      <c r="D6" s="15">
        <v>1024</v>
      </c>
      <c r="E6" s="15"/>
      <c r="F6" s="15"/>
      <c r="G6" s="91"/>
      <c r="I6" s="90">
        <v>4</v>
      </c>
      <c r="J6" s="15">
        <v>1500</v>
      </c>
      <c r="K6" s="15"/>
      <c r="L6" s="15"/>
      <c r="M6" s="15"/>
      <c r="N6" s="15"/>
      <c r="O6" s="91"/>
    </row>
    <row r="7" spans="1:15" x14ac:dyDescent="0.25">
      <c r="A7" s="90"/>
      <c r="B7" s="15"/>
      <c r="C7" s="15"/>
      <c r="D7" s="15"/>
      <c r="E7" s="15"/>
      <c r="F7" s="15"/>
      <c r="G7" s="91"/>
      <c r="I7" s="90">
        <v>5</v>
      </c>
      <c r="J7" s="15">
        <v>4000</v>
      </c>
      <c r="K7" s="15"/>
      <c r="L7" s="15"/>
      <c r="M7" s="15"/>
      <c r="N7" s="15"/>
      <c r="O7" s="91"/>
    </row>
    <row r="8" spans="1:15" x14ac:dyDescent="0.25">
      <c r="A8" s="90"/>
      <c r="B8" s="15"/>
      <c r="C8" s="15"/>
      <c r="D8" s="15"/>
      <c r="E8" s="15"/>
      <c r="F8" s="15"/>
      <c r="G8" s="91"/>
      <c r="I8" s="90">
        <v>6</v>
      </c>
      <c r="J8" s="15">
        <v>14000</v>
      </c>
      <c r="K8" s="15"/>
      <c r="L8" s="15"/>
      <c r="M8" s="15"/>
      <c r="N8" s="15"/>
      <c r="O8" s="91"/>
    </row>
    <row r="9" spans="1:15" x14ac:dyDescent="0.25">
      <c r="A9" s="90"/>
      <c r="B9" s="15"/>
      <c r="C9" s="15"/>
      <c r="D9" s="15"/>
      <c r="E9" s="15"/>
      <c r="F9" s="15"/>
      <c r="G9" s="91"/>
      <c r="I9" s="90">
        <v>7</v>
      </c>
      <c r="J9" s="15">
        <v>32883</v>
      </c>
      <c r="K9" s="92"/>
      <c r="L9" s="15"/>
      <c r="M9" s="15"/>
      <c r="N9" s="15"/>
      <c r="O9" s="91"/>
    </row>
    <row r="10" spans="1:15" x14ac:dyDescent="0.25">
      <c r="A10" s="90"/>
      <c r="B10" s="15"/>
      <c r="C10" s="15"/>
      <c r="D10" s="15"/>
      <c r="E10" s="15"/>
      <c r="F10" s="15"/>
      <c r="G10" s="91"/>
      <c r="I10" s="90"/>
      <c r="J10" s="15"/>
      <c r="K10" s="15"/>
      <c r="L10" s="15"/>
      <c r="M10" s="15"/>
      <c r="N10" s="15"/>
      <c r="O10" s="91"/>
    </row>
    <row r="11" spans="1:15" x14ac:dyDescent="0.25">
      <c r="A11" s="90"/>
      <c r="B11" s="15"/>
      <c r="C11" s="15"/>
      <c r="D11" s="15"/>
      <c r="E11" s="15"/>
      <c r="F11" s="15"/>
      <c r="G11" s="91"/>
      <c r="I11" s="90"/>
      <c r="J11" s="15"/>
      <c r="K11" s="15"/>
      <c r="L11" s="15"/>
      <c r="M11" s="15"/>
      <c r="N11" s="15"/>
      <c r="O11" s="91"/>
    </row>
    <row r="12" spans="1:15" x14ac:dyDescent="0.25">
      <c r="A12" s="90"/>
      <c r="B12" s="15"/>
      <c r="C12" s="15"/>
      <c r="D12" s="15"/>
      <c r="E12" s="15"/>
      <c r="F12" s="15"/>
      <c r="G12" s="91"/>
      <c r="I12" s="90"/>
      <c r="J12" s="15"/>
      <c r="K12" s="15"/>
      <c r="L12" s="15"/>
      <c r="M12" s="15"/>
      <c r="N12" s="15"/>
      <c r="O12" s="91"/>
    </row>
    <row r="13" spans="1:15" x14ac:dyDescent="0.25">
      <c r="A13" s="90"/>
      <c r="B13" s="15"/>
      <c r="C13" s="15"/>
      <c r="D13" s="15"/>
      <c r="E13" s="15"/>
      <c r="F13" s="15"/>
      <c r="G13" s="91"/>
      <c r="I13" s="90"/>
      <c r="J13" s="15"/>
      <c r="K13" s="15"/>
      <c r="L13" s="15"/>
      <c r="M13" s="15"/>
      <c r="N13" s="15"/>
      <c r="O13" s="91"/>
    </row>
    <row r="14" spans="1:15" x14ac:dyDescent="0.25">
      <c r="A14" s="90"/>
      <c r="B14" s="15"/>
      <c r="C14" s="15"/>
      <c r="D14" s="15"/>
      <c r="E14" s="15"/>
      <c r="F14" s="15"/>
      <c r="G14" s="91"/>
      <c r="I14" s="90"/>
      <c r="J14" s="15"/>
      <c r="K14" s="15"/>
      <c r="L14" s="15"/>
      <c r="M14" s="15"/>
      <c r="N14" s="15"/>
      <c r="O14" s="91"/>
    </row>
    <row r="15" spans="1:15" x14ac:dyDescent="0.25">
      <c r="A15" s="90"/>
      <c r="B15" s="15"/>
      <c r="C15" s="15"/>
      <c r="D15" s="15"/>
      <c r="E15" s="15"/>
      <c r="F15" s="15"/>
      <c r="G15" s="91"/>
      <c r="I15" s="90"/>
      <c r="J15" s="15"/>
      <c r="K15" s="15"/>
      <c r="L15" s="15"/>
      <c r="M15" s="15"/>
      <c r="N15" s="15"/>
      <c r="O15" s="91"/>
    </row>
    <row r="16" spans="1:15" x14ac:dyDescent="0.25">
      <c r="A16" s="90"/>
      <c r="B16" s="15"/>
      <c r="C16" s="15"/>
      <c r="D16" s="15"/>
      <c r="E16" s="15"/>
      <c r="F16" s="15"/>
      <c r="G16" s="91"/>
      <c r="I16" s="90"/>
      <c r="J16" s="15"/>
      <c r="K16" s="15"/>
      <c r="L16" s="15"/>
      <c r="M16" s="15"/>
      <c r="N16" s="15"/>
      <c r="O16" s="91"/>
    </row>
    <row r="17" spans="1:15" x14ac:dyDescent="0.25">
      <c r="A17" s="90"/>
      <c r="B17" s="15"/>
      <c r="C17" s="15"/>
      <c r="D17" s="15"/>
      <c r="E17" s="15"/>
      <c r="F17" s="15"/>
      <c r="G17" s="91"/>
      <c r="I17" s="90"/>
      <c r="J17" s="15"/>
      <c r="K17" s="15"/>
      <c r="L17" s="15"/>
      <c r="M17" s="15"/>
      <c r="N17" s="15"/>
      <c r="O17" s="91"/>
    </row>
    <row r="18" spans="1:15" x14ac:dyDescent="0.25">
      <c r="A18" s="90"/>
      <c r="B18" s="15"/>
      <c r="C18" s="15"/>
      <c r="D18" s="15"/>
      <c r="E18" s="15"/>
      <c r="F18" s="15"/>
      <c r="G18" s="91"/>
      <c r="I18" s="90"/>
      <c r="J18" s="15"/>
      <c r="K18" s="15"/>
      <c r="L18" s="15"/>
      <c r="M18" s="15"/>
      <c r="N18" s="15"/>
      <c r="O18" s="91"/>
    </row>
    <row r="19" spans="1:15" x14ac:dyDescent="0.25">
      <c r="A19" s="90"/>
      <c r="B19" s="15"/>
      <c r="C19" s="15"/>
      <c r="D19" s="15"/>
      <c r="E19" s="15"/>
      <c r="F19" s="15"/>
      <c r="G19" s="91"/>
      <c r="I19" s="90"/>
      <c r="J19" s="15"/>
      <c r="K19" s="15"/>
      <c r="L19" s="15"/>
      <c r="M19" s="15"/>
      <c r="N19" s="15"/>
      <c r="O19" s="91"/>
    </row>
    <row r="20" spans="1:15" x14ac:dyDescent="0.25">
      <c r="A20" s="90"/>
      <c r="B20" s="15"/>
      <c r="C20" s="15"/>
      <c r="D20" s="15"/>
      <c r="E20" s="15"/>
      <c r="F20" s="15"/>
      <c r="G20" s="91"/>
      <c r="I20" s="90"/>
      <c r="J20" s="15"/>
      <c r="K20" s="15"/>
      <c r="L20" s="15"/>
      <c r="M20" s="15"/>
      <c r="N20" s="15"/>
      <c r="O20" s="91"/>
    </row>
    <row r="21" spans="1:15" x14ac:dyDescent="0.25">
      <c r="A21" s="90"/>
      <c r="B21" s="15"/>
      <c r="C21" s="15"/>
      <c r="D21" s="15"/>
      <c r="E21" s="15"/>
      <c r="F21" s="15"/>
      <c r="G21" s="91"/>
      <c r="I21" s="90"/>
      <c r="J21" s="15"/>
      <c r="K21" s="15"/>
      <c r="L21" s="15"/>
      <c r="M21" s="15"/>
      <c r="N21" s="15"/>
      <c r="O21" s="91"/>
    </row>
    <row r="22" spans="1:15" x14ac:dyDescent="0.25">
      <c r="A22" s="90"/>
      <c r="B22" s="15"/>
      <c r="C22" s="15"/>
      <c r="D22" s="15"/>
      <c r="E22" s="15"/>
      <c r="F22" s="15"/>
      <c r="G22" s="91"/>
      <c r="I22" s="90"/>
      <c r="J22" s="15"/>
      <c r="K22" s="15"/>
      <c r="L22" s="15"/>
      <c r="M22" s="15"/>
      <c r="N22" s="15"/>
      <c r="O22" s="91"/>
    </row>
    <row r="23" spans="1:15" x14ac:dyDescent="0.25">
      <c r="A23" s="90"/>
      <c r="B23" s="15"/>
      <c r="C23" s="15"/>
      <c r="D23" s="15"/>
      <c r="E23" s="15"/>
      <c r="F23" s="15"/>
      <c r="G23" s="91"/>
      <c r="I23" s="90"/>
      <c r="J23" s="15"/>
      <c r="K23" s="15"/>
      <c r="L23" s="15"/>
      <c r="M23" s="15"/>
      <c r="N23" s="15"/>
      <c r="O23" s="91"/>
    </row>
    <row r="24" spans="1:15" ht="15.75" thickBot="1" x14ac:dyDescent="0.3">
      <c r="A24" s="77"/>
      <c r="B24" s="78"/>
      <c r="C24" s="78"/>
      <c r="D24" s="78"/>
      <c r="E24" s="78"/>
      <c r="F24" s="78"/>
      <c r="G24" s="79"/>
      <c r="I24" s="77"/>
      <c r="J24" s="78"/>
      <c r="K24" s="78"/>
      <c r="L24" s="78"/>
      <c r="M24" s="78"/>
      <c r="N24" s="78"/>
      <c r="O24" s="7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8"/>
  <sheetViews>
    <sheetView tabSelected="1" workbookViewId="0">
      <selection activeCell="D11" sqref="D11"/>
    </sheetView>
  </sheetViews>
  <sheetFormatPr defaultRowHeight="15" x14ac:dyDescent="0.25"/>
  <cols>
    <col min="2" max="2" width="29.42578125" customWidth="1"/>
    <col min="3" max="3" width="11.5703125" bestFit="1" customWidth="1"/>
  </cols>
  <sheetData>
    <row r="2" spans="2:3" x14ac:dyDescent="0.25">
      <c r="B2" t="s">
        <v>218</v>
      </c>
      <c r="C2" s="88">
        <v>38000000</v>
      </c>
    </row>
    <row r="3" spans="2:3" x14ac:dyDescent="0.25">
      <c r="B3" t="s">
        <v>219</v>
      </c>
      <c r="C3">
        <f>4096/2</f>
        <v>2048</v>
      </c>
    </row>
    <row r="4" spans="2:3" x14ac:dyDescent="0.25">
      <c r="B4" t="s">
        <v>220</v>
      </c>
      <c r="C4" s="96">
        <f>C2/C3</f>
        <v>18554.6875</v>
      </c>
    </row>
    <row r="6" spans="2:3" x14ac:dyDescent="0.25">
      <c r="B6" t="s">
        <v>221</v>
      </c>
      <c r="C6" s="97">
        <v>470</v>
      </c>
    </row>
    <row r="7" spans="2:3" x14ac:dyDescent="0.25">
      <c r="B7" t="s">
        <v>222</v>
      </c>
      <c r="C7">
        <v>12</v>
      </c>
    </row>
    <row r="8" spans="2:3" x14ac:dyDescent="0.25">
      <c r="B8" t="s">
        <v>223</v>
      </c>
      <c r="C8">
        <f>(C6/C3)*C7</f>
        <v>2.75390625</v>
      </c>
    </row>
    <row r="10" spans="2:3" x14ac:dyDescent="0.25">
      <c r="B10" t="s">
        <v>225</v>
      </c>
    </row>
    <row r="11" spans="2:3" x14ac:dyDescent="0.25">
      <c r="B11" t="s">
        <v>224</v>
      </c>
      <c r="C11">
        <v>3.3</v>
      </c>
    </row>
    <row r="12" spans="2:3" x14ac:dyDescent="0.25">
      <c r="B12" t="s">
        <v>228</v>
      </c>
    </row>
    <row r="13" spans="2:3" x14ac:dyDescent="0.25">
      <c r="B13" t="s">
        <v>232</v>
      </c>
      <c r="C13">
        <v>4095</v>
      </c>
    </row>
    <row r="14" spans="2:3" x14ac:dyDescent="0.25">
      <c r="B14" t="s">
        <v>229</v>
      </c>
      <c r="C14">
        <f>C11/C13</f>
        <v>8.0586080586080586E-4</v>
      </c>
    </row>
    <row r="15" spans="2:3" x14ac:dyDescent="0.25">
      <c r="B15" t="s">
        <v>226</v>
      </c>
      <c r="C15">
        <v>0</v>
      </c>
    </row>
    <row r="16" spans="2:3" x14ac:dyDescent="0.25">
      <c r="B16" t="s">
        <v>227</v>
      </c>
      <c r="C16" s="97">
        <v>1200</v>
      </c>
    </row>
    <row r="17" spans="2:3" x14ac:dyDescent="0.25">
      <c r="B17" t="s">
        <v>230</v>
      </c>
      <c r="C17">
        <f>C15*C14</f>
        <v>0</v>
      </c>
    </row>
    <row r="18" spans="2:3" x14ac:dyDescent="0.25">
      <c r="B18" t="s">
        <v>231</v>
      </c>
      <c r="C18">
        <f>C16*C14</f>
        <v>0.96703296703296704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Stepper</vt:lpstr>
      <vt:lpstr>Inverted</vt:lpstr>
      <vt:lpstr>Board</vt:lpstr>
      <vt:lpstr>RTOS</vt:lpstr>
      <vt:lpstr>Piezo</vt:lpstr>
      <vt:lpstr>EEPROM </vt:lpstr>
      <vt:lpstr>EEPROM LUT</vt:lpstr>
      <vt:lpstr>Joysticks</vt:lpstr>
      <vt:lpstr>Servo</vt:lpstr>
      <vt:lpstr>A</vt:lpstr>
      <vt:lpstr>ADC_count_um</vt:lpstr>
      <vt:lpstr>ADC_Input_range</vt:lpstr>
      <vt:lpstr>ADC_max_count</vt:lpstr>
      <vt:lpstr>ADC_voltage_per_count</vt:lpstr>
      <vt:lpstr>ADC_volts_um</vt:lpstr>
      <vt:lpstr>B</vt:lpstr>
      <vt:lpstr>C_</vt:lpstr>
      <vt:lpstr>center</vt:lpstr>
      <vt:lpstr>cpp</vt:lpstr>
      <vt:lpstr>D</vt:lpstr>
      <vt:lpstr>DAC_Vmax__V</vt:lpstr>
      <vt:lpstr>EEPROM_25LC1024_PAGE_SIZE</vt:lpstr>
      <vt:lpstr>EEPROM_START_ADDRESS</vt:lpstr>
      <vt:lpstr>Error</vt:lpstr>
      <vt:lpstr>Factor</vt:lpstr>
      <vt:lpstr>First_term</vt:lpstr>
      <vt:lpstr>HUB_MAX_HUBS</vt:lpstr>
      <vt:lpstr>Max_displacement__um</vt:lpstr>
      <vt:lpstr>Second_term</vt:lpstr>
      <vt:lpstr>SLOT_EEPROM_PAGES</vt:lpstr>
      <vt:lpstr>USB_NUM_PORTS</vt:lpstr>
      <vt:lpstr>USB_NUMDEVICES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frivas</dc:creator>
  <cp:lastModifiedBy>Sean Benish</cp:lastModifiedBy>
  <dcterms:created xsi:type="dcterms:W3CDTF">2017-12-10T10:29:34Z</dcterms:created>
  <dcterms:modified xsi:type="dcterms:W3CDTF">2022-03-22T18:01:20Z</dcterms:modified>
</cp:coreProperties>
</file>