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OAL SETTING\TAHUN 2022\FRIZKY\"/>
    </mc:Choice>
  </mc:AlternateContent>
  <bookViews>
    <workbookView xWindow="0" yWindow="0" windowWidth="20490" windowHeight="8340" firstSheet="1" activeTab="1"/>
  </bookViews>
  <sheets>
    <sheet name="Sheet1" sheetId="7" state="hidden" r:id="rId1"/>
    <sheet name="FRIZKY" sheetId="4" r:id="rId2"/>
  </sheets>
  <definedNames>
    <definedName name="_xlnm.Print_Area" localSheetId="1">FRIZKY!$A$1:$G$65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4" l="1"/>
  <c r="G22" i="4" s="1"/>
  <c r="F24" i="4"/>
  <c r="G24" i="4" s="1"/>
  <c r="F23" i="4"/>
  <c r="G23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B29" i="4" s="1"/>
  <c r="D29" i="4" l="1"/>
  <c r="C29" i="4"/>
  <c r="E29" i="4"/>
  <c r="B52" i="4"/>
  <c r="D52" i="4" s="1"/>
  <c r="D47" i="4"/>
  <c r="C47" i="4"/>
  <c r="D46" i="4"/>
  <c r="D41" i="4"/>
  <c r="E41" i="4" s="1"/>
  <c r="E37" i="4"/>
  <c r="E30" i="4"/>
  <c r="D30" i="4"/>
  <c r="C30" i="4"/>
  <c r="B30" i="4"/>
  <c r="E47" i="4" l="1"/>
  <c r="D31" i="4"/>
  <c r="F56" i="4"/>
  <c r="E31" i="4"/>
  <c r="C31" i="4"/>
  <c r="C56" i="4"/>
  <c r="E56" i="4"/>
  <c r="B31" i="4"/>
  <c r="B56" i="4"/>
  <c r="D56" i="4"/>
  <c r="B32" i="4" l="1"/>
  <c r="C46" i="4" s="1"/>
  <c r="E46" i="4" s="1"/>
  <c r="F46" i="4" s="1"/>
  <c r="B51" i="4" s="1"/>
  <c r="D51" i="4" s="1"/>
  <c r="E51" i="4" s="1"/>
  <c r="F51" i="4" s="1"/>
  <c r="B33" i="4" l="1"/>
</calcChain>
</file>

<file path=xl/sharedStrings.xml><?xml version="1.0" encoding="utf-8"?>
<sst xmlns="http://schemas.openxmlformats.org/spreadsheetml/2006/main" count="266" uniqueCount="128">
  <si>
    <t>PERFORMANCE APPRAISAL</t>
  </si>
  <si>
    <t>DIVISION/PROJECT</t>
  </si>
  <si>
    <t>A. PROJECT PERFORMANCE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</si>
  <si>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</si>
  <si>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</si>
  <si>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</si>
  <si>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</si>
  <si>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</si>
  <si>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</si>
  <si>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</si>
  <si>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</si>
  <si>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</si>
  <si>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</si>
  <si>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</si>
  <si>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</si>
  <si>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Indicator</t>
  </si>
  <si>
    <t>Plan Activity</t>
  </si>
  <si>
    <t>Satuan</t>
  </si>
  <si>
    <t>Indikator</t>
  </si>
  <si>
    <t>Score</t>
  </si>
  <si>
    <t>Realisasi</t>
  </si>
  <si>
    <t>Evidence</t>
  </si>
  <si>
    <t>Remarks</t>
  </si>
  <si>
    <t>%</t>
  </si>
  <si>
    <t>Event</t>
  </si>
  <si>
    <t>RESULT</t>
  </si>
  <si>
    <t>Bobot</t>
  </si>
  <si>
    <t>B x S</t>
  </si>
  <si>
    <t>Final Scored</t>
  </si>
  <si>
    <t>Rating</t>
  </si>
  <si>
    <t>OUTSTANDING</t>
  </si>
  <si>
    <t>EXCEED</t>
  </si>
  <si>
    <t>MEET EXPECTATION</t>
  </si>
  <si>
    <t>NEED IMPROVEMENT</t>
  </si>
  <si>
    <t>FAILED</t>
  </si>
  <si>
    <t>Range</t>
  </si>
  <si>
    <t>&gt;=105%</t>
  </si>
  <si>
    <t>&lt;105 - &gt;=99</t>
  </si>
  <si>
    <t>99&lt; - &gt;=88</t>
  </si>
  <si>
    <t>88&lt; - &gt;=75</t>
  </si>
  <si>
    <t>&lt;75</t>
  </si>
  <si>
    <t>Total</t>
  </si>
  <si>
    <t>Dibuat Oleh,</t>
  </si>
  <si>
    <t>Diketahui,</t>
  </si>
  <si>
    <t>Disetujui Oleh,</t>
  </si>
  <si>
    <t>Nama                 :</t>
  </si>
  <si>
    <t>Divisi                  :</t>
  </si>
  <si>
    <t>Jabatan              :</t>
  </si>
  <si>
    <t xml:space="preserve">NIK                                 : </t>
  </si>
  <si>
    <t>Project                         :</t>
  </si>
  <si>
    <t>Periode Penilaian   :</t>
  </si>
  <si>
    <t>Level Jabatan   :</t>
  </si>
  <si>
    <t>Individual Performance</t>
  </si>
  <si>
    <t>Risk Management</t>
  </si>
  <si>
    <t>Client Focus</t>
  </si>
  <si>
    <t>People Development</t>
  </si>
  <si>
    <t>C. CORE VALUE</t>
  </si>
  <si>
    <t>Kriteria Penilaian</t>
  </si>
  <si>
    <t>Core Value</t>
  </si>
  <si>
    <t>Implementasi budaya kerja TIGER SPEED</t>
  </si>
  <si>
    <t>B. DIVISION PERFORMANCE</t>
  </si>
  <si>
    <t>Score Divisi</t>
  </si>
  <si>
    <t>Score x Bobot</t>
  </si>
  <si>
    <t>Division Score</t>
  </si>
  <si>
    <t xml:space="preserve">Score/nilai pencapaian goal setting Divisi </t>
  </si>
  <si>
    <t>D.FINAL SCORE INDIVIDUAL PERFORMANCE</t>
  </si>
  <si>
    <t>Goal Setting</t>
  </si>
  <si>
    <t>Kriteria</t>
  </si>
  <si>
    <t>Score x bobot</t>
  </si>
  <si>
    <t>Goal Setting Score</t>
  </si>
  <si>
    <t>Division Performance</t>
  </si>
  <si>
    <t>Final Score</t>
  </si>
  <si>
    <t>Foreman/Officer</t>
  </si>
  <si>
    <t>Mail Account Troubleshooting H+3</t>
  </si>
  <si>
    <t>Chairman Meeting Internal 5x/tahun</t>
  </si>
  <si>
    <t>Self Development Skill min 1x/tahun</t>
  </si>
  <si>
    <t>Laporan DCR sebelum tanggal 5 setiap bulan</t>
  </si>
  <si>
    <t>Cancel / Close SAP Document H+1</t>
  </si>
  <si>
    <t>Perubahan data di SAP H+2 (update remark, whs, project, dll)</t>
  </si>
  <si>
    <t>Perubahan / penambahan field menu SAP H+2</t>
  </si>
  <si>
    <t>SAP Document Numbering H+1</t>
  </si>
  <si>
    <t>DCR H+1 setelah divisi manager approve</t>
  </si>
  <si>
    <t>Request Account Email H+1</t>
  </si>
  <si>
    <t>Application &amp; Web Development 4.5 Bulan</t>
  </si>
  <si>
    <t>Duration</t>
  </si>
  <si>
    <t>Target 2022</t>
  </si>
  <si>
    <t>realisasi 2022</t>
  </si>
  <si>
    <t>Register Business Partner Data SAP H+1</t>
  </si>
  <si>
    <t>Register Non Unit Part Number SAP H+1</t>
  </si>
  <si>
    <t>A(-)</t>
  </si>
  <si>
    <t>januari</t>
  </si>
  <si>
    <t>S(+)</t>
  </si>
  <si>
    <t>MONTH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</si>
  <si>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</si>
  <si>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</si>
  <si>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</si>
  <si>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</si>
  <si>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</si>
  <si>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</si>
  <si>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</si>
  <si>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</si>
  <si>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</si>
  <si>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</si>
  <si>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</si>
  <si>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IT</t>
  </si>
  <si>
    <t>000H</t>
  </si>
  <si>
    <t>day2</t>
  </si>
  <si>
    <t>day1</t>
  </si>
  <si>
    <t>Frizky Ramadhan</t>
  </si>
  <si>
    <t>IT Officer 3</t>
  </si>
  <si>
    <t>Request New / Update SAP Query H+7</t>
  </si>
  <si>
    <t>NA</t>
  </si>
  <si>
    <t>01. Januari</t>
  </si>
  <si>
    <t>02. Februari</t>
  </si>
  <si>
    <t>03. Maret</t>
  </si>
  <si>
    <t>ARAIM.v2 - on process</t>
  </si>
  <si>
    <t>04. April</t>
  </si>
  <si>
    <t>05. Mei</t>
  </si>
  <si>
    <t>06. Juni</t>
  </si>
  <si>
    <t>07. Juli</t>
  </si>
  <si>
    <t>08. Agustus</t>
  </si>
  <si>
    <t>09. September</t>
  </si>
  <si>
    <t>10. Oktober</t>
  </si>
  <si>
    <t>Program Fasilitasi Baparekraf Digital Talent Tahap 2</t>
  </si>
  <si>
    <t>11. November</t>
  </si>
  <si>
    <t>Tanggal 1 Januari libur tahun baru</t>
  </si>
  <si>
    <t>Ada di MOM Desember 2022</t>
  </si>
  <si>
    <t>12.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</si>
</sst>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8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/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9" fontId="0" fillId="0" borderId="22" xfId="2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0" fontId="0" fillId="0" borderId="18" xfId="1" applyNumberFormat="1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9" xfId="0" applyBorder="1" applyAlignment="1">
      <alignment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1" applyNumberFormat="1" applyFont="1" applyBorder="1" applyAlignment="1">
      <alignment horizontal="center" vertical="center"/>
    </xf>
    <xf numFmtId="9" fontId="0" fillId="0" borderId="42" xfId="2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vertical="center" wrapText="1"/>
    </xf>
    <xf numFmtId="0" fontId="4" fillId="2" borderId="28" xfId="0" applyFont="1" applyFill="1" applyBorder="1" applyAlignment="1">
      <alignment horizontal="center" vertical="center"/>
    </xf>
    <xf numFmtId="9" fontId="3" fillId="0" borderId="46" xfId="2" applyFont="1" applyBorder="1" applyAlignment="1">
      <alignment horizontal="center" vertical="center"/>
    </xf>
    <xf numFmtId="9" fontId="3" fillId="0" borderId="12" xfId="2" applyFont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left" vertical="center"/>
    </xf>
    <xf numFmtId="0" fontId="5" fillId="0" borderId="59" xfId="0" applyFont="1" applyBorder="1" applyAlignment="1">
      <alignment horizontal="center" vertical="center"/>
    </xf>
    <xf numFmtId="9" fontId="5" fillId="0" borderId="59" xfId="2" applyNumberFormat="1" applyFont="1" applyBorder="1" applyAlignment="1">
      <alignment horizontal="center" vertical="center"/>
    </xf>
    <xf numFmtId="0" fontId="4" fillId="2" borderId="18" xfId="0" applyFont="1" applyFill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9" fontId="5" fillId="0" borderId="25" xfId="2" applyFont="1" applyBorder="1" applyAlignment="1">
      <alignment horizontal="center" vertical="center"/>
    </xf>
    <xf numFmtId="9" fontId="5" fillId="0" borderId="56" xfId="2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164" fontId="5" fillId="0" borderId="34" xfId="2" applyNumberFormat="1" applyFont="1" applyBorder="1" applyAlignment="1">
      <alignment horizontal="center" vertical="center"/>
    </xf>
    <xf numFmtId="9" fontId="5" fillId="0" borderId="56" xfId="0" applyNumberFormat="1" applyFont="1" applyBorder="1" applyAlignment="1">
      <alignment horizontal="center" vertical="center"/>
    </xf>
    <xf numFmtId="10" fontId="5" fillId="0" borderId="56" xfId="2" applyNumberFormat="1" applyFont="1" applyBorder="1" applyAlignment="1">
      <alignment horizontal="center" vertical="center"/>
    </xf>
    <xf numFmtId="9" fontId="5" fillId="0" borderId="25" xfId="0" applyNumberFormat="1" applyFont="1" applyBorder="1" applyAlignment="1">
      <alignment horizontal="center" vertical="center"/>
    </xf>
    <xf numFmtId="10" fontId="5" fillId="0" borderId="25" xfId="2" applyNumberFormat="1" applyFont="1" applyBorder="1" applyAlignment="1">
      <alignment horizontal="center" vertical="center"/>
    </xf>
    <xf numFmtId="9" fontId="5" fillId="0" borderId="33" xfId="0" applyNumberFormat="1" applyFont="1" applyBorder="1" applyAlignment="1">
      <alignment horizontal="center" vertical="center"/>
    </xf>
    <xf numFmtId="10" fontId="5" fillId="0" borderId="30" xfId="0" applyNumberFormat="1" applyFont="1" applyBorder="1" applyAlignment="1">
      <alignment horizontal="center" vertical="center"/>
    </xf>
    <xf numFmtId="9" fontId="5" fillId="0" borderId="31" xfId="0" applyNumberFormat="1" applyFont="1" applyBorder="1" applyAlignment="1">
      <alignment horizontal="center" vertical="center"/>
    </xf>
    <xf numFmtId="10" fontId="5" fillId="0" borderId="31" xfId="2" applyNumberFormat="1" applyFont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0" fillId="0" borderId="62" xfId="0" applyBorder="1" applyAlignment="1">
      <alignment vertical="center" wrapText="1"/>
    </xf>
    <xf numFmtId="0" fontId="0" fillId="0" borderId="4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63" xfId="2" applyFont="1" applyBorder="1" applyAlignment="1">
      <alignment horizontal="center" vertical="center"/>
    </xf>
    <xf numFmtId="10" fontId="3" fillId="0" borderId="52" xfId="2" applyNumberFormat="1" applyFont="1" applyBorder="1" applyAlignment="1">
      <alignment horizontal="center" vertical="center"/>
    </xf>
    <xf numFmtId="10" fontId="3" fillId="0" borderId="41" xfId="2" applyNumberFormat="1" applyFont="1" applyBorder="1" applyAlignment="1">
      <alignment horizontal="center" vertical="center"/>
    </xf>
    <xf numFmtId="10" fontId="3" fillId="0" borderId="30" xfId="2" applyNumberFormat="1" applyFont="1" applyBorder="1" applyAlignment="1">
      <alignment horizontal="center" vertical="center"/>
    </xf>
    <xf numFmtId="10" fontId="3" fillId="0" borderId="31" xfId="2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13" xfId="0" applyFont="1" applyFill="1" applyBorder="1" applyAlignment="1">
      <alignment horizontal="left" vertical="center"/>
    </xf>
    <xf numFmtId="0" fontId="4" fillId="2" borderId="66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left" vertical="center"/>
    </xf>
    <xf numFmtId="0" fontId="4" fillId="2" borderId="68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9" fontId="5" fillId="0" borderId="69" xfId="0" applyNumberFormat="1" applyFont="1" applyBorder="1" applyAlignment="1">
      <alignment horizontal="center" vertical="center"/>
    </xf>
    <xf numFmtId="9" fontId="5" fillId="0" borderId="74" xfId="0" applyNumberFormat="1" applyFont="1" applyBorder="1" applyAlignment="1">
      <alignment horizontal="center" vertical="center"/>
    </xf>
    <xf numFmtId="9" fontId="5" fillId="0" borderId="75" xfId="0" applyNumberFormat="1" applyFont="1" applyBorder="1" applyAlignment="1">
      <alignment horizontal="center" vertical="center"/>
    </xf>
    <xf numFmtId="10" fontId="5" fillId="0" borderId="75" xfId="2" applyNumberFormat="1" applyFont="1" applyBorder="1" applyAlignment="1">
      <alignment horizontal="center" vertical="center"/>
    </xf>
    <xf numFmtId="0" fontId="6" fillId="3" borderId="54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top"/>
    </xf>
    <xf numFmtId="0" fontId="4" fillId="2" borderId="61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/>
    <xf numFmtId="0" fontId="3" fillId="0" borderId="2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0" fillId="0" borderId="31" xfId="1" applyNumberFormat="1" applyFont="1" applyBorder="1" applyAlignment="1">
      <alignment horizontal="center" vertical="center"/>
    </xf>
    <xf numFmtId="9" fontId="0" fillId="0" borderId="43" xfId="2" applyFont="1" applyBorder="1" applyAlignment="1">
      <alignment horizontal="center" vertical="center"/>
    </xf>
    <xf numFmtId="0" fontId="0" fillId="0" borderId="79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1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3" fontId="0" fillId="0" borderId="82" xfId="1" applyNumberFormat="1" applyFont="1" applyBorder="1" applyAlignment="1">
      <alignment horizontal="center" vertical="center"/>
    </xf>
    <xf numFmtId="9" fontId="0" fillId="0" borderId="83" xfId="2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80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vertical="top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wrapText="1"/>
    </xf>
    <xf numFmtId="0" fontId="9" fillId="0" borderId="41" xfId="4" applyBorder="1" applyAlignment="1">
      <alignment horizontal="center" vertical="center" textRotation="255"/>
    </xf>
    <xf numFmtId="0" fontId="9" fillId="0" borderId="76" xfId="4" applyBorder="1" applyAlignment="1">
      <alignment horizontal="center" vertical="center" textRotation="255"/>
    </xf>
    <xf numFmtId="0" fontId="9" fillId="0" borderId="31" xfId="4" applyBorder="1" applyAlignment="1">
      <alignment horizontal="center" vertical="center" textRotation="255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57" xfId="0" applyFont="1" applyFill="1" applyBorder="1" applyAlignment="1">
      <alignment horizontal="left" vertical="center"/>
    </xf>
    <xf numFmtId="0" fontId="3" fillId="0" borderId="80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10" fontId="3" fillId="0" borderId="31" xfId="2" applyNumberFormat="1" applyFont="1" applyBorder="1" applyAlignment="1">
      <alignment horizontal="center" vertical="center" wrapText="1"/>
    </xf>
    <xf numFmtId="10" fontId="3" fillId="0" borderId="32" xfId="2" applyNumberFormat="1" applyFont="1" applyBorder="1" applyAlignment="1">
      <alignment horizontal="center" vertical="center" wrapText="1"/>
    </xf>
    <xf numFmtId="9" fontId="3" fillId="0" borderId="12" xfId="2" applyFont="1" applyBorder="1" applyAlignment="1">
      <alignment horizontal="center" vertical="center" wrapText="1"/>
    </xf>
    <xf numFmtId="9" fontId="3" fillId="0" borderId="44" xfId="2" applyFont="1" applyBorder="1" applyAlignment="1">
      <alignment horizontal="center" vertical="center" wrapText="1"/>
    </xf>
    <xf numFmtId="10" fontId="3" fillId="0" borderId="41" xfId="2" applyNumberFormat="1" applyFont="1" applyBorder="1" applyAlignment="1">
      <alignment horizontal="center" vertical="center" wrapText="1"/>
    </xf>
    <xf numFmtId="10" fontId="3" fillId="0" borderId="53" xfId="2" applyNumberFormat="1" applyFont="1" applyBorder="1" applyAlignment="1">
      <alignment horizontal="center" vertical="center" wrapText="1"/>
    </xf>
    <xf numFmtId="9" fontId="3" fillId="0" borderId="45" xfId="2" applyFont="1" applyBorder="1" applyAlignment="1">
      <alignment horizontal="center"/>
    </xf>
    <xf numFmtId="9" fontId="3" fillId="0" borderId="18" xfId="2" applyFont="1" applyBorder="1" applyAlignment="1">
      <alignment horizontal="center"/>
    </xf>
    <xf numFmtId="9" fontId="3" fillId="0" borderId="43" xfId="2" applyFont="1" applyBorder="1" applyAlignment="1">
      <alignment horizontal="center"/>
    </xf>
    <xf numFmtId="0" fontId="4" fillId="0" borderId="5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 wrapText="1"/>
    </xf>
    <xf numFmtId="0" fontId="4" fillId="0" borderId="60" xfId="0" applyFont="1" applyFill="1" applyBorder="1" applyAlignment="1">
      <alignment horizontal="center" vertical="center" wrapText="1"/>
    </xf>
    <xf numFmtId="0" fontId="4" fillId="2" borderId="5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70" xfId="0" applyFont="1" applyFill="1" applyBorder="1" applyAlignment="1">
      <alignment horizontal="left" vertical="center"/>
    </xf>
    <xf numFmtId="0" fontId="6" fillId="2" borderId="54" xfId="0" applyFont="1" applyFill="1" applyBorder="1" applyAlignment="1">
      <alignment horizontal="center"/>
    </xf>
    <xf numFmtId="0" fontId="6" fillId="2" borderId="57" xfId="0" applyFont="1" applyFill="1" applyBorder="1" applyAlignment="1">
      <alignment horizontal="center"/>
    </xf>
    <xf numFmtId="0" fontId="4" fillId="0" borderId="20" xfId="0" applyFont="1" applyBorder="1" applyAlignment="1">
      <alignment horizontal="left" vertical="center" wrapText="1"/>
    </xf>
    <xf numFmtId="0" fontId="4" fillId="0" borderId="71" xfId="0" applyFont="1" applyBorder="1" applyAlignment="1">
      <alignment horizontal="left" vertical="center" wrapText="1"/>
    </xf>
    <xf numFmtId="10" fontId="6" fillId="0" borderId="73" xfId="0" applyNumberFormat="1" applyFont="1" applyBorder="1" applyAlignment="1">
      <alignment horizontal="center" vertical="center"/>
    </xf>
    <xf numFmtId="10" fontId="6" fillId="0" borderId="38" xfId="0" applyNumberFormat="1" applyFont="1" applyBorder="1" applyAlignment="1">
      <alignment horizontal="center" vertical="center"/>
    </xf>
    <xf numFmtId="10" fontId="6" fillId="0" borderId="50" xfId="0" applyNumberFormat="1" applyFont="1" applyBorder="1" applyAlignment="1">
      <alignment horizontal="center" vertical="center"/>
    </xf>
    <xf numFmtId="10" fontId="6" fillId="0" borderId="51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72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/>
    </xf>
    <xf numFmtId="0" fontId="4" fillId="3" borderId="57" xfId="0" applyFont="1" applyFill="1" applyBorder="1" applyAlignment="1">
      <alignment horizontal="center"/>
    </xf>
    <xf numFmtId="10" fontId="7" fillId="0" borderId="75" xfId="2" applyNumberFormat="1" applyFont="1" applyBorder="1" applyAlignment="1">
      <alignment horizontal="center" vertical="center"/>
    </xf>
    <xf numFmtId="10" fontId="7" fillId="0" borderId="56" xfId="2" applyNumberFormat="1" applyFont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</cellXfs>
  <cellStyles count="5">
    <cellStyle name="Comma [0]" xfId="1" builtinId="6"/>
    <cellStyle name="Hyperlink" xfId="4" builtinId="8"/>
    <cellStyle name="Normal" xfId="0" builtinId="0"/>
    <cellStyle name="Normal 2" xfId="3"/>
    <cellStyle name="Percent" xfId="2" builtinId="5"/>
  </cellStyles>
  <dxfs count="1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749300</xdr:colOff>
      <xdr:row>2</xdr:row>
      <xdr:rowOff>234950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1597025" cy="625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8.%20Agustu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03.%20Maret" TargetMode="External"/><Relationship Id="rId7" Type="http://schemas.openxmlformats.org/officeDocument/2006/relationships/hyperlink" Target="07.%20Juli" TargetMode="External"/><Relationship Id="rId12" Type="http://schemas.openxmlformats.org/officeDocument/2006/relationships/hyperlink" Target="12.%20Desember" TargetMode="External"/><Relationship Id="rId2" Type="http://schemas.openxmlformats.org/officeDocument/2006/relationships/hyperlink" Target="02.%20Februari" TargetMode="External"/><Relationship Id="rId1" Type="http://schemas.openxmlformats.org/officeDocument/2006/relationships/hyperlink" Target="01.%20Januari" TargetMode="External"/><Relationship Id="rId6" Type="http://schemas.openxmlformats.org/officeDocument/2006/relationships/hyperlink" Target="06.%20Juni" TargetMode="External"/><Relationship Id="rId11" Type="http://schemas.openxmlformats.org/officeDocument/2006/relationships/hyperlink" Target="11.%20November" TargetMode="External"/><Relationship Id="rId5" Type="http://schemas.openxmlformats.org/officeDocument/2006/relationships/hyperlink" Target="05.%20Mei" TargetMode="External"/><Relationship Id="rId10" Type="http://schemas.openxmlformats.org/officeDocument/2006/relationships/hyperlink" Target="10.%20Oktober" TargetMode="External"/><Relationship Id="rId4" Type="http://schemas.openxmlformats.org/officeDocument/2006/relationships/hyperlink" Target="04.%20April" TargetMode="External"/><Relationship Id="rId9" Type="http://schemas.openxmlformats.org/officeDocument/2006/relationships/hyperlink" Target="09.%20September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5" x14ac:dyDescent="0.25"/>
  <sheetData>
    <row r="1" spans="1:1" x14ac:dyDescent="0.25">
      <c r="A1" t="s">
        <v>92</v>
      </c>
    </row>
    <row r="2" spans="1:1" x14ac:dyDescent="0.25">
      <c r="A2" t="s">
        <v>90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  <row r="11" spans="1:1" x14ac:dyDescent="0.25">
      <c r="A11" t="s">
        <v>101</v>
      </c>
    </row>
    <row r="12" spans="1:1" x14ac:dyDescent="0.25">
      <c r="A12" t="s">
        <v>102</v>
      </c>
    </row>
    <row r="13" spans="1:1" x14ac:dyDescent="0.25">
      <c r="A13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66"/>
  <sheetViews>
    <sheetView tabSelected="1" view="pageBreakPreview" zoomScaleNormal="100" zoomScaleSheetLayoutView="100" workbookViewId="0">
      <pane xSplit="7" topLeftCell="AV1" activePane="topRight" state="frozen"/>
      <selection activeCell="A5" sqref="A5"/>
      <selection pane="topRight" activeCell="AY7" sqref="AY7"/>
    </sheetView>
  </sheetViews>
  <sheetFormatPr defaultRowHeight="15" x14ac:dyDescent="0.25"/>
  <cols>
    <col min="1" max="1" width="14.140625" customWidth="1"/>
    <col min="2" max="2" width="41.28515625" customWidth="1"/>
    <col min="3" max="3" width="19.140625" customWidth="1"/>
    <col min="4" max="4" width="14.5703125" customWidth="1"/>
    <col min="5" max="5" width="14.85546875" bestFit="1" customWidth="1"/>
    <col min="6" max="6" width="10.5703125" bestFit="1" customWidth="1"/>
    <col min="8" max="8" width="3.85546875" customWidth="1"/>
    <col min="9" max="9" width="9.140625" style="120"/>
    <col min="11" max="11" width="8.7109375" customWidth="1"/>
    <col min="12" max="12" width="3.85546875" customWidth="1"/>
    <col min="13" max="13" width="10.140625" style="120" bestFit="1" customWidth="1"/>
    <col min="16" max="16" width="3.140625" customWidth="1"/>
    <col min="17" max="17" width="9.140625" style="120"/>
    <col min="20" max="20" width="2.5703125" customWidth="1"/>
    <col min="21" max="21" width="9.140625" style="120"/>
    <col min="24" max="24" width="2.28515625" customWidth="1"/>
    <col min="25" max="25" width="9.140625" style="120"/>
    <col min="28" max="28" width="3" customWidth="1"/>
    <col min="29" max="29" width="9.140625" style="120"/>
    <col min="32" max="32" width="3" customWidth="1"/>
    <col min="33" max="33" width="9.140625" style="120"/>
    <col min="36" max="36" width="2.5703125" customWidth="1"/>
    <col min="37" max="37" width="9.140625" style="120"/>
    <col min="40" max="40" width="3.42578125" customWidth="1"/>
    <col min="41" max="41" width="9.140625" style="120"/>
    <col min="44" max="44" width="3" customWidth="1"/>
    <col min="45" max="45" width="9.140625" style="120"/>
    <col min="48" max="48" width="3" customWidth="1"/>
    <col min="49" max="49" width="9.140625" style="120"/>
    <col min="52" max="52" width="3" customWidth="1"/>
    <col min="53" max="53" width="9.140625" style="120"/>
  </cols>
  <sheetData>
    <row r="2" spans="1:55" ht="23.25" x14ac:dyDescent="0.35">
      <c r="B2" s="128" t="s">
        <v>0</v>
      </c>
      <c r="C2" s="128"/>
      <c r="D2" s="128"/>
      <c r="E2" s="128"/>
      <c r="F2" s="128"/>
    </row>
    <row r="3" spans="1:55" ht="23.25" x14ac:dyDescent="0.35">
      <c r="B3" s="128" t="s">
        <v>1</v>
      </c>
      <c r="C3" s="128"/>
      <c r="D3" s="128"/>
      <c r="E3" s="128"/>
      <c r="F3" s="128"/>
    </row>
    <row r="4" spans="1:55" ht="15.75" thickBot="1" x14ac:dyDescent="0.3"/>
    <row r="5" spans="1:55" ht="15.75" thickTop="1" x14ac:dyDescent="0.25">
      <c r="A5" s="86" t="s">
        <v>45</v>
      </c>
      <c r="B5" s="87" t="s">
        <v>108</v>
      </c>
      <c r="C5" s="88" t="s">
        <v>48</v>
      </c>
      <c r="D5" s="111">
        <v>13100</v>
      </c>
      <c r="E5" s="87" t="s">
        <v>51</v>
      </c>
      <c r="F5" s="129" t="s">
        <v>72</v>
      </c>
      <c r="G5" s="130"/>
    </row>
    <row r="6" spans="1:55" x14ac:dyDescent="0.25">
      <c r="A6" s="89" t="s">
        <v>46</v>
      </c>
      <c r="B6" s="112" t="s">
        <v>104</v>
      </c>
      <c r="C6" s="113" t="s">
        <v>49</v>
      </c>
      <c r="D6" s="114" t="s">
        <v>105</v>
      </c>
      <c r="E6" s="112"/>
      <c r="F6" s="112"/>
      <c r="G6" s="90"/>
    </row>
    <row r="7" spans="1:55" ht="15.75" thickBot="1" x14ac:dyDescent="0.3">
      <c r="A7" s="91" t="s">
        <v>47</v>
      </c>
      <c r="B7" s="92" t="s">
        <v>109</v>
      </c>
      <c r="C7" s="93" t="s">
        <v>50</v>
      </c>
      <c r="D7" s="115">
        <v>2022</v>
      </c>
      <c r="E7" s="92"/>
      <c r="F7" s="92"/>
      <c r="G7" s="94"/>
    </row>
    <row r="8" spans="1:55" ht="15.75" thickBot="1" x14ac:dyDescent="0.3">
      <c r="A8" s="1"/>
      <c r="B8" s="2"/>
      <c r="C8" s="2"/>
      <c r="D8" s="2"/>
      <c r="E8" s="2"/>
      <c r="F8" s="2"/>
      <c r="G8" s="3"/>
    </row>
    <row r="9" spans="1:55" ht="15.75" thickBot="1" x14ac:dyDescent="0.3">
      <c r="A9" s="131" t="s">
        <v>2</v>
      </c>
      <c r="B9" s="132"/>
      <c r="C9" s="132"/>
      <c r="D9" s="132"/>
      <c r="E9" s="132"/>
      <c r="F9" s="132"/>
      <c r="G9" s="133"/>
      <c r="I9" s="134" t="s">
        <v>3</v>
      </c>
      <c r="J9" s="134"/>
      <c r="K9" s="134"/>
      <c r="M9" s="134" t="s">
        <v>4</v>
      </c>
      <c r="N9" s="134"/>
      <c r="O9" s="134"/>
      <c r="Q9" s="134" t="s">
        <v>5</v>
      </c>
      <c r="R9" s="134"/>
      <c r="S9" s="134"/>
      <c r="U9" s="134" t="s">
        <v>6</v>
      </c>
      <c r="V9" s="134"/>
      <c r="W9" s="134"/>
      <c r="Y9" s="134" t="s">
        <v>7</v>
      </c>
      <c r="Z9" s="134"/>
      <c r="AA9" s="134"/>
      <c r="AC9" s="134" t="s">
        <v>8</v>
      </c>
      <c r="AD9" s="134"/>
      <c r="AE9" s="134"/>
      <c r="AG9" s="134" t="s">
        <v>9</v>
      </c>
      <c r="AH9" s="134"/>
      <c r="AI9" s="134"/>
      <c r="AK9" s="134" t="s">
        <v>10</v>
      </c>
      <c r="AL9" s="134"/>
      <c r="AM9" s="134"/>
      <c r="AO9" s="134" t="s">
        <v>11</v>
      </c>
      <c r="AP9" s="134"/>
      <c r="AQ9" s="134"/>
      <c r="AS9" s="134" t="s">
        <v>12</v>
      </c>
      <c r="AT9" s="134"/>
      <c r="AU9" s="134"/>
      <c r="AW9" s="134" t="s">
        <v>13</v>
      </c>
      <c r="AX9" s="134"/>
      <c r="AY9" s="134"/>
      <c r="BA9" s="134" t="s">
        <v>14</v>
      </c>
      <c r="BB9" s="134"/>
      <c r="BC9" s="134"/>
    </row>
    <row r="10" spans="1:55" ht="30.75" thickBot="1" x14ac:dyDescent="0.3">
      <c r="A10" s="4" t="s">
        <v>15</v>
      </c>
      <c r="B10" s="5" t="s">
        <v>16</v>
      </c>
      <c r="C10" s="95" t="s">
        <v>17</v>
      </c>
      <c r="D10" s="16" t="s">
        <v>18</v>
      </c>
      <c r="E10" s="17" t="s">
        <v>85</v>
      </c>
      <c r="F10" s="17" t="s">
        <v>86</v>
      </c>
      <c r="G10" s="18" t="s">
        <v>19</v>
      </c>
      <c r="I10" s="118" t="s">
        <v>20</v>
      </c>
      <c r="J10" s="96" t="s">
        <v>21</v>
      </c>
      <c r="K10" s="96" t="s">
        <v>22</v>
      </c>
      <c r="M10" s="119" t="s">
        <v>20</v>
      </c>
      <c r="N10" s="96" t="s">
        <v>21</v>
      </c>
      <c r="O10" s="96" t="s">
        <v>22</v>
      </c>
      <c r="Q10" s="119" t="s">
        <v>20</v>
      </c>
      <c r="R10" s="96" t="s">
        <v>21</v>
      </c>
      <c r="S10" s="96" t="s">
        <v>22</v>
      </c>
      <c r="U10" s="119" t="s">
        <v>20</v>
      </c>
      <c r="V10" s="96" t="s">
        <v>21</v>
      </c>
      <c r="W10" s="96" t="s">
        <v>22</v>
      </c>
      <c r="Y10" s="119" t="s">
        <v>20</v>
      </c>
      <c r="Z10" s="96" t="s">
        <v>21</v>
      </c>
      <c r="AA10" s="96" t="s">
        <v>22</v>
      </c>
      <c r="AC10" s="119" t="s">
        <v>20</v>
      </c>
      <c r="AD10" s="96" t="s">
        <v>21</v>
      </c>
      <c r="AE10" s="96" t="s">
        <v>22</v>
      </c>
      <c r="AG10" s="119" t="s">
        <v>20</v>
      </c>
      <c r="AH10" s="96" t="s">
        <v>21</v>
      </c>
      <c r="AI10" s="96" t="s">
        <v>22</v>
      </c>
      <c r="AK10" s="122" t="s">
        <v>20</v>
      </c>
      <c r="AL10" s="96" t="s">
        <v>21</v>
      </c>
      <c r="AM10" s="96" t="s">
        <v>22</v>
      </c>
      <c r="AO10" s="122" t="s">
        <v>20</v>
      </c>
      <c r="AP10" s="96" t="s">
        <v>21</v>
      </c>
      <c r="AQ10" s="96" t="s">
        <v>22</v>
      </c>
      <c r="AS10" s="122" t="s">
        <v>20</v>
      </c>
      <c r="AT10" s="96" t="s">
        <v>21</v>
      </c>
      <c r="AU10" s="96" t="s">
        <v>22</v>
      </c>
      <c r="AW10" s="123" t="s">
        <v>20</v>
      </c>
      <c r="AX10" s="96" t="s">
        <v>21</v>
      </c>
      <c r="AY10" s="96" t="s">
        <v>22</v>
      </c>
      <c r="BA10" s="123" t="s">
        <v>20</v>
      </c>
      <c r="BB10" s="96" t="s">
        <v>21</v>
      </c>
      <c r="BC10" s="96" t="s">
        <v>22</v>
      </c>
    </row>
    <row r="11" spans="1:55" ht="29.25" customHeight="1" thickBot="1" x14ac:dyDescent="0.3">
      <c r="A11" s="108" t="s">
        <v>52</v>
      </c>
      <c r="B11" s="116" t="s">
        <v>76</v>
      </c>
      <c r="C11" s="109" t="s">
        <v>106</v>
      </c>
      <c r="D11" s="110" t="s">
        <v>89</v>
      </c>
      <c r="E11" s="106">
        <v>5</v>
      </c>
      <c r="F11" s="106">
        <f t="shared" ref="F11:F24" si="0">IF(LEFT(C11,5)="MONTH",IF(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=0,"",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),IF(COUNT(I11,M11,Q11,U11,Y11,AC11,AG11,AK11,AO11,AS11,AW11,BA11)&lt;1,"",IF(OR(D11="A(-)",D11="A(+)"),AVERAGE(I11,M11,Q11,U11,Y11,AC11,AG11,AK11,AO11,AS11,AW11,BA11),IF(OR(D11="S(-)",D11="S(+)"),SUM(I11,M11,Q11,U11,Y11,AC11,AG11,AK11,AO11,AS11,AW11,BA11),""))))</f>
        <v>1.5</v>
      </c>
      <c r="G11" s="107">
        <f>IF(OR(F11="",F11="NA"),"",IF(OR(C11="time",LEFT(C11,3)="DAY"),IF(OR(C11="DAY2",C11="time"),IF((92%-(F11-E11)/(1/10*100))&lt;70%,70%,IF(92%-(F11-E11)/(1/10*100)&gt;105%,105%,92%-(F11-E11)/(1/10*100))),IF(COUNT(E11)=1,IF((112%-(F11-E11)/(1/10*100))&lt;70%,70%,IF(112%-(F11-E11)/(1/10*100)&gt;105%,105%,112%-(F11-E11)/(1/10*100))))),IF(LEFT(C11,5)="month",IF(C11="month1",IF((112%-IF(F11="W1",0,IF(F11="W2",1,MATCH(F11,Sheet1!$A$2:$A$13,0)-MATCH(E11,Sheet1!$A$2:$A$13,0)+1))/(1/10*100))&lt;70%,70%,IF(112%-IF(F11="W1",0,IF(F11="W2",1,MATCH(F11,Sheet1!$A$2:$A$13,0)-MATCH(E11,Sheet1!$A$2:$A$13,0)+1))/(1/10*100)&gt;105%,105%,112%-IF(F11="W1",0,IF(F11="W2",1,MATCH(F11,Sheet1!$A$2:$A$13,0)-MATCH(E11,Sheet1!$A$2:$A$13,0)+1))/(1/10*100))),IF((92%-(IF(OR(F11="w1",F11="w2"),1,MATCH(F11,Sheet1!$A$2:$A$13,0))-MATCH(E11,Sheet1!$A$2:$A$13,0))/(1/10*100))&lt;70%,70%,IF(92%-(IF(OR(F11="w1",F11="w2"),1,MATCH(F11,Sheet1!$A$2:$A$13,0))-MATCH(E11,Sheet1!$A$2:$A$13,0))/(1/10*100)&gt;105%,105%,92%-(IF(OR(F11="w1",F11="w2"),1,MATCH(F11,Sheet1!$A$2:$A$13,0))-MATCH(E11,Sheet1!$A$2:$A$13,0))/(1/10*100)))),IF(MID(D11,3,1)="+",IF(E11&lt;100,IF(112%-(E11-F11)/(1/IF(E11&lt;4,(40/E11),10)*100)&gt;105%,105%,IF(112%-(E11-F11)/(1/IF(E11&lt;4,(40/E11),10)*100)&lt;=72%,72%,112%-(E11-F11)/(1/IF(E11&lt;4,(40/E11),10)*100))),IF(112%-(E11-F11)/E11*10&gt;105%,105%,IF(112%-(E11-F11)/E11*10&lt;72%,72%,112%-(E11-F11)/E11*10))),IF(MID(D11,3,1)="-",IF(92%+((E11-F11)/(E11))*0.4&gt;105%,105%,IF(92%+((E11-F11)/(E11))*0.4&lt;72%,72%,92%+((E11-F11)/(E11))*0.4)),IF(OR(B11="BOTO",B11="NPI",B11="FF"),IF(102%+((E11-F11)/(E11))*0.4&gt;105%,105%,IF(102%+((E11-F11)/(E11))*0.4&lt;72%,72%,102%+((E11-F11)/(E11))*0.4)),""))))))</f>
        <v>1.05</v>
      </c>
      <c r="I11" s="118">
        <v>2</v>
      </c>
      <c r="J11" s="125" t="s">
        <v>112</v>
      </c>
      <c r="K11" s="9"/>
      <c r="M11" s="119">
        <v>1</v>
      </c>
      <c r="N11" s="125" t="s">
        <v>113</v>
      </c>
      <c r="O11" s="9"/>
      <c r="Q11" s="119">
        <v>1</v>
      </c>
      <c r="R11" s="125" t="s">
        <v>114</v>
      </c>
      <c r="S11" s="9"/>
      <c r="U11" s="119">
        <v>4</v>
      </c>
      <c r="V11" s="125" t="s">
        <v>116</v>
      </c>
      <c r="W11" s="9"/>
      <c r="Y11" s="119">
        <v>2</v>
      </c>
      <c r="Z11" s="125" t="s">
        <v>117</v>
      </c>
      <c r="AA11" s="9"/>
      <c r="AC11" s="119">
        <v>1</v>
      </c>
      <c r="AD11" s="125" t="s">
        <v>118</v>
      </c>
      <c r="AE11" s="9"/>
      <c r="AG11" s="119">
        <v>1</v>
      </c>
      <c r="AH11" s="125" t="s">
        <v>119</v>
      </c>
      <c r="AI11" s="9"/>
      <c r="AK11" s="122">
        <v>1</v>
      </c>
      <c r="AL11" s="125" t="s">
        <v>120</v>
      </c>
      <c r="AM11" s="9"/>
      <c r="AO11" s="122">
        <v>1</v>
      </c>
      <c r="AP11" s="125" t="s">
        <v>121</v>
      </c>
      <c r="AQ11" s="9"/>
      <c r="AS11" s="122">
        <v>1</v>
      </c>
      <c r="AT11" s="125" t="s">
        <v>122</v>
      </c>
      <c r="AU11" s="9"/>
      <c r="AW11" s="123">
        <v>1</v>
      </c>
      <c r="AX11" s="125" t="s">
        <v>124</v>
      </c>
      <c r="AY11" s="9"/>
      <c r="BA11" s="123">
        <v>2</v>
      </c>
      <c r="BB11" s="125" t="s">
        <v>127</v>
      </c>
      <c r="BC11" s="121" t="s">
        <v>125</v>
      </c>
    </row>
    <row r="12" spans="1:55" x14ac:dyDescent="0.25">
      <c r="A12" s="138" t="s">
        <v>53</v>
      </c>
      <c r="B12" s="6" t="s">
        <v>81</v>
      </c>
      <c r="C12" s="7" t="s">
        <v>107</v>
      </c>
      <c r="D12" s="8" t="s">
        <v>89</v>
      </c>
      <c r="E12" s="14">
        <v>1</v>
      </c>
      <c r="F12" s="14">
        <f t="shared" si="0"/>
        <v>0.1111111111111111</v>
      </c>
      <c r="G12" s="99">
        <f>IF(OR(F12="",F12="NA"),"",IF(OR(C12="time",LEFT(C12,3)="DAY"),IF(OR(C12="DAY2",C12="time"),IF((92%-(F12-E12)/(1/10*100))&lt;70%,70%,IF(92%-(F12-E12)/(1/10*100)&gt;105%,105%,92%-(F12-E12)/(1/10*100))),IF(COUNT(E12)=1,IF((112%-(F12-E12)/(1/10*100))&lt;70%,70%,IF(112%-(F12-E12)/(1/10*100)&gt;105%,105%,112%-(F12-E12)/(1/10*100))))),IF(LEFT(C12,5)="month",IF(C12="month1",IF((112%-IF(F12="W1",0,IF(F12="W2",1,MATCH(F12,Sheet1!$A$2:$A$13,0)-MATCH(E12,Sheet1!$A$2:$A$13,0)+1))/(1/10*100))&lt;70%,70%,IF(112%-IF(F12="W1",0,IF(F12="W2",1,MATCH(F12,Sheet1!$A$2:$A$13,0)-MATCH(E12,Sheet1!$A$2:$A$13,0)+1))/(1/10*100)&gt;105%,105%,112%-IF(F12="W1",0,IF(F12="W2",1,MATCH(F12,Sheet1!$A$2:$A$13,0)-MATCH(E12,Sheet1!$A$2:$A$13,0)+1))/(1/10*100))),IF((92%-(IF(OR(F12="w1",F12="w2"),1,MATCH(F12,Sheet1!$A$2:$A$13,0))-MATCH(E12,Sheet1!$A$2:$A$13,0))/(1/10*100))&lt;70%,70%,IF(92%-(IF(OR(F12="w1",F12="w2"),1,MATCH(F12,Sheet1!$A$2:$A$13,0))-MATCH(E12,Sheet1!$A$2:$A$13,0))/(1/10*100)&gt;105%,105%,92%-(IF(OR(F12="w1",F12="w2"),1,MATCH(F12,Sheet1!$A$2:$A$13,0))-MATCH(E12,Sheet1!$A$2:$A$13,0))/(1/10*100)))),IF(MID(D12,3,1)="+",IF(E12&lt;100,IF(112%-(E12-F12)/(1/IF(E12&lt;4,(40/E12),10)*100)&gt;105%,105%,IF(112%-(E12-F12)/(1/IF(E12&lt;4,(40/E12),10)*100)&lt;=72%,72%,112%-(E12-F12)/(1/IF(E12&lt;4,(40/E12),10)*100))),IF(112%-(E12-F12)/E12*10&gt;105%,105%,IF(112%-(E12-F12)/E12*10&lt;72%,72%,112%-(E12-F12)/E12*10))),IF(MID(D12,3,1)="-",IF(92%+((E12-F12)/(E12))*0.4&gt;105%,105%,IF(92%+((E12-F12)/(E12))*0.4&lt;72%,72%,92%+((E12-F12)/(E12))*0.4)),IF(OR(B12="BOTO",B12="NPI",B12="FF"),IF(102%+((E12-F12)/(E12))*0.4&gt;105%,105%,IF(102%+((E12-F12)/(E12))*0.4&lt;72%,72%,102%+((E12-F12)/(E12))*0.4)),""))))))</f>
        <v>1.05</v>
      </c>
      <c r="I12" s="118" t="s">
        <v>111</v>
      </c>
      <c r="J12" s="126"/>
      <c r="K12" s="9"/>
      <c r="M12" s="119" t="s">
        <v>111</v>
      </c>
      <c r="N12" s="126"/>
      <c r="O12" s="9"/>
      <c r="Q12" s="119" t="s">
        <v>111</v>
      </c>
      <c r="R12" s="126"/>
      <c r="S12" s="9"/>
      <c r="U12" s="119">
        <v>0</v>
      </c>
      <c r="V12" s="126"/>
      <c r="W12" s="9"/>
      <c r="Y12" s="119">
        <v>0</v>
      </c>
      <c r="Z12" s="126"/>
      <c r="AA12" s="9"/>
      <c r="AC12" s="119">
        <v>0</v>
      </c>
      <c r="AD12" s="126"/>
      <c r="AE12" s="9"/>
      <c r="AG12" s="119">
        <v>0</v>
      </c>
      <c r="AH12" s="126"/>
      <c r="AI12" s="9"/>
      <c r="AK12" s="122">
        <v>1</v>
      </c>
      <c r="AL12" s="126"/>
      <c r="AM12" s="9"/>
      <c r="AO12" s="122">
        <v>0</v>
      </c>
      <c r="AP12" s="126"/>
      <c r="AQ12" s="9"/>
      <c r="AS12" s="122">
        <v>0</v>
      </c>
      <c r="AT12" s="126"/>
      <c r="AU12" s="9"/>
      <c r="AW12" s="123">
        <v>0</v>
      </c>
      <c r="AX12" s="126"/>
      <c r="AY12" s="9"/>
      <c r="BA12" s="123">
        <v>0</v>
      </c>
      <c r="BB12" s="126"/>
      <c r="BC12" s="9"/>
    </row>
    <row r="13" spans="1:55" ht="30.75" thickBot="1" x14ac:dyDescent="0.3">
      <c r="A13" s="139"/>
      <c r="B13" s="117" t="s">
        <v>78</v>
      </c>
      <c r="C13" s="105" t="s">
        <v>107</v>
      </c>
      <c r="D13" s="102" t="s">
        <v>89</v>
      </c>
      <c r="E13" s="103">
        <v>2</v>
      </c>
      <c r="F13" s="103">
        <f t="shared" si="0"/>
        <v>0</v>
      </c>
      <c r="G13" s="104">
        <f>IF(OR(F13="",F13="NA"),"",IF(OR(C13="time",LEFT(C13,3)="DAY"),IF(OR(C13="DAY2",C13="time"),IF((92%-(F13-E13)/(1/10*100))&lt;70%,70%,IF(92%-(F13-E13)/(1/10*100)&gt;105%,105%,92%-(F13-E13)/(1/10*100))),IF(COUNT(E13)=1,IF((112%-(F13-E13)/(1/10*100))&lt;70%,70%,IF(112%-(F13-E13)/(1/10*100)&gt;105%,105%,112%-(F13-E13)/(1/10*100))))),IF(LEFT(C13,5)="month",IF(C13="month1",IF((112%-IF(F13="W1",0,IF(F13="W2",1,MATCH(F13,Sheet1!$A$2:$A$13,0)-MATCH(E13,Sheet1!$A$2:$A$13,0)+1))/(1/10*100))&lt;70%,70%,IF(112%-IF(F13="W1",0,IF(F13="W2",1,MATCH(F13,Sheet1!$A$2:$A$13,0)-MATCH(E13,Sheet1!$A$2:$A$13,0)+1))/(1/10*100)&gt;105%,105%,112%-IF(F13="W1",0,IF(F13="W2",1,MATCH(F13,Sheet1!$A$2:$A$13,0)-MATCH(E13,Sheet1!$A$2:$A$13,0)+1))/(1/10*100))),IF((92%-(IF(OR(F13="w1",F13="w2"),1,MATCH(F13,Sheet1!$A$2:$A$13,0))-MATCH(E13,Sheet1!$A$2:$A$13,0))/(1/10*100))&lt;70%,70%,IF(92%-(IF(OR(F13="w1",F13="w2"),1,MATCH(F13,Sheet1!$A$2:$A$13,0))-MATCH(E13,Sheet1!$A$2:$A$13,0))/(1/10*100)&gt;105%,105%,92%-(IF(OR(F13="w1",F13="w2"),1,MATCH(F13,Sheet1!$A$2:$A$13,0))-MATCH(E13,Sheet1!$A$2:$A$13,0))/(1/10*100)))),IF(MID(D13,3,1)="+",IF(E13&lt;100,IF(112%-(E13-F13)/(1/IF(E13&lt;4,(40/E13),10)*100)&gt;105%,105%,IF(112%-(E13-F13)/(1/IF(E13&lt;4,(40/E13),10)*100)&lt;=72%,72%,112%-(E13-F13)/(1/IF(E13&lt;4,(40/E13),10)*100))),IF(112%-(E13-F13)/E13*10&gt;105%,105%,IF(112%-(E13-F13)/E13*10&lt;72%,72%,112%-(E13-F13)/E13*10))),IF(MID(D13,3,1)="-",IF(92%+((E13-F13)/(E13))*0.4&gt;105%,105%,IF(92%+((E13-F13)/(E13))*0.4&lt;72%,72%,92%+((E13-F13)/(E13))*0.4)),IF(OR(B13="BOTO",B13="NPI",B13="FF"),IF(102%+((E13-F13)/(E13))*0.4&gt;105%,105%,IF(102%+((E13-F13)/(E13))*0.4&lt;72%,72%,102%+((E13-F13)/(E13))*0.4)),""))))))</f>
        <v>1.05</v>
      </c>
      <c r="I13" s="118">
        <v>0</v>
      </c>
      <c r="J13" s="126"/>
      <c r="K13" s="9"/>
      <c r="M13" s="119">
        <v>0</v>
      </c>
      <c r="N13" s="126"/>
      <c r="O13" s="9"/>
      <c r="Q13" s="119">
        <v>0</v>
      </c>
      <c r="R13" s="126"/>
      <c r="S13" s="9"/>
      <c r="U13" s="119">
        <v>0</v>
      </c>
      <c r="V13" s="126"/>
      <c r="W13" s="9"/>
      <c r="Y13" s="119">
        <v>0</v>
      </c>
      <c r="Z13" s="126"/>
      <c r="AA13" s="9"/>
      <c r="AC13" s="119">
        <v>0</v>
      </c>
      <c r="AD13" s="126"/>
      <c r="AE13" s="9"/>
      <c r="AG13" s="119">
        <v>0</v>
      </c>
      <c r="AH13" s="126"/>
      <c r="AI13" s="9"/>
      <c r="AK13" s="122">
        <v>0</v>
      </c>
      <c r="AL13" s="126"/>
      <c r="AM13" s="9"/>
      <c r="AO13" s="122">
        <v>0</v>
      </c>
      <c r="AP13" s="126"/>
      <c r="AQ13" s="9"/>
      <c r="AS13" s="122">
        <v>0</v>
      </c>
      <c r="AT13" s="126"/>
      <c r="AU13" s="9"/>
      <c r="AW13" s="123">
        <v>0</v>
      </c>
      <c r="AX13" s="126"/>
      <c r="AY13" s="9"/>
      <c r="BA13" s="123">
        <v>0</v>
      </c>
      <c r="BB13" s="126"/>
      <c r="BC13" s="9"/>
    </row>
    <row r="14" spans="1:55" x14ac:dyDescent="0.25">
      <c r="A14" s="135" t="s">
        <v>54</v>
      </c>
      <c r="B14" s="60" t="s">
        <v>110</v>
      </c>
      <c r="C14" s="61" t="s">
        <v>107</v>
      </c>
      <c r="D14" s="62" t="s">
        <v>89</v>
      </c>
      <c r="E14" s="98">
        <v>7</v>
      </c>
      <c r="F14" s="98">
        <f t="shared" si="0"/>
        <v>2.375</v>
      </c>
      <c r="G14" s="63">
        <f>IF(OR(F14="",F14="NA"),"",IF(OR(C14="time",LEFT(C14,3)="DAY"),IF(OR(C14="DAY2",C14="time"),IF((92%-(F14-E14)/(1/10*100))&lt;70%,70%,IF(92%-(F14-E14)/(1/10*100)&gt;105%,105%,92%-(F14-E14)/(1/10*100))),IF(COUNT(E14)=1,IF((112%-(F14-E14)/(1/10*100))&lt;70%,70%,IF(112%-(F14-E14)/(1/10*100)&gt;105%,105%,112%-(F14-E14)/(1/10*100))))),IF(LEFT(C14,5)="month",IF(C14="month1",IF((112%-IF(F14="W1",0,IF(F14="W2",1,MATCH(F14,Sheet1!$A$2:$A$13,0)-MATCH(E14,Sheet1!$A$2:$A$13,0)+1))/(1/10*100))&lt;70%,70%,IF(112%-IF(F14="W1",0,IF(F14="W2",1,MATCH(F14,Sheet1!$A$2:$A$13,0)-MATCH(E14,Sheet1!$A$2:$A$13,0)+1))/(1/10*100)&gt;105%,105%,112%-IF(F14="W1",0,IF(F14="W2",1,MATCH(F14,Sheet1!$A$2:$A$13,0)-MATCH(E14,Sheet1!$A$2:$A$13,0)+1))/(1/10*100))),IF((92%-(IF(OR(F14="w1",F14="w2"),1,MATCH(F14,Sheet1!$A$2:$A$13,0))-MATCH(E14,Sheet1!$A$2:$A$13,0))/(1/10*100))&lt;70%,70%,IF(92%-(IF(OR(F14="w1",F14="w2"),1,MATCH(F14,Sheet1!$A$2:$A$13,0))-MATCH(E14,Sheet1!$A$2:$A$13,0))/(1/10*100)&gt;105%,105%,92%-(IF(OR(F14="w1",F14="w2"),1,MATCH(F14,Sheet1!$A$2:$A$13,0))-MATCH(E14,Sheet1!$A$2:$A$13,0))/(1/10*100)))),IF(MID(D14,3,1)="+",IF(E14&lt;100,IF(112%-(E14-F14)/(1/IF(E14&lt;4,(40/E14),10)*100)&gt;105%,105%,IF(112%-(E14-F14)/(1/IF(E14&lt;4,(40/E14),10)*100)&lt;=72%,72%,112%-(E14-F14)/(1/IF(E14&lt;4,(40/E14),10)*100))),IF(112%-(E14-F14)/E14*10&gt;105%,105%,IF(112%-(E14-F14)/E14*10&lt;72%,72%,112%-(E14-F14)/E14*10))),IF(MID(D14,3,1)="-",IF(92%+((E14-F14)/(E14))*0.4&gt;105%,105%,IF(92%+((E14-F14)/(E14))*0.4&lt;72%,72%,92%+((E14-F14)/(E14))*0.4)),IF(OR(B14="BOTO",B14="NPI",B14="FF"),IF(102%+((E14-F14)/(E14))*0.4&gt;105%,105%,IF(102%+((E14-F14)/(E14))*0.4&lt;72%,72%,102%+((E14-F14)/(E14))*0.4)),""))))))</f>
        <v>1.05</v>
      </c>
      <c r="I14" s="118">
        <v>2</v>
      </c>
      <c r="J14" s="126"/>
      <c r="K14" s="9"/>
      <c r="M14" s="119">
        <v>0</v>
      </c>
      <c r="N14" s="126"/>
      <c r="O14" s="9"/>
      <c r="Q14" s="119">
        <v>0</v>
      </c>
      <c r="R14" s="126"/>
      <c r="S14" s="9"/>
      <c r="U14" s="119" t="s">
        <v>111</v>
      </c>
      <c r="V14" s="126"/>
      <c r="W14" s="9"/>
      <c r="Y14" s="119" t="s">
        <v>111</v>
      </c>
      <c r="Z14" s="126"/>
      <c r="AA14" s="9"/>
      <c r="AC14" s="119">
        <v>0</v>
      </c>
      <c r="AD14" s="126"/>
      <c r="AE14" s="9"/>
      <c r="AG14" s="119">
        <v>13</v>
      </c>
      <c r="AH14" s="126"/>
      <c r="AI14" s="9"/>
      <c r="AK14" s="122">
        <v>4</v>
      </c>
      <c r="AL14" s="126"/>
      <c r="AM14" s="9"/>
      <c r="AO14" s="122" t="s">
        <v>111</v>
      </c>
      <c r="AP14" s="126"/>
      <c r="AQ14" s="9"/>
      <c r="AS14" s="122">
        <v>0</v>
      </c>
      <c r="AT14" s="126"/>
      <c r="AU14" s="9"/>
      <c r="AW14" s="123">
        <v>0</v>
      </c>
      <c r="AX14" s="126"/>
      <c r="AY14" s="9"/>
      <c r="BA14" s="123" t="s">
        <v>111</v>
      </c>
      <c r="BB14" s="126"/>
      <c r="BC14" s="9"/>
    </row>
    <row r="15" spans="1:55" x14ac:dyDescent="0.25">
      <c r="A15" s="135"/>
      <c r="B15" s="60" t="s">
        <v>77</v>
      </c>
      <c r="C15" s="11" t="s">
        <v>107</v>
      </c>
      <c r="D15" s="62" t="s">
        <v>89</v>
      </c>
      <c r="E15" s="13">
        <v>1</v>
      </c>
      <c r="F15" s="13">
        <f t="shared" si="0"/>
        <v>0</v>
      </c>
      <c r="G15" s="12">
        <f>IF(OR(F15="",F15="NA"),"",IF(OR(C15="time",LEFT(C15,3)="DAY"),IF(OR(C15="DAY2",C15="time"),IF((92%-(F15-E15)/(1/10*100))&lt;70%,70%,IF(92%-(F15-E15)/(1/10*100)&gt;105%,105%,92%-(F15-E15)/(1/10*100))),IF(COUNT(E15)=1,IF((112%-(F15-E15)/(1/10*100))&lt;70%,70%,IF(112%-(F15-E15)/(1/10*100)&gt;105%,105%,112%-(F15-E15)/(1/10*100))))),IF(LEFT(C15,5)="month",IF(C15="month1",IF((112%-IF(F15="W1",0,IF(F15="W2",1,MATCH(F15,Sheet1!$A$2:$A$13,0)-MATCH(E15,Sheet1!$A$2:$A$13,0)+1))/(1/10*100))&lt;70%,70%,IF(112%-IF(F15="W1",0,IF(F15="W2",1,MATCH(F15,Sheet1!$A$2:$A$13,0)-MATCH(E15,Sheet1!$A$2:$A$13,0)+1))/(1/10*100)&gt;105%,105%,112%-IF(F15="W1",0,IF(F15="W2",1,MATCH(F15,Sheet1!$A$2:$A$13,0)-MATCH(E15,Sheet1!$A$2:$A$13,0)+1))/(1/10*100))),IF((92%-(IF(OR(F15="w1",F15="w2"),1,MATCH(F15,Sheet1!$A$2:$A$13,0))-MATCH(E15,Sheet1!$A$2:$A$13,0))/(1/10*100))&lt;70%,70%,IF(92%-(IF(OR(F15="w1",F15="w2"),1,MATCH(F15,Sheet1!$A$2:$A$13,0))-MATCH(E15,Sheet1!$A$2:$A$13,0))/(1/10*100)&gt;105%,105%,92%-(IF(OR(F15="w1",F15="w2"),1,MATCH(F15,Sheet1!$A$2:$A$13,0))-MATCH(E15,Sheet1!$A$2:$A$13,0))/(1/10*100)))),IF(MID(D15,3,1)="+",IF(E15&lt;100,IF(112%-(E15-F15)/(1/IF(E15&lt;4,(40/E15),10)*100)&gt;105%,105%,IF(112%-(E15-F15)/(1/IF(E15&lt;4,(40/E15),10)*100)&lt;=72%,72%,112%-(E15-F15)/(1/IF(E15&lt;4,(40/E15),10)*100))),IF(112%-(E15-F15)/E15*10&gt;105%,105%,IF(112%-(E15-F15)/E15*10&lt;72%,72%,112%-(E15-F15)/E15*10))),IF(MID(D15,3,1)="-",IF(92%+((E15-F15)/(E15))*0.4&gt;105%,105%,IF(92%+((E15-F15)/(E15))*0.4&lt;72%,72%,92%+((E15-F15)/(E15))*0.4)),IF(OR(B15="BOTO",B15="NPI",B15="FF"),IF(102%+((E15-F15)/(E15))*0.4&gt;105%,105%,IF(102%+((E15-F15)/(E15))*0.4&lt;72%,72%,102%+((E15-F15)/(E15))*0.4)),""))))))</f>
        <v>1.05</v>
      </c>
      <c r="I15" s="118">
        <v>0</v>
      </c>
      <c r="J15" s="126"/>
      <c r="K15" s="9"/>
      <c r="M15" s="119">
        <v>0</v>
      </c>
      <c r="N15" s="126"/>
      <c r="O15" s="9"/>
      <c r="Q15" s="119">
        <v>0</v>
      </c>
      <c r="R15" s="126"/>
      <c r="S15" s="9"/>
      <c r="U15" s="119">
        <v>0</v>
      </c>
      <c r="V15" s="126"/>
      <c r="W15" s="9"/>
      <c r="Y15" s="119">
        <v>0</v>
      </c>
      <c r="Z15" s="126"/>
      <c r="AA15" s="9"/>
      <c r="AC15" s="119">
        <v>0</v>
      </c>
      <c r="AD15" s="126"/>
      <c r="AE15" s="9"/>
      <c r="AG15" s="119">
        <v>0</v>
      </c>
      <c r="AH15" s="126"/>
      <c r="AI15" s="9"/>
      <c r="AK15" s="122">
        <v>0</v>
      </c>
      <c r="AL15" s="126"/>
      <c r="AM15" s="9"/>
      <c r="AO15" s="122">
        <v>0</v>
      </c>
      <c r="AP15" s="126"/>
      <c r="AQ15" s="9"/>
      <c r="AS15" s="122">
        <v>0</v>
      </c>
      <c r="AT15" s="126"/>
      <c r="AU15" s="9"/>
      <c r="AW15" s="123">
        <v>0</v>
      </c>
      <c r="AX15" s="126"/>
      <c r="AY15" s="9"/>
      <c r="BA15" s="123">
        <v>0</v>
      </c>
      <c r="BB15" s="126"/>
      <c r="BC15" s="9"/>
    </row>
    <row r="16" spans="1:55" ht="17.25" customHeight="1" x14ac:dyDescent="0.25">
      <c r="A16" s="135"/>
      <c r="B16" s="60" t="s">
        <v>79</v>
      </c>
      <c r="C16" s="61" t="s">
        <v>107</v>
      </c>
      <c r="D16" s="62" t="s">
        <v>89</v>
      </c>
      <c r="E16" s="13">
        <v>2</v>
      </c>
      <c r="F16" s="13">
        <f t="shared" si="0"/>
        <v>0</v>
      </c>
      <c r="G16" s="12">
        <f>IF(OR(F16="",F16="NA"),"",IF(OR(C16="time",LEFT(C16,3)="DAY"),IF(OR(C16="DAY2",C16="time"),IF((92%-(F16-E16)/(1/10*100))&lt;70%,70%,IF(92%-(F16-E16)/(1/10*100)&gt;105%,105%,92%-(F16-E16)/(1/10*100))),IF(COUNT(E16)=1,IF((112%-(F16-E16)/(1/10*100))&lt;70%,70%,IF(112%-(F16-E16)/(1/10*100)&gt;105%,105%,112%-(F16-E16)/(1/10*100))))),IF(LEFT(C16,5)="month",IF(C16="month1",IF((112%-IF(F16="W1",0,IF(F16="W2",1,MATCH(F16,Sheet1!$A$2:$A$13,0)-MATCH(E16,Sheet1!$A$2:$A$13,0)+1))/(1/10*100))&lt;70%,70%,IF(112%-IF(F16="W1",0,IF(F16="W2",1,MATCH(F16,Sheet1!$A$2:$A$13,0)-MATCH(E16,Sheet1!$A$2:$A$13,0)+1))/(1/10*100)&gt;105%,105%,112%-IF(F16="W1",0,IF(F16="W2",1,MATCH(F16,Sheet1!$A$2:$A$13,0)-MATCH(E16,Sheet1!$A$2:$A$13,0)+1))/(1/10*100))),IF((92%-(IF(OR(F16="w1",F16="w2"),1,MATCH(F16,Sheet1!$A$2:$A$13,0))-MATCH(E16,Sheet1!$A$2:$A$13,0))/(1/10*100))&lt;70%,70%,IF(92%-(IF(OR(F16="w1",F16="w2"),1,MATCH(F16,Sheet1!$A$2:$A$13,0))-MATCH(E16,Sheet1!$A$2:$A$13,0))/(1/10*100)&gt;105%,105%,92%-(IF(OR(F16="w1",F16="w2"),1,MATCH(F16,Sheet1!$A$2:$A$13,0))-MATCH(E16,Sheet1!$A$2:$A$13,0))/(1/10*100)))),IF(MID(D16,3,1)="+",IF(E16&lt;100,IF(112%-(E16-F16)/(1/IF(E16&lt;4,(40/E16),10)*100)&gt;105%,105%,IF(112%-(E16-F16)/(1/IF(E16&lt;4,(40/E16),10)*100)&lt;=72%,72%,112%-(E16-F16)/(1/IF(E16&lt;4,(40/E16),10)*100))),IF(112%-(E16-F16)/E16*10&gt;105%,105%,IF(112%-(E16-F16)/E16*10&lt;72%,72%,112%-(E16-F16)/E16*10))),IF(MID(D16,3,1)="-",IF(92%+((E16-F16)/(E16))*0.4&gt;105%,105%,IF(92%+((E16-F16)/(E16))*0.4&lt;72%,72%,92%+((E16-F16)/(E16))*0.4)),IF(OR(B16="BOTO",B16="NPI",B16="FF"),IF(102%+((E16-F16)/(E16))*0.4&gt;105%,105%,IF(102%+((E16-F16)/(E16))*0.4&lt;72%,72%,102%+((E16-F16)/(E16))*0.4)),""))))))</f>
        <v>1.05</v>
      </c>
      <c r="I16" s="118" t="s">
        <v>111</v>
      </c>
      <c r="J16" s="126"/>
      <c r="K16" s="9"/>
      <c r="M16" s="119">
        <v>0</v>
      </c>
      <c r="N16" s="126"/>
      <c r="O16" s="9"/>
      <c r="Q16" s="119">
        <v>0</v>
      </c>
      <c r="R16" s="126"/>
      <c r="S16" s="9"/>
      <c r="U16" s="119" t="s">
        <v>111</v>
      </c>
      <c r="V16" s="126"/>
      <c r="W16" s="9"/>
      <c r="Y16" s="119">
        <v>0</v>
      </c>
      <c r="Z16" s="126"/>
      <c r="AA16" s="9"/>
      <c r="AC16" s="119" t="s">
        <v>111</v>
      </c>
      <c r="AD16" s="126"/>
      <c r="AE16" s="9"/>
      <c r="AG16" s="119" t="s">
        <v>111</v>
      </c>
      <c r="AH16" s="126"/>
      <c r="AI16" s="9"/>
      <c r="AK16" s="122">
        <v>0</v>
      </c>
      <c r="AL16" s="126"/>
      <c r="AM16" s="9"/>
      <c r="AO16" s="122" t="s">
        <v>111</v>
      </c>
      <c r="AP16" s="126"/>
      <c r="AQ16" s="9"/>
      <c r="AS16" s="122" t="s">
        <v>111</v>
      </c>
      <c r="AT16" s="126"/>
      <c r="AU16" s="9"/>
      <c r="AW16" s="123" t="s">
        <v>111</v>
      </c>
      <c r="AX16" s="126"/>
      <c r="AY16" s="9"/>
      <c r="BA16" s="123">
        <v>0</v>
      </c>
      <c r="BB16" s="126"/>
      <c r="BC16" s="9"/>
    </row>
    <row r="17" spans="1:55" x14ac:dyDescent="0.25">
      <c r="A17" s="135"/>
      <c r="B17" s="60" t="s">
        <v>80</v>
      </c>
      <c r="C17" s="11" t="s">
        <v>107</v>
      </c>
      <c r="D17" s="62" t="s">
        <v>89</v>
      </c>
      <c r="E17" s="13">
        <v>1</v>
      </c>
      <c r="F17" s="13">
        <f t="shared" si="0"/>
        <v>0</v>
      </c>
      <c r="G17" s="12">
        <f>IF(OR(F17="",F17="NA"),"",IF(OR(C17="time",LEFT(C17,3)="DAY"),IF(OR(C17="DAY2",C17="time"),IF((92%-(F17-E17)/(1/10*100))&lt;70%,70%,IF(92%-(F17-E17)/(1/10*100)&gt;105%,105%,92%-(F17-E17)/(1/10*100))),IF(COUNT(E17)=1,IF((112%-(F17-E17)/(1/10*100))&lt;70%,70%,IF(112%-(F17-E17)/(1/10*100)&gt;105%,105%,112%-(F17-E17)/(1/10*100))))),IF(LEFT(C17,5)="month",IF(C17="month1",IF((112%-IF(F17="W1",0,IF(F17="W2",1,MATCH(F17,Sheet1!$A$2:$A$13,0)-MATCH(E17,Sheet1!$A$2:$A$13,0)+1))/(1/10*100))&lt;70%,70%,IF(112%-IF(F17="W1",0,IF(F17="W2",1,MATCH(F17,Sheet1!$A$2:$A$13,0)-MATCH(E17,Sheet1!$A$2:$A$13,0)+1))/(1/10*100)&gt;105%,105%,112%-IF(F17="W1",0,IF(F17="W2",1,MATCH(F17,Sheet1!$A$2:$A$13,0)-MATCH(E17,Sheet1!$A$2:$A$13,0)+1))/(1/10*100))),IF((92%-(IF(OR(F17="w1",F17="w2"),1,MATCH(F17,Sheet1!$A$2:$A$13,0))-MATCH(E17,Sheet1!$A$2:$A$13,0))/(1/10*100))&lt;70%,70%,IF(92%-(IF(OR(F17="w1",F17="w2"),1,MATCH(F17,Sheet1!$A$2:$A$13,0))-MATCH(E17,Sheet1!$A$2:$A$13,0))/(1/10*100)&gt;105%,105%,92%-(IF(OR(F17="w1",F17="w2"),1,MATCH(F17,Sheet1!$A$2:$A$13,0))-MATCH(E17,Sheet1!$A$2:$A$13,0))/(1/10*100)))),IF(MID(D17,3,1)="+",IF(E17&lt;100,IF(112%-(E17-F17)/(1/IF(E17&lt;4,(40/E17),10)*100)&gt;105%,105%,IF(112%-(E17-F17)/(1/IF(E17&lt;4,(40/E17),10)*100)&lt;=72%,72%,112%-(E17-F17)/(1/IF(E17&lt;4,(40/E17),10)*100))),IF(112%-(E17-F17)/E17*10&gt;105%,105%,IF(112%-(E17-F17)/E17*10&lt;72%,72%,112%-(E17-F17)/E17*10))),IF(MID(D17,3,1)="-",IF(92%+((E17-F17)/(E17))*0.4&gt;105%,105%,IF(92%+((E17-F17)/(E17))*0.4&lt;72%,72%,92%+((E17-F17)/(E17))*0.4)),IF(OR(B17="BOTO",B17="NPI",B17="FF"),IF(102%+((E17-F17)/(E17))*0.4&gt;105%,105%,IF(102%+((E17-F17)/(E17))*0.4&lt;72%,72%,102%+((E17-F17)/(E17))*0.4)),""))))))</f>
        <v>1.05</v>
      </c>
      <c r="I17" s="118" t="s">
        <v>111</v>
      </c>
      <c r="J17" s="126"/>
      <c r="K17" s="9"/>
      <c r="M17" s="119" t="s">
        <v>111</v>
      </c>
      <c r="N17" s="126"/>
      <c r="O17" s="9"/>
      <c r="Q17" s="119" t="s">
        <v>111</v>
      </c>
      <c r="R17" s="126"/>
      <c r="S17" s="9"/>
      <c r="U17" s="119" t="s">
        <v>111</v>
      </c>
      <c r="V17" s="126"/>
      <c r="W17" s="9"/>
      <c r="Y17" s="119" t="s">
        <v>111</v>
      </c>
      <c r="Z17" s="126"/>
      <c r="AA17" s="9"/>
      <c r="AC17" s="119" t="s">
        <v>111</v>
      </c>
      <c r="AD17" s="126"/>
      <c r="AE17" s="9"/>
      <c r="AG17" s="119" t="s">
        <v>111</v>
      </c>
      <c r="AH17" s="126"/>
      <c r="AI17" s="9"/>
      <c r="AK17" s="122" t="s">
        <v>111</v>
      </c>
      <c r="AL17" s="126"/>
      <c r="AM17" s="9"/>
      <c r="AO17" s="122" t="s">
        <v>111</v>
      </c>
      <c r="AP17" s="126"/>
      <c r="AQ17" s="9"/>
      <c r="AS17" s="122" t="s">
        <v>111</v>
      </c>
      <c r="AT17" s="126"/>
      <c r="AU17" s="9"/>
      <c r="AW17" s="123">
        <v>0</v>
      </c>
      <c r="AX17" s="126"/>
      <c r="AY17" s="9"/>
      <c r="BA17" s="123">
        <v>0</v>
      </c>
      <c r="BB17" s="126"/>
      <c r="BC17" s="9" t="s">
        <v>126</v>
      </c>
    </row>
    <row r="18" spans="1:55" x14ac:dyDescent="0.25">
      <c r="A18" s="135"/>
      <c r="B18" s="60" t="s">
        <v>87</v>
      </c>
      <c r="C18" s="61" t="s">
        <v>107</v>
      </c>
      <c r="D18" s="62" t="s">
        <v>89</v>
      </c>
      <c r="E18" s="13">
        <v>1</v>
      </c>
      <c r="F18" s="13">
        <f t="shared" si="0"/>
        <v>8.3333333333333329E-2</v>
      </c>
      <c r="G18" s="12">
        <f>IF(OR(F18="",F18="NA"),"",IF(OR(C18="time",LEFT(C18,3)="DAY"),IF(OR(C18="DAY2",C18="time"),IF((92%-(F18-E18)/(1/10*100))&lt;70%,70%,IF(92%-(F18-E18)/(1/10*100)&gt;105%,105%,92%-(F18-E18)/(1/10*100))),IF(COUNT(E18)=1,IF((112%-(F18-E18)/(1/10*100))&lt;70%,70%,IF(112%-(F18-E18)/(1/10*100)&gt;105%,105%,112%-(F18-E18)/(1/10*100))))),IF(LEFT(C18,5)="month",IF(C18="month1",IF((112%-IF(F18="W1",0,IF(F18="W2",1,MATCH(F18,Sheet1!$A$2:$A$13,0)-MATCH(E18,Sheet1!$A$2:$A$13,0)+1))/(1/10*100))&lt;70%,70%,IF(112%-IF(F18="W1",0,IF(F18="W2",1,MATCH(F18,Sheet1!$A$2:$A$13,0)-MATCH(E18,Sheet1!$A$2:$A$13,0)+1))/(1/10*100)&gt;105%,105%,112%-IF(F18="W1",0,IF(F18="W2",1,MATCH(F18,Sheet1!$A$2:$A$13,0)-MATCH(E18,Sheet1!$A$2:$A$13,0)+1))/(1/10*100))),IF((92%-(IF(OR(F18="w1",F18="w2"),1,MATCH(F18,Sheet1!$A$2:$A$13,0))-MATCH(E18,Sheet1!$A$2:$A$13,0))/(1/10*100))&lt;70%,70%,IF(92%-(IF(OR(F18="w1",F18="w2"),1,MATCH(F18,Sheet1!$A$2:$A$13,0))-MATCH(E18,Sheet1!$A$2:$A$13,0))/(1/10*100)&gt;105%,105%,92%-(IF(OR(F18="w1",F18="w2"),1,MATCH(F18,Sheet1!$A$2:$A$13,0))-MATCH(E18,Sheet1!$A$2:$A$13,0))/(1/10*100)))),IF(MID(D18,3,1)="+",IF(E18&lt;100,IF(112%-(E18-F18)/(1/IF(E18&lt;4,(40/E18),10)*100)&gt;105%,105%,IF(112%-(E18-F18)/(1/IF(E18&lt;4,(40/E18),10)*100)&lt;=72%,72%,112%-(E18-F18)/(1/IF(E18&lt;4,(40/E18),10)*100))),IF(112%-(E18-F18)/E18*10&gt;105%,105%,IF(112%-(E18-F18)/E18*10&lt;72%,72%,112%-(E18-F18)/E18*10))),IF(MID(D18,3,1)="-",IF(92%+((E18-F18)/(E18))*0.4&gt;105%,105%,IF(92%+((E18-F18)/(E18))*0.4&lt;72%,72%,92%+((E18-F18)/(E18))*0.4)),IF(OR(B18="BOTO",B18="NPI",B18="FF"),IF(102%+((E18-F18)/(E18))*0.4&gt;105%,105%,IF(102%+((E18-F18)/(E18))*0.4&lt;72%,72%,102%+((E18-F18)/(E18))*0.4)),""))))))</f>
        <v>1.05</v>
      </c>
      <c r="I18" s="118">
        <v>1</v>
      </c>
      <c r="J18" s="126"/>
      <c r="K18" s="9"/>
      <c r="M18" s="119">
        <v>0</v>
      </c>
      <c r="N18" s="126"/>
      <c r="O18" s="9"/>
      <c r="Q18" s="119">
        <v>0</v>
      </c>
      <c r="R18" s="126"/>
      <c r="S18" s="9"/>
      <c r="U18" s="119">
        <v>0</v>
      </c>
      <c r="V18" s="126"/>
      <c r="W18" s="9"/>
      <c r="Y18" s="119">
        <v>0</v>
      </c>
      <c r="Z18" s="126"/>
      <c r="AA18" s="9"/>
      <c r="AC18" s="119">
        <v>0</v>
      </c>
      <c r="AD18" s="126"/>
      <c r="AE18" s="9"/>
      <c r="AG18" s="119">
        <v>0</v>
      </c>
      <c r="AH18" s="126"/>
      <c r="AI18" s="9"/>
      <c r="AK18" s="122">
        <v>0</v>
      </c>
      <c r="AL18" s="126"/>
      <c r="AM18" s="9"/>
      <c r="AO18" s="122">
        <v>0</v>
      </c>
      <c r="AP18" s="126"/>
      <c r="AQ18" s="9"/>
      <c r="AS18" s="122">
        <v>0</v>
      </c>
      <c r="AT18" s="126"/>
      <c r="AU18" s="9"/>
      <c r="AW18" s="123">
        <v>0</v>
      </c>
      <c r="AX18" s="126"/>
      <c r="AY18" s="9"/>
      <c r="BA18" s="123">
        <v>0</v>
      </c>
      <c r="BB18" s="126"/>
      <c r="BC18" s="9"/>
    </row>
    <row r="19" spans="1:55" x14ac:dyDescent="0.25">
      <c r="A19" s="135"/>
      <c r="B19" s="60" t="s">
        <v>88</v>
      </c>
      <c r="C19" s="11" t="s">
        <v>107</v>
      </c>
      <c r="D19" s="62" t="s">
        <v>89</v>
      </c>
      <c r="E19" s="13">
        <v>1</v>
      </c>
      <c r="F19" s="13">
        <f t="shared" si="0"/>
        <v>0</v>
      </c>
      <c r="G19" s="12">
        <f>IF(OR(F19="",F19="NA"),"",IF(OR(C19="time",LEFT(C19,3)="DAY"),IF(OR(C19="DAY2",C19="time"),IF((92%-(F19-E19)/(1/10*100))&lt;70%,70%,IF(92%-(F19-E19)/(1/10*100)&gt;105%,105%,92%-(F19-E19)/(1/10*100))),IF(COUNT(E19)=1,IF((112%-(F19-E19)/(1/10*100))&lt;70%,70%,IF(112%-(F19-E19)/(1/10*100)&gt;105%,105%,112%-(F19-E19)/(1/10*100))))),IF(LEFT(C19,5)="month",IF(C19="month1",IF((112%-IF(F19="W1",0,IF(F19="W2",1,MATCH(F19,Sheet1!$A$2:$A$13,0)-MATCH(E19,Sheet1!$A$2:$A$13,0)+1))/(1/10*100))&lt;70%,70%,IF(112%-IF(F19="W1",0,IF(F19="W2",1,MATCH(F19,Sheet1!$A$2:$A$13,0)-MATCH(E19,Sheet1!$A$2:$A$13,0)+1))/(1/10*100)&gt;105%,105%,112%-IF(F19="W1",0,IF(F19="W2",1,MATCH(F19,Sheet1!$A$2:$A$13,0)-MATCH(E19,Sheet1!$A$2:$A$13,0)+1))/(1/10*100))),IF((92%-(IF(OR(F19="w1",F19="w2"),1,MATCH(F19,Sheet1!$A$2:$A$13,0))-MATCH(E19,Sheet1!$A$2:$A$13,0))/(1/10*100))&lt;70%,70%,IF(92%-(IF(OR(F19="w1",F19="w2"),1,MATCH(F19,Sheet1!$A$2:$A$13,0))-MATCH(E19,Sheet1!$A$2:$A$13,0))/(1/10*100)&gt;105%,105%,92%-(IF(OR(F19="w1",F19="w2"),1,MATCH(F19,Sheet1!$A$2:$A$13,0))-MATCH(E19,Sheet1!$A$2:$A$13,0))/(1/10*100)))),IF(MID(D19,3,1)="+",IF(E19&lt;100,IF(112%-(E19-F19)/(1/IF(E19&lt;4,(40/E19),10)*100)&gt;105%,105%,IF(112%-(E19-F19)/(1/IF(E19&lt;4,(40/E19),10)*100)&lt;=72%,72%,112%-(E19-F19)/(1/IF(E19&lt;4,(40/E19),10)*100))),IF(112%-(E19-F19)/E19*10&gt;105%,105%,IF(112%-(E19-F19)/E19*10&lt;72%,72%,112%-(E19-F19)/E19*10))),IF(MID(D19,3,1)="-",IF(92%+((E19-F19)/(E19))*0.4&gt;105%,105%,IF(92%+((E19-F19)/(E19))*0.4&lt;72%,72%,92%+((E19-F19)/(E19))*0.4)),IF(OR(B19="BOTO",B19="NPI",B19="FF"),IF(102%+((E19-F19)/(E19))*0.4&gt;105%,105%,IF(102%+((E19-F19)/(E19))*0.4&lt;72%,72%,102%+((E19-F19)/(E19))*0.4)),""))))))</f>
        <v>1.05</v>
      </c>
      <c r="I19" s="118">
        <v>0</v>
      </c>
      <c r="J19" s="126"/>
      <c r="K19" s="9"/>
      <c r="M19" s="119">
        <v>0</v>
      </c>
      <c r="N19" s="126"/>
      <c r="O19" s="9"/>
      <c r="Q19" s="119">
        <v>0</v>
      </c>
      <c r="R19" s="126"/>
      <c r="S19" s="9"/>
      <c r="U19" s="119">
        <v>0</v>
      </c>
      <c r="V19" s="126"/>
      <c r="W19" s="9"/>
      <c r="Y19" s="119" t="s">
        <v>111</v>
      </c>
      <c r="Z19" s="126"/>
      <c r="AA19" s="9"/>
      <c r="AC19" s="119">
        <v>0</v>
      </c>
      <c r="AD19" s="126"/>
      <c r="AE19" s="9"/>
      <c r="AG19" s="119">
        <v>0</v>
      </c>
      <c r="AH19" s="126"/>
      <c r="AI19" s="9"/>
      <c r="AK19" s="122" t="s">
        <v>111</v>
      </c>
      <c r="AL19" s="126"/>
      <c r="AM19" s="9"/>
      <c r="AO19" s="122" t="s">
        <v>111</v>
      </c>
      <c r="AP19" s="126"/>
      <c r="AQ19" s="9"/>
      <c r="AS19" s="122">
        <v>0</v>
      </c>
      <c r="AT19" s="126"/>
      <c r="AU19" s="9"/>
      <c r="AW19" s="123">
        <v>0</v>
      </c>
      <c r="AX19" s="126"/>
      <c r="AY19" s="9"/>
      <c r="BA19" s="123">
        <v>0</v>
      </c>
      <c r="BB19" s="126"/>
      <c r="BC19" s="9"/>
    </row>
    <row r="20" spans="1:55" x14ac:dyDescent="0.25">
      <c r="A20" s="135"/>
      <c r="B20" s="60" t="s">
        <v>82</v>
      </c>
      <c r="C20" s="61" t="s">
        <v>107</v>
      </c>
      <c r="D20" s="62" t="s">
        <v>89</v>
      </c>
      <c r="E20" s="13">
        <v>1</v>
      </c>
      <c r="F20" s="13">
        <f t="shared" si="0"/>
        <v>1.1111111111111112</v>
      </c>
      <c r="G20" s="12">
        <f>IF(OR(F20="",F20="NA"),"",IF(OR(C20="time",LEFT(C20,3)="DAY"),IF(OR(C20="DAY2",C20="time"),IF((92%-(F20-E20)/(1/10*100))&lt;70%,70%,IF(92%-(F20-E20)/(1/10*100)&gt;105%,105%,92%-(F20-E20)/(1/10*100))),IF(COUNT(E20)=1,IF((112%-(F20-E20)/(1/10*100))&lt;70%,70%,IF(112%-(F20-E20)/(1/10*100)&gt;105%,105%,112%-(F20-E20)/(1/10*100))))),IF(LEFT(C20,5)="month",IF(C20="month1",IF((112%-IF(F20="W1",0,IF(F20="W2",1,MATCH(F20,Sheet1!$A$2:$A$13,0)-MATCH(E20,Sheet1!$A$2:$A$13,0)+1))/(1/10*100))&lt;70%,70%,IF(112%-IF(F20="W1",0,IF(F20="W2",1,MATCH(F20,Sheet1!$A$2:$A$13,0)-MATCH(E20,Sheet1!$A$2:$A$13,0)+1))/(1/10*100)&gt;105%,105%,112%-IF(F20="W1",0,IF(F20="W2",1,MATCH(F20,Sheet1!$A$2:$A$13,0)-MATCH(E20,Sheet1!$A$2:$A$13,0)+1))/(1/10*100))),IF((92%-(IF(OR(F20="w1",F20="w2"),1,MATCH(F20,Sheet1!$A$2:$A$13,0))-MATCH(E20,Sheet1!$A$2:$A$13,0))/(1/10*100))&lt;70%,70%,IF(92%-(IF(OR(F20="w1",F20="w2"),1,MATCH(F20,Sheet1!$A$2:$A$13,0))-MATCH(E20,Sheet1!$A$2:$A$13,0))/(1/10*100)&gt;105%,105%,92%-(IF(OR(F20="w1",F20="w2"),1,MATCH(F20,Sheet1!$A$2:$A$13,0))-MATCH(E20,Sheet1!$A$2:$A$13,0))/(1/10*100)))),IF(MID(D20,3,1)="+",IF(E20&lt;100,IF(112%-(E20-F20)/(1/IF(E20&lt;4,(40/E20),10)*100)&gt;105%,105%,IF(112%-(E20-F20)/(1/IF(E20&lt;4,(40/E20),10)*100)&lt;=72%,72%,112%-(E20-F20)/(1/IF(E20&lt;4,(40/E20),10)*100))),IF(112%-(E20-F20)/E20*10&gt;105%,105%,IF(112%-(E20-F20)/E20*10&lt;72%,72%,112%-(E20-F20)/E20*10))),IF(MID(D20,3,1)="-",IF(92%+((E20-F20)/(E20))*0.4&gt;105%,105%,IF(92%+((E20-F20)/(E20))*0.4&lt;72%,72%,92%+((E20-F20)/(E20))*0.4)),IF(OR(B20="BOTO",B20="NPI",B20="FF"),IF(102%+((E20-F20)/(E20))*0.4&gt;105%,105%,IF(102%+((E20-F20)/(E20))*0.4&lt;72%,72%,102%+((E20-F20)/(E20))*0.4)),""))))))</f>
        <v>1.05</v>
      </c>
      <c r="I20" s="118">
        <v>3</v>
      </c>
      <c r="J20" s="126"/>
      <c r="K20" s="9"/>
      <c r="M20" s="119">
        <v>1</v>
      </c>
      <c r="N20" s="126"/>
      <c r="O20" s="9"/>
      <c r="Q20" s="119" t="s">
        <v>111</v>
      </c>
      <c r="R20" s="126"/>
      <c r="S20" s="9"/>
      <c r="U20" s="119" t="s">
        <v>111</v>
      </c>
      <c r="V20" s="126"/>
      <c r="W20" s="9"/>
      <c r="Y20" s="119">
        <v>0</v>
      </c>
      <c r="Z20" s="126"/>
      <c r="AA20" s="9"/>
      <c r="AC20" s="119">
        <v>0</v>
      </c>
      <c r="AD20" s="126"/>
      <c r="AE20" s="9"/>
      <c r="AG20" s="119">
        <v>1</v>
      </c>
      <c r="AH20" s="126"/>
      <c r="AI20" s="9"/>
      <c r="AK20" s="122">
        <v>4</v>
      </c>
      <c r="AL20" s="126"/>
      <c r="AM20" s="9"/>
      <c r="AO20" s="122">
        <v>0</v>
      </c>
      <c r="AP20" s="126"/>
      <c r="AQ20" s="9"/>
      <c r="AS20" s="122">
        <v>0</v>
      </c>
      <c r="AT20" s="126"/>
      <c r="AU20" s="9"/>
      <c r="AW20" s="123">
        <v>1</v>
      </c>
      <c r="AX20" s="126"/>
      <c r="AY20" s="9"/>
      <c r="BA20" s="123" t="s">
        <v>111</v>
      </c>
      <c r="BB20" s="126"/>
      <c r="BC20" s="9"/>
    </row>
    <row r="21" spans="1:55" x14ac:dyDescent="0.25">
      <c r="A21" s="136"/>
      <c r="B21" s="10" t="s">
        <v>73</v>
      </c>
      <c r="C21" s="11" t="s">
        <v>107</v>
      </c>
      <c r="D21" s="62" t="s">
        <v>89</v>
      </c>
      <c r="E21" s="13">
        <v>3</v>
      </c>
      <c r="F21" s="13">
        <f t="shared" si="0"/>
        <v>1</v>
      </c>
      <c r="G21" s="12">
        <f>IF(OR(F21="",F21="NA"),"",IF(OR(C21="time",LEFT(C21,3)="DAY"),IF(OR(C21="DAY2",C21="time"),IF((92%-(F21-E21)/(1/10*100))&lt;70%,70%,IF(92%-(F21-E21)/(1/10*100)&gt;105%,105%,92%-(F21-E21)/(1/10*100))),IF(COUNT(E21)=1,IF((112%-(F21-E21)/(1/10*100))&lt;70%,70%,IF(112%-(F21-E21)/(1/10*100)&gt;105%,105%,112%-(F21-E21)/(1/10*100))))),IF(LEFT(C21,5)="month",IF(C21="month1",IF((112%-IF(F21="W1",0,IF(F21="W2",1,MATCH(F21,Sheet1!$A$2:$A$13,0)-MATCH(E21,Sheet1!$A$2:$A$13,0)+1))/(1/10*100))&lt;70%,70%,IF(112%-IF(F21="W1",0,IF(F21="W2",1,MATCH(F21,Sheet1!$A$2:$A$13,0)-MATCH(E21,Sheet1!$A$2:$A$13,0)+1))/(1/10*100)&gt;105%,105%,112%-IF(F21="W1",0,IF(F21="W2",1,MATCH(F21,Sheet1!$A$2:$A$13,0)-MATCH(E21,Sheet1!$A$2:$A$13,0)+1))/(1/10*100))),IF((92%-(IF(OR(F21="w1",F21="w2"),1,MATCH(F21,Sheet1!$A$2:$A$13,0))-MATCH(E21,Sheet1!$A$2:$A$13,0))/(1/10*100))&lt;70%,70%,IF(92%-(IF(OR(F21="w1",F21="w2"),1,MATCH(F21,Sheet1!$A$2:$A$13,0))-MATCH(E21,Sheet1!$A$2:$A$13,0))/(1/10*100)&gt;105%,105%,92%-(IF(OR(F21="w1",F21="w2"),1,MATCH(F21,Sheet1!$A$2:$A$13,0))-MATCH(E21,Sheet1!$A$2:$A$13,0))/(1/10*100)))),IF(MID(D21,3,1)="+",IF(E21&lt;100,IF(112%-(E21-F21)/(1/IF(E21&lt;4,(40/E21),10)*100)&gt;105%,105%,IF(112%-(E21-F21)/(1/IF(E21&lt;4,(40/E21),10)*100)&lt;=72%,72%,112%-(E21-F21)/(1/IF(E21&lt;4,(40/E21),10)*100))),IF(112%-(E21-F21)/E21*10&gt;105%,105%,IF(112%-(E21-F21)/E21*10&lt;72%,72%,112%-(E21-F21)/E21*10))),IF(MID(D21,3,1)="-",IF(92%+((E21-F21)/(E21))*0.4&gt;105%,105%,IF(92%+((E21-F21)/(E21))*0.4&lt;72%,72%,92%+((E21-F21)/(E21))*0.4)),IF(OR(B21="BOTO",B21="NPI",B21="FF"),IF(102%+((E21-F21)/(E21))*0.4&gt;105%,105%,IF(102%+((E21-F21)/(E21))*0.4&lt;72%,72%,102%+((E21-F21)/(E21))*0.4)),""))))))</f>
        <v>1.05</v>
      </c>
      <c r="I21" s="118" t="s">
        <v>111</v>
      </c>
      <c r="J21" s="126"/>
      <c r="K21" s="9"/>
      <c r="M21" s="119">
        <v>0</v>
      </c>
      <c r="N21" s="126"/>
      <c r="O21" s="9"/>
      <c r="Q21" s="119">
        <v>7</v>
      </c>
      <c r="R21" s="126"/>
      <c r="S21" s="9"/>
      <c r="U21" s="119">
        <v>0</v>
      </c>
      <c r="V21" s="126"/>
      <c r="W21" s="9"/>
      <c r="Y21" s="119" t="s">
        <v>111</v>
      </c>
      <c r="Z21" s="126"/>
      <c r="AA21" s="9"/>
      <c r="AC21" s="119" t="s">
        <v>111</v>
      </c>
      <c r="AD21" s="126"/>
      <c r="AE21" s="9"/>
      <c r="AG21" s="119">
        <v>0</v>
      </c>
      <c r="AH21" s="126"/>
      <c r="AI21" s="9"/>
      <c r="AK21" s="122">
        <v>0</v>
      </c>
      <c r="AL21" s="126"/>
      <c r="AM21" s="9"/>
      <c r="AO21" s="122">
        <v>0</v>
      </c>
      <c r="AP21" s="126"/>
      <c r="AQ21" s="9"/>
      <c r="AS21" s="122">
        <v>0</v>
      </c>
      <c r="AT21" s="126"/>
      <c r="AU21" s="9"/>
      <c r="AW21" s="123" t="s">
        <v>111</v>
      </c>
      <c r="AX21" s="126"/>
      <c r="AY21" s="9"/>
      <c r="BA21" s="123" t="s">
        <v>111</v>
      </c>
      <c r="BB21" s="126"/>
      <c r="BC21" s="9"/>
    </row>
    <row r="22" spans="1:55" ht="16.5" customHeight="1" thickBot="1" x14ac:dyDescent="0.3">
      <c r="A22" s="137"/>
      <c r="B22" s="29" t="s">
        <v>83</v>
      </c>
      <c r="C22" s="30" t="s">
        <v>84</v>
      </c>
      <c r="D22" s="31" t="s">
        <v>89</v>
      </c>
      <c r="E22" s="32">
        <v>135</v>
      </c>
      <c r="F22" s="32">
        <f t="shared" si="0"/>
        <v>22.555555555555557</v>
      </c>
      <c r="G22" s="33">
        <f>IF(OR(F22="",F22="NA"),"",IF(OR(C22="time",LEFT(C22,3)="DAY"),IF(OR(C22="DAY2",C22="time"),IF((92%-(F22-E22)/(1/10*100))&lt;70%,70%,IF(92%-(F22-E22)/(1/10*100)&gt;105%,105%,92%-(F22-E22)/(1/10*100))),IF(COUNT(E22)=1,IF((112%-(F22-E22)/(1/10*100))&lt;70%,70%,IF(112%-(F22-E22)/(1/10*100)&gt;105%,105%,112%-(F22-E22)/(1/10*100))))),IF(LEFT(C22,5)="month",IF(C22="month1",IF((112%-IF(F22="W1",0,IF(F22="W2",1,MATCH(F22,Sheet1!$A$2:$A$13,0)-MATCH(E22,Sheet1!$A$2:$A$13,0)+1))/(1/10*100))&lt;70%,70%,IF(112%-IF(F22="W1",0,IF(F22="W2",1,MATCH(F22,Sheet1!$A$2:$A$13,0)-MATCH(E22,Sheet1!$A$2:$A$13,0)+1))/(1/10*100)&gt;105%,105%,112%-IF(F22="W1",0,IF(F22="W2",1,MATCH(F22,Sheet1!$A$2:$A$13,0)-MATCH(E22,Sheet1!$A$2:$A$13,0)+1))/(1/10*100))),IF((92%-(IF(OR(F22="w1",F22="w2"),1,MATCH(F22,Sheet1!$A$2:$A$13,0))-MATCH(E22,Sheet1!$A$2:$A$13,0))/(1/10*100))&lt;70%,70%,IF(92%-(IF(OR(F22="w1",F22="w2"),1,MATCH(F22,Sheet1!$A$2:$A$13,0))-MATCH(E22,Sheet1!$A$2:$A$13,0))/(1/10*100)&gt;105%,105%,92%-(IF(OR(F22="w1",F22="w2"),1,MATCH(F22,Sheet1!$A$2:$A$13,0))-MATCH(E22,Sheet1!$A$2:$A$13,0))/(1/10*100)))),IF(MID(D22,3,1)="+",IF(E22&lt;100,IF(112%-(E22-F22)/(1/IF(E22&lt;4,(40/E22),10)*100)&gt;105%,105%,IF(112%-(E22-F22)/(1/IF(E22&lt;4,(40/E22),10)*100)&lt;=72%,72%,112%-(E22-F22)/(1/IF(E22&lt;4,(40/E22),10)*100))),IF(112%-(E22-F22)/E22*10&gt;105%,105%,IF(112%-(E22-F22)/E22*10&lt;72%,72%,112%-(E22-F22)/E22*10))),IF(MID(D22,3,1)="-",IF(92%+((E22-F22)/(E22))*0.4&gt;105%,105%,IF(92%+((E22-F22)/(E22))*0.4&lt;72%,72%,92%+((E22-F22)/(E22))*0.4)),IF(OR(B22="BOTO",B22="NPI",B22="FF"),IF(102%+((E22-F22)/(E22))*0.4&gt;105%,105%,IF(102%+((E22-F22)/(E22))*0.4&lt;72%,72%,102%+((E22-F22)/(E22))*0.4)),""))))))</f>
        <v>1.05</v>
      </c>
      <c r="I22" s="118">
        <v>2</v>
      </c>
      <c r="J22" s="126"/>
      <c r="K22" s="9"/>
      <c r="M22" s="119">
        <v>43</v>
      </c>
      <c r="N22" s="126"/>
      <c r="O22" s="9"/>
      <c r="Q22" s="119">
        <v>7</v>
      </c>
      <c r="R22" s="126"/>
      <c r="S22" s="9"/>
      <c r="U22" s="119">
        <v>132</v>
      </c>
      <c r="V22" s="126"/>
      <c r="W22" s="121" t="s">
        <v>115</v>
      </c>
      <c r="Y22" s="119" t="s">
        <v>111</v>
      </c>
      <c r="Z22" s="126"/>
      <c r="AA22" s="9"/>
      <c r="AC22" s="119" t="s">
        <v>111</v>
      </c>
      <c r="AD22" s="126"/>
      <c r="AE22" s="9"/>
      <c r="AG22" s="119">
        <v>0</v>
      </c>
      <c r="AH22" s="126"/>
      <c r="AI22" s="9"/>
      <c r="AK22" s="122">
        <v>0</v>
      </c>
      <c r="AL22" s="126"/>
      <c r="AM22" s="9"/>
      <c r="AO22" s="122">
        <v>4</v>
      </c>
      <c r="AP22" s="126"/>
      <c r="AQ22" s="9"/>
      <c r="AS22" s="122">
        <v>13</v>
      </c>
      <c r="AT22" s="126"/>
      <c r="AU22" s="9"/>
      <c r="AW22" s="123">
        <v>2</v>
      </c>
      <c r="AX22" s="126"/>
      <c r="AY22" s="9"/>
      <c r="BA22" s="123" t="s">
        <v>111</v>
      </c>
      <c r="BB22" s="126"/>
      <c r="BC22" s="9"/>
    </row>
    <row r="23" spans="1:55" x14ac:dyDescent="0.25">
      <c r="A23" s="143" t="s">
        <v>55</v>
      </c>
      <c r="B23" s="35" t="s">
        <v>74</v>
      </c>
      <c r="C23" s="34" t="s">
        <v>24</v>
      </c>
      <c r="D23" s="8" t="s">
        <v>91</v>
      </c>
      <c r="E23" s="14">
        <v>5</v>
      </c>
      <c r="F23" s="14">
        <f t="shared" si="0"/>
        <v>2</v>
      </c>
      <c r="G23" s="99">
        <f>IF(OR(F23="",F23="NA"),"",IF(OR(C23="time",LEFT(C23,3)="DAY"),IF(OR(C23="DAY2",C23="time"),IF((92%-(F23-E23)/(1/10*100))&lt;70%,70%,IF(92%-(F23-E23)/(1/10*100)&gt;105%,105%,92%-(F23-E23)/(1/10*100))),IF(COUNT(E23)=1,IF((112%-(F23-E23)/(1/10*100))&lt;70%,70%,IF(112%-(F23-E23)/(1/10*100)&gt;105%,105%,112%-(F23-E23)/(1/10*100))))),IF(LEFT(C23,5)="month",IF(C23="month1",IF((112%-IF(F23="W1",0,IF(F23="W2",1,MATCH(F23,Sheet1!$A$2:$A$13,0)-MATCH(E23,Sheet1!$A$2:$A$13,0)+1))/(1/10*100))&lt;70%,70%,IF(112%-IF(F23="W1",0,IF(F23="W2",1,MATCH(F23,Sheet1!$A$2:$A$13,0)-MATCH(E23,Sheet1!$A$2:$A$13,0)+1))/(1/10*100)&gt;105%,105%,112%-IF(F23="W1",0,IF(F23="W2",1,MATCH(F23,Sheet1!$A$2:$A$13,0)-MATCH(E23,Sheet1!$A$2:$A$13,0)+1))/(1/10*100))),IF((92%-(IF(OR(F23="w1",F23="w2"),1,MATCH(F23,Sheet1!$A$2:$A$13,0))-MATCH(E23,Sheet1!$A$2:$A$13,0))/(1/10*100))&lt;70%,70%,IF(92%-(IF(OR(F23="w1",F23="w2"),1,MATCH(F23,Sheet1!$A$2:$A$13,0))-MATCH(E23,Sheet1!$A$2:$A$13,0))/(1/10*100)&gt;105%,105%,92%-(IF(OR(F23="w1",F23="w2"),1,MATCH(F23,Sheet1!$A$2:$A$13,0))-MATCH(E23,Sheet1!$A$2:$A$13,0))/(1/10*100)))),IF(MID(D23,3,1)="+",IF(E23&lt;100,IF(112%-(E23-F23)/(1/IF(E23&lt;4,(40/E23),10)*100)&gt;105%,105%,IF(112%-(E23-F23)/(1/IF(E23&lt;4,(40/E23),10)*100)&lt;=72%,72%,112%-(E23-F23)/(1/IF(E23&lt;4,(40/E23),10)*100))),IF(112%-(E23-F23)/E23*10&gt;105%,105%,IF(112%-(E23-F23)/E23*10&lt;72%,72%,112%-(E23-F23)/E23*10))),IF(MID(D23,3,1)="-",IF(92%+((E23-F23)/(E23))*0.4&gt;105%,105%,IF(92%+((E23-F23)/(E23))*0.4&lt;72%,72%,92%+((E23-F23)/(E23))*0.4)),IF(OR(B23="BOTO",B23="NPI",B23="FF"),IF(102%+((E23-F23)/(E23))*0.4&gt;105%,105%,IF(102%+((E23-F23)/(E23))*0.4&lt;72%,72%,102%+((E23-F23)/(E23))*0.4)),""))))))</f>
        <v>0.82000000000000006</v>
      </c>
      <c r="I23" s="118">
        <v>1</v>
      </c>
      <c r="J23" s="126"/>
      <c r="K23" s="9"/>
      <c r="M23" s="119" t="s">
        <v>111</v>
      </c>
      <c r="N23" s="126"/>
      <c r="O23" s="9"/>
      <c r="Q23" s="119" t="s">
        <v>111</v>
      </c>
      <c r="R23" s="126"/>
      <c r="S23" s="9"/>
      <c r="U23" s="119" t="s">
        <v>111</v>
      </c>
      <c r="V23" s="126"/>
      <c r="W23" s="9"/>
      <c r="Y23" s="119" t="s">
        <v>111</v>
      </c>
      <c r="Z23" s="126"/>
      <c r="AA23" s="9"/>
      <c r="AC23" s="119" t="s">
        <v>111</v>
      </c>
      <c r="AD23" s="126"/>
      <c r="AE23" s="9"/>
      <c r="AG23" s="119" t="s">
        <v>111</v>
      </c>
      <c r="AH23" s="126"/>
      <c r="AI23" s="9"/>
      <c r="AK23" s="122">
        <v>1</v>
      </c>
      <c r="AL23" s="126"/>
      <c r="AM23" s="9"/>
      <c r="AO23" s="122" t="s">
        <v>111</v>
      </c>
      <c r="AP23" s="126"/>
      <c r="AQ23" s="9"/>
      <c r="AS23" s="122" t="s">
        <v>111</v>
      </c>
      <c r="AT23" s="126"/>
      <c r="AU23" s="9"/>
      <c r="AW23" s="123" t="s">
        <v>111</v>
      </c>
      <c r="AX23" s="126"/>
      <c r="AY23" s="9"/>
      <c r="BA23" s="123" t="s">
        <v>111</v>
      </c>
      <c r="BB23" s="126"/>
      <c r="BC23" s="9"/>
    </row>
    <row r="24" spans="1:55" ht="15" customHeight="1" thickBot="1" x14ac:dyDescent="0.3">
      <c r="A24" s="144"/>
      <c r="B24" s="100" t="s">
        <v>75</v>
      </c>
      <c r="C24" s="101" t="s">
        <v>24</v>
      </c>
      <c r="D24" s="102" t="s">
        <v>91</v>
      </c>
      <c r="E24" s="103">
        <v>1</v>
      </c>
      <c r="F24" s="103">
        <f t="shared" si="0"/>
        <v>1</v>
      </c>
      <c r="G24" s="104">
        <f>IF(OR(F24="",F24="NA"),"",IF(OR(C24="time",LEFT(C24,3)="DAY"),IF(OR(C24="DAY2",C24="time"),IF((92%-(F24-E24)/(1/10*100))&lt;70%,70%,IF(92%-(F24-E24)/(1/10*100)&gt;105%,105%,92%-(F24-E24)/(1/10*100))),IF(COUNT(E24)=1,IF((112%-(F24-E24)/(1/10*100))&lt;70%,70%,IF(112%-(F24-E24)/(1/10*100)&gt;105%,105%,112%-(F24-E24)/(1/10*100))))),IF(LEFT(C24,5)="month",IF(C24="month1",IF((112%-IF(F24="W1",0,IF(F24="W2",1,MATCH(F24,Sheet1!$A$2:$A$13,0)-MATCH(E24,Sheet1!$A$2:$A$13,0)+1))/(1/10*100))&lt;70%,70%,IF(112%-IF(F24="W1",0,IF(F24="W2",1,MATCH(F24,Sheet1!$A$2:$A$13,0)-MATCH(E24,Sheet1!$A$2:$A$13,0)+1))/(1/10*100)&gt;105%,105%,112%-IF(F24="W1",0,IF(F24="W2",1,MATCH(F24,Sheet1!$A$2:$A$13,0)-MATCH(E24,Sheet1!$A$2:$A$13,0)+1))/(1/10*100))),IF((92%-(IF(OR(F24="w1",F24="w2"),1,MATCH(F24,Sheet1!$A$2:$A$13,0))-MATCH(E24,Sheet1!$A$2:$A$13,0))/(1/10*100))&lt;70%,70%,IF(92%-(IF(OR(F24="w1",F24="w2"),1,MATCH(F24,Sheet1!$A$2:$A$13,0))-MATCH(E24,Sheet1!$A$2:$A$13,0))/(1/10*100)&gt;105%,105%,92%-(IF(OR(F24="w1",F24="w2"),1,MATCH(F24,Sheet1!$A$2:$A$13,0))-MATCH(E24,Sheet1!$A$2:$A$13,0))/(1/10*100)))),IF(MID(D24,3,1)="+",IF(E24&lt;100,IF(112%-(E24-F24)/(1/IF(E24&lt;4,(40/E24),10)*100)&gt;105%,105%,IF(112%-(E24-F24)/(1/IF(E24&lt;4,(40/E24),10)*100)&lt;=72%,72%,112%-(E24-F24)/(1/IF(E24&lt;4,(40/E24),10)*100))),IF(112%-(E24-F24)/E24*10&gt;105%,105%,IF(112%-(E24-F24)/E24*10&lt;72%,72%,112%-(E24-F24)/E24*10))),IF(MID(D24,3,1)="-",IF(92%+((E24-F24)/(E24))*0.4&gt;105%,105%,IF(92%+((E24-F24)/(E24))*0.4&lt;72%,72%,92%+((E24-F24)/(E24))*0.4)),IF(OR(B24="BOTO",B24="NPI",B24="FF"),IF(102%+((E24-F24)/(E24))*0.4&gt;105%,105%,IF(102%+((E24-F24)/(E24))*0.4&lt;72%,72%,102%+((E24-F24)/(E24))*0.4)),""))))))</f>
        <v>1.05</v>
      </c>
      <c r="I24" s="118" t="s">
        <v>111</v>
      </c>
      <c r="J24" s="127"/>
      <c r="K24" s="9"/>
      <c r="M24" s="119" t="s">
        <v>111</v>
      </c>
      <c r="N24" s="127"/>
      <c r="O24" s="9"/>
      <c r="Q24" s="119" t="s">
        <v>111</v>
      </c>
      <c r="R24" s="127"/>
      <c r="S24" s="9"/>
      <c r="U24" s="119" t="s">
        <v>111</v>
      </c>
      <c r="V24" s="127"/>
      <c r="W24" s="9"/>
      <c r="Y24" s="119" t="s">
        <v>111</v>
      </c>
      <c r="Z24" s="127"/>
      <c r="AA24" s="9"/>
      <c r="AC24" s="119" t="s">
        <v>111</v>
      </c>
      <c r="AD24" s="127"/>
      <c r="AE24" s="9"/>
      <c r="AG24" s="119" t="s">
        <v>111</v>
      </c>
      <c r="AH24" s="127"/>
      <c r="AI24" s="9"/>
      <c r="AK24" s="122" t="s">
        <v>111</v>
      </c>
      <c r="AL24" s="127"/>
      <c r="AM24" s="9"/>
      <c r="AO24" s="122" t="s">
        <v>111</v>
      </c>
      <c r="AP24" s="127"/>
      <c r="AQ24" s="9"/>
      <c r="AS24" s="122">
        <v>1</v>
      </c>
      <c r="AT24" s="127"/>
      <c r="AU24" s="124" t="s">
        <v>123</v>
      </c>
      <c r="AW24" s="123" t="s">
        <v>111</v>
      </c>
      <c r="AX24" s="127"/>
      <c r="AY24" s="9"/>
      <c r="BA24" s="123" t="s">
        <v>111</v>
      </c>
      <c r="BB24" s="127"/>
      <c r="BC24" s="9"/>
    </row>
    <row r="25" spans="1:55" x14ac:dyDescent="0.25">
      <c r="A25" s="1"/>
      <c r="B25" s="2"/>
      <c r="C25" s="2"/>
      <c r="D25" s="2"/>
      <c r="E25" s="2"/>
      <c r="F25" s="2"/>
      <c r="G25" s="3"/>
    </row>
    <row r="26" spans="1:55" ht="15.75" thickBot="1" x14ac:dyDescent="0.3">
      <c r="A26" s="1"/>
      <c r="B26" s="2"/>
      <c r="C26" s="2"/>
      <c r="D26" s="2"/>
      <c r="E26" s="2"/>
      <c r="F26" s="2"/>
      <c r="G26" s="3"/>
    </row>
    <row r="27" spans="1:55" ht="15.75" thickBot="1" x14ac:dyDescent="0.3">
      <c r="A27" s="145" t="s">
        <v>25</v>
      </c>
      <c r="B27" s="146"/>
      <c r="C27" s="146"/>
      <c r="D27" s="146"/>
      <c r="E27" s="146"/>
      <c r="F27" s="147"/>
      <c r="G27" s="3"/>
    </row>
    <row r="28" spans="1:55" ht="30" customHeight="1" thickBot="1" x14ac:dyDescent="0.3">
      <c r="A28" s="4" t="s">
        <v>15</v>
      </c>
      <c r="B28" s="36" t="s">
        <v>52</v>
      </c>
      <c r="C28" s="97" t="s">
        <v>53</v>
      </c>
      <c r="D28" s="97" t="s">
        <v>54</v>
      </c>
      <c r="E28" s="148" t="s">
        <v>55</v>
      </c>
      <c r="F28" s="149"/>
      <c r="G28" s="3"/>
    </row>
    <row r="29" spans="1:55" x14ac:dyDescent="0.25">
      <c r="A29" s="19" t="s">
        <v>26</v>
      </c>
      <c r="B29" s="66">
        <f>IFERROR(AVERAGE(G11:G11),"")</f>
        <v>1.05</v>
      </c>
      <c r="C29" s="67">
        <f>IFERROR(AVERAGE(G12:G13),"")</f>
        <v>1.05</v>
      </c>
      <c r="D29" s="67">
        <f>IFERROR(AVERAGE(G14:G22),"")</f>
        <v>1.05</v>
      </c>
      <c r="E29" s="150">
        <f>IFERROR(AVERAGE(G23:G24),"")</f>
        <v>0.93500000000000005</v>
      </c>
      <c r="F29" s="151"/>
      <c r="G29" s="3"/>
    </row>
    <row r="30" spans="1:55" x14ac:dyDescent="0.25">
      <c r="A30" s="68" t="s">
        <v>19</v>
      </c>
      <c r="B30" s="37">
        <f>IF(F5="Foreman/Officer",30%,20%)</f>
        <v>0.3</v>
      </c>
      <c r="C30" s="38">
        <f>IF(F5="MANAGER",30%,20%)</f>
        <v>0.2</v>
      </c>
      <c r="D30" s="38">
        <f>IF(F5="Foreman/Officer",20%,30%)</f>
        <v>0.2</v>
      </c>
      <c r="E30" s="152">
        <f>IF(F5="MANAGER",20%,30%)</f>
        <v>0.3</v>
      </c>
      <c r="F30" s="153"/>
      <c r="G30" s="3"/>
    </row>
    <row r="31" spans="1:55" ht="15.75" thickBot="1" x14ac:dyDescent="0.3">
      <c r="A31" s="69" t="s">
        <v>27</v>
      </c>
      <c r="B31" s="64">
        <f>IFERROR(B30*B29,"")</f>
        <v>0.315</v>
      </c>
      <c r="C31" s="65">
        <f t="shared" ref="C31" si="1">IFERROR(C30*C29,"")</f>
        <v>0.21000000000000002</v>
      </c>
      <c r="D31" s="65">
        <f>IFERROR(D30*D29,"")</f>
        <v>0.21000000000000002</v>
      </c>
      <c r="E31" s="154">
        <f>IFERROR(E30*E29,"")</f>
        <v>0.28050000000000003</v>
      </c>
      <c r="F31" s="155"/>
      <c r="G31" s="3"/>
    </row>
    <row r="32" spans="1:55" x14ac:dyDescent="0.25">
      <c r="A32" s="70" t="s">
        <v>28</v>
      </c>
      <c r="B32" s="156">
        <f>SUM(B31:F31)</f>
        <v>1.0155000000000001</v>
      </c>
      <c r="C32" s="157"/>
      <c r="D32" s="157"/>
      <c r="E32" s="157"/>
      <c r="F32" s="158"/>
      <c r="G32" s="3"/>
    </row>
    <row r="33" spans="1:7" ht="15.75" thickBot="1" x14ac:dyDescent="0.3">
      <c r="A33" s="23" t="s">
        <v>29</v>
      </c>
      <c r="B33" s="159" t="str">
        <f>IF(B32&gt;105%,"OUTSTANDING",IF(AND(B32&gt;100%,B32&lt;=105%),"EXCEED",IF(AND(B32&gt;90%,B32&lt;=100%),"MEET EXPECTATION",IF(AND(B32&gt;=75%,B32&lt;=89%),"NEED IMPROVEMENT",IF(B32&lt;75%,"FAILED","")))))</f>
        <v>EXCEED</v>
      </c>
      <c r="C33" s="160"/>
      <c r="D33" s="160"/>
      <c r="E33" s="160"/>
      <c r="F33" s="161"/>
      <c r="G33" s="3"/>
    </row>
    <row r="34" spans="1:7" ht="15.75" thickBot="1" x14ac:dyDescent="0.3">
      <c r="A34" s="1"/>
      <c r="B34" s="2"/>
      <c r="C34" s="2"/>
      <c r="D34" s="2"/>
      <c r="E34" s="2"/>
      <c r="F34" s="2"/>
      <c r="G34" s="3"/>
    </row>
    <row r="35" spans="1:7" ht="15.75" thickBot="1" x14ac:dyDescent="0.3">
      <c r="A35" s="162" t="s">
        <v>56</v>
      </c>
      <c r="B35" s="163"/>
      <c r="C35" s="163"/>
      <c r="D35" s="163"/>
      <c r="E35" s="163"/>
      <c r="F35" s="164"/>
      <c r="G35" s="3"/>
    </row>
    <row r="36" spans="1:7" ht="15.75" thickBot="1" x14ac:dyDescent="0.3">
      <c r="A36" s="71" t="s">
        <v>15</v>
      </c>
      <c r="B36" s="36" t="s">
        <v>57</v>
      </c>
      <c r="C36" s="97" t="s">
        <v>17</v>
      </c>
      <c r="D36" s="97" t="s">
        <v>19</v>
      </c>
      <c r="E36" s="148" t="s">
        <v>29</v>
      </c>
      <c r="F36" s="149"/>
      <c r="G36" s="3"/>
    </row>
    <row r="37" spans="1:7" ht="26.25" customHeight="1" thickBot="1" x14ac:dyDescent="0.3">
      <c r="A37" s="72" t="s">
        <v>58</v>
      </c>
      <c r="B37" s="40" t="s">
        <v>59</v>
      </c>
      <c r="C37" s="41" t="s">
        <v>23</v>
      </c>
      <c r="D37" s="42">
        <v>1</v>
      </c>
      <c r="E37" s="165" t="str">
        <f>IF(D37&gt;105%,"OUTSTANDING",IF(AND(D37&gt;100%,D37&lt;=105%),"EXCEED",IF(AND(D37&gt;=90%,D37&lt;=100%),"MEET EXPECTATION",IF(AND(D37&gt;=75%,D37&lt;90%),"NEED IMPROVEMENT",IF(D37&lt;75%,"FAILED","")))))</f>
        <v>MEET EXPECTATION</v>
      </c>
      <c r="F37" s="166"/>
      <c r="G37" s="3"/>
    </row>
    <row r="38" spans="1:7" ht="15.75" thickBot="1" x14ac:dyDescent="0.3">
      <c r="A38" s="1"/>
      <c r="B38" s="2"/>
      <c r="C38" s="2"/>
      <c r="D38" s="2"/>
      <c r="E38" s="2"/>
      <c r="F38" s="2"/>
      <c r="G38" s="3"/>
    </row>
    <row r="39" spans="1:7" ht="15.75" thickBot="1" x14ac:dyDescent="0.3">
      <c r="A39" s="140" t="s">
        <v>60</v>
      </c>
      <c r="B39" s="141"/>
      <c r="C39" s="141"/>
      <c r="D39" s="141"/>
      <c r="E39" s="142"/>
      <c r="F39" s="2"/>
      <c r="G39" s="3"/>
    </row>
    <row r="40" spans="1:7" x14ac:dyDescent="0.25">
      <c r="A40" s="73" t="s">
        <v>15</v>
      </c>
      <c r="B40" s="39" t="s">
        <v>57</v>
      </c>
      <c r="C40" s="43" t="s">
        <v>61</v>
      </c>
      <c r="D40" s="39" t="s">
        <v>26</v>
      </c>
      <c r="E40" s="47" t="s">
        <v>62</v>
      </c>
      <c r="F40" s="2"/>
      <c r="G40" s="3"/>
    </row>
    <row r="41" spans="1:7" ht="15.75" thickBot="1" x14ac:dyDescent="0.3">
      <c r="A41" s="74" t="s">
        <v>63</v>
      </c>
      <c r="B41" s="44" t="s">
        <v>64</v>
      </c>
      <c r="C41" s="45">
        <v>1</v>
      </c>
      <c r="D41" s="46">
        <f>IF(F5="Foreman/Officer",30%,IF(F5="Section Head/SPV",40%,IF(F5="Dept. Head",60%,IF(F5="MANAGER",70%,""))))</f>
        <v>0.3</v>
      </c>
      <c r="E41" s="48">
        <f>C41*D41</f>
        <v>0.3</v>
      </c>
      <c r="F41" s="2"/>
      <c r="G41" s="3"/>
    </row>
    <row r="42" spans="1:7" ht="15.75" thickBot="1" x14ac:dyDescent="0.3">
      <c r="A42" s="1"/>
      <c r="B42" s="2"/>
      <c r="C42" s="2"/>
      <c r="D42" s="2"/>
      <c r="E42" s="2"/>
      <c r="F42" s="2"/>
      <c r="G42" s="3"/>
    </row>
    <row r="43" spans="1:7" ht="15.75" thickBot="1" x14ac:dyDescent="0.3">
      <c r="A43" s="167" t="s">
        <v>65</v>
      </c>
      <c r="B43" s="163"/>
      <c r="C43" s="163"/>
      <c r="D43" s="163"/>
      <c r="E43" s="163"/>
      <c r="F43" s="163"/>
      <c r="G43" s="164"/>
    </row>
    <row r="44" spans="1:7" ht="15.75" thickBot="1" x14ac:dyDescent="0.3">
      <c r="A44" s="167" t="s">
        <v>66</v>
      </c>
      <c r="B44" s="163"/>
      <c r="C44" s="163"/>
      <c r="D44" s="163"/>
      <c r="E44" s="163"/>
      <c r="F44" s="163"/>
      <c r="G44" s="164"/>
    </row>
    <row r="45" spans="1:7" ht="15.75" thickBot="1" x14ac:dyDescent="0.3">
      <c r="A45" s="168" t="s">
        <v>67</v>
      </c>
      <c r="B45" s="169"/>
      <c r="C45" s="82" t="s">
        <v>19</v>
      </c>
      <c r="D45" s="83" t="s">
        <v>26</v>
      </c>
      <c r="E45" s="84" t="s">
        <v>68</v>
      </c>
      <c r="F45" s="170" t="s">
        <v>69</v>
      </c>
      <c r="G45" s="171"/>
    </row>
    <row r="46" spans="1:7" x14ac:dyDescent="0.25">
      <c r="A46" s="172" t="s">
        <v>52</v>
      </c>
      <c r="B46" s="173"/>
      <c r="C46" s="79">
        <f>B32</f>
        <v>1.0155000000000001</v>
      </c>
      <c r="D46" s="80">
        <f>IF(F5="Foreman/Officer",70%,IF(F5="Section Head/SPV",60%,IF(F5="Dept. Head",40%,IF(F5="MANAGER",30%,""))))</f>
        <v>0.7</v>
      </c>
      <c r="E46" s="81">
        <f>C46*D46</f>
        <v>0.71084999999999998</v>
      </c>
      <c r="F46" s="174">
        <f>E46+E47</f>
        <v>1.01085</v>
      </c>
      <c r="G46" s="175"/>
    </row>
    <row r="47" spans="1:7" ht="15.75" thickBot="1" x14ac:dyDescent="0.3">
      <c r="A47" s="178" t="s">
        <v>70</v>
      </c>
      <c r="B47" s="179"/>
      <c r="C47" s="78">
        <f>C41</f>
        <v>1</v>
      </c>
      <c r="D47" s="49">
        <f>IF(F5="Foreman/Officer",30%,IF(F5="Section Head/SPV",40%,IF(F5="Dept. Head",60%,IF(F5="MANAGER",70%,""))))</f>
        <v>0.3</v>
      </c>
      <c r="E47" s="50">
        <f>C47*D47</f>
        <v>0.3</v>
      </c>
      <c r="F47" s="176"/>
      <c r="G47" s="177"/>
    </row>
    <row r="48" spans="1:7" ht="15.75" thickBot="1" x14ac:dyDescent="0.3">
      <c r="A48" s="1"/>
      <c r="B48" s="2"/>
      <c r="C48" s="2"/>
      <c r="D48" s="2"/>
      <c r="E48" s="2"/>
      <c r="F48" s="2"/>
      <c r="G48" s="3"/>
    </row>
    <row r="49" spans="1:7" ht="15.75" thickBot="1" x14ac:dyDescent="0.3">
      <c r="A49" s="162" t="s">
        <v>71</v>
      </c>
      <c r="B49" s="163"/>
      <c r="C49" s="163"/>
      <c r="D49" s="163"/>
      <c r="E49" s="163"/>
      <c r="F49" s="163"/>
      <c r="G49" s="184"/>
    </row>
    <row r="50" spans="1:7" ht="15.75" thickBot="1" x14ac:dyDescent="0.3">
      <c r="A50" s="75" t="s">
        <v>67</v>
      </c>
      <c r="B50" s="57" t="s">
        <v>19</v>
      </c>
      <c r="C50" s="58" t="s">
        <v>26</v>
      </c>
      <c r="D50" s="59" t="s">
        <v>62</v>
      </c>
      <c r="E50" s="85" t="s">
        <v>71</v>
      </c>
      <c r="F50" s="185" t="s">
        <v>29</v>
      </c>
      <c r="G50" s="186"/>
    </row>
    <row r="51" spans="1:7" ht="15" customHeight="1" x14ac:dyDescent="0.25">
      <c r="A51" s="76" t="s">
        <v>66</v>
      </c>
      <c r="B51" s="54">
        <f>F46</f>
        <v>1.01085</v>
      </c>
      <c r="C51" s="55">
        <v>0.8</v>
      </c>
      <c r="D51" s="56">
        <f>B51*C51</f>
        <v>0.80868000000000007</v>
      </c>
      <c r="E51" s="187">
        <f>D51+D52</f>
        <v>1.00868</v>
      </c>
      <c r="F51" s="189" t="str">
        <f>IF(E51&gt;105%,"OUTSTANDING",IF(AND(E51&gt;100%,E51&lt;=105%),"EXCEED",IF(AND(E51&gt;=90%,E51&lt;=100%),"MEET EXPECTATION",IF(AND(E51&gt;=75%,E51&lt;90%),"NEED IMPROVEMENT",IF(E51&lt;75%,"FAILED","")))))</f>
        <v>EXCEED</v>
      </c>
      <c r="G51" s="190"/>
    </row>
    <row r="52" spans="1:7" ht="15.75" thickBot="1" x14ac:dyDescent="0.3">
      <c r="A52" s="77" t="s">
        <v>58</v>
      </c>
      <c r="B52" s="53">
        <f>D37</f>
        <v>1</v>
      </c>
      <c r="C52" s="51">
        <v>0.2</v>
      </c>
      <c r="D52" s="52">
        <f>B52*C52</f>
        <v>0.2</v>
      </c>
      <c r="E52" s="188"/>
      <c r="F52" s="191"/>
      <c r="G52" s="192"/>
    </row>
    <row r="53" spans="1:7" ht="15.75" thickBot="1" x14ac:dyDescent="0.3">
      <c r="A53" s="1"/>
      <c r="B53" s="2"/>
      <c r="C53" s="2"/>
      <c r="D53" s="2"/>
      <c r="E53" s="2"/>
      <c r="F53" s="2"/>
      <c r="G53" s="3"/>
    </row>
    <row r="54" spans="1:7" ht="30.75" thickBot="1" x14ac:dyDescent="0.3">
      <c r="A54" s="4" t="s">
        <v>29</v>
      </c>
      <c r="B54" s="15" t="s">
        <v>30</v>
      </c>
      <c r="C54" s="16" t="s">
        <v>31</v>
      </c>
      <c r="D54" s="17" t="s">
        <v>32</v>
      </c>
      <c r="E54" s="17" t="s">
        <v>33</v>
      </c>
      <c r="F54" s="18" t="s">
        <v>34</v>
      </c>
      <c r="G54" s="3"/>
    </row>
    <row r="55" spans="1:7" x14ac:dyDescent="0.25">
      <c r="A55" s="19" t="s">
        <v>35</v>
      </c>
      <c r="B55" s="20" t="s">
        <v>36</v>
      </c>
      <c r="C55" s="21" t="s">
        <v>37</v>
      </c>
      <c r="D55" s="21" t="s">
        <v>38</v>
      </c>
      <c r="E55" s="21" t="s">
        <v>39</v>
      </c>
      <c r="F55" s="22" t="s">
        <v>40</v>
      </c>
      <c r="G55" s="3"/>
    </row>
    <row r="56" spans="1:7" ht="15.75" thickBot="1" x14ac:dyDescent="0.3">
      <c r="A56" s="23" t="s">
        <v>41</v>
      </c>
      <c r="B56" s="24">
        <f>COUNTIF(G11:G24,"&gt;=105%")</f>
        <v>13</v>
      </c>
      <c r="C56" s="25">
        <f>COUNTIFS(G11:G24,"&gt;=99%",G11:G24,"&lt;105%")</f>
        <v>0</v>
      </c>
      <c r="D56" s="25">
        <f>COUNTIFS(G11:G24,"&gt;=88%",G11:G24,"&lt;99%")</f>
        <v>0</v>
      </c>
      <c r="E56" s="25">
        <f>COUNTIFS(G11:G24,"&gt;=75%",G11:G24,"&lt;88%")</f>
        <v>1</v>
      </c>
      <c r="F56" s="26">
        <f>COUNTIF(G11:G24,"&lt;75%")</f>
        <v>0</v>
      </c>
      <c r="G56" s="3"/>
    </row>
    <row r="57" spans="1:7" x14ac:dyDescent="0.25">
      <c r="A57" s="1"/>
      <c r="B57" s="2"/>
      <c r="C57" s="2"/>
      <c r="D57" s="2"/>
      <c r="E57" s="2"/>
      <c r="F57" s="2"/>
      <c r="G57" s="3"/>
    </row>
    <row r="58" spans="1:7" x14ac:dyDescent="0.25">
      <c r="A58" s="1"/>
      <c r="B58" s="2"/>
      <c r="C58" s="2"/>
      <c r="D58" s="2"/>
      <c r="E58" s="2"/>
      <c r="F58" s="2"/>
      <c r="G58" s="3"/>
    </row>
    <row r="59" spans="1:7" x14ac:dyDescent="0.25">
      <c r="A59" s="1" t="s">
        <v>42</v>
      </c>
      <c r="B59" s="2"/>
      <c r="C59" s="180" t="s">
        <v>43</v>
      </c>
      <c r="D59" s="180"/>
      <c r="E59" s="2"/>
      <c r="F59" s="180" t="s">
        <v>44</v>
      </c>
      <c r="G59" s="181"/>
    </row>
    <row r="60" spans="1:7" x14ac:dyDescent="0.25">
      <c r="A60" s="1"/>
      <c r="B60" s="2"/>
      <c r="C60" s="2"/>
      <c r="D60" s="2"/>
      <c r="E60" s="2"/>
      <c r="F60" s="2"/>
      <c r="G60" s="3"/>
    </row>
    <row r="61" spans="1:7" x14ac:dyDescent="0.25">
      <c r="A61" s="1"/>
      <c r="B61" s="2"/>
      <c r="C61" s="2"/>
      <c r="D61" s="2"/>
      <c r="E61" s="2"/>
      <c r="F61" s="2"/>
      <c r="G61" s="3"/>
    </row>
    <row r="62" spans="1:7" x14ac:dyDescent="0.25">
      <c r="A62" s="1"/>
      <c r="B62" s="2"/>
      <c r="C62" s="2"/>
      <c r="D62" s="2"/>
      <c r="E62" s="2"/>
      <c r="F62" s="2"/>
      <c r="G62" s="3"/>
    </row>
    <row r="63" spans="1:7" x14ac:dyDescent="0.25">
      <c r="A63" s="1"/>
      <c r="B63" s="2"/>
      <c r="C63" s="2"/>
      <c r="D63" s="2"/>
      <c r="E63" s="2"/>
      <c r="F63" s="2"/>
      <c r="G63" s="3"/>
    </row>
    <row r="64" spans="1:7" x14ac:dyDescent="0.25">
      <c r="A64" s="1"/>
      <c r="B64" s="2"/>
      <c r="C64" s="180"/>
      <c r="D64" s="180"/>
      <c r="E64" s="2"/>
      <c r="F64" s="180"/>
      <c r="G64" s="181"/>
    </row>
    <row r="65" spans="1:7" ht="15.75" thickBot="1" x14ac:dyDescent="0.3">
      <c r="A65" s="27"/>
      <c r="B65" s="28"/>
      <c r="C65" s="182"/>
      <c r="D65" s="182"/>
      <c r="E65" s="28"/>
      <c r="F65" s="182"/>
      <c r="G65" s="183"/>
    </row>
    <row r="66" spans="1:7" ht="15.75" thickTop="1" x14ac:dyDescent="0.25"/>
  </sheetData>
  <mergeCells count="59">
    <mergeCell ref="AX11:AX24"/>
    <mergeCell ref="BB11:BB24"/>
    <mergeCell ref="C64:D64"/>
    <mergeCell ref="F64:G64"/>
    <mergeCell ref="C65:D65"/>
    <mergeCell ref="F65:G65"/>
    <mergeCell ref="A49:G49"/>
    <mergeCell ref="F50:G50"/>
    <mergeCell ref="E51:E52"/>
    <mergeCell ref="F51:G52"/>
    <mergeCell ref="C59:D59"/>
    <mergeCell ref="F59:G59"/>
    <mergeCell ref="A43:G43"/>
    <mergeCell ref="A44:G44"/>
    <mergeCell ref="A45:B45"/>
    <mergeCell ref="F45:G45"/>
    <mergeCell ref="A46:B46"/>
    <mergeCell ref="F46:G47"/>
    <mergeCell ref="A47:B47"/>
    <mergeCell ref="A39:E39"/>
    <mergeCell ref="A23:A24"/>
    <mergeCell ref="A27:F27"/>
    <mergeCell ref="E28:F28"/>
    <mergeCell ref="E29:F29"/>
    <mergeCell ref="E30:F30"/>
    <mergeCell ref="E31:F31"/>
    <mergeCell ref="B32:F32"/>
    <mergeCell ref="B33:F33"/>
    <mergeCell ref="A35:F35"/>
    <mergeCell ref="E36:F36"/>
    <mergeCell ref="E37:F37"/>
    <mergeCell ref="AO9:AQ9"/>
    <mergeCell ref="AS9:AU9"/>
    <mergeCell ref="AW9:AY9"/>
    <mergeCell ref="BA9:BC9"/>
    <mergeCell ref="A14:A22"/>
    <mergeCell ref="Q9:S9"/>
    <mergeCell ref="U9:W9"/>
    <mergeCell ref="Y9:AA9"/>
    <mergeCell ref="AC9:AE9"/>
    <mergeCell ref="AG9:AI9"/>
    <mergeCell ref="AK9:AM9"/>
    <mergeCell ref="M9:O9"/>
    <mergeCell ref="A12:A13"/>
    <mergeCell ref="J11:J24"/>
    <mergeCell ref="N11:N24"/>
    <mergeCell ref="R11:R24"/>
    <mergeCell ref="B2:F2"/>
    <mergeCell ref="B3:F3"/>
    <mergeCell ref="F5:G5"/>
    <mergeCell ref="A9:G9"/>
    <mergeCell ref="I9:K9"/>
    <mergeCell ref="AH11:AH24"/>
    <mergeCell ref="AL11:AL24"/>
    <mergeCell ref="AP11:AP24"/>
    <mergeCell ref="AT11:AT24"/>
    <mergeCell ref="V11:V24"/>
    <mergeCell ref="Z11:Z24"/>
    <mergeCell ref="AD11:AD24"/>
  </mergeCells>
  <conditionalFormatting sqref="B33">
    <cfRule type="containsText" dxfId="14" priority="11" operator="containsText" text="EXCEED">
      <formula>NOT(ISERROR(SEARCH("EXCEED",B33)))</formula>
    </cfRule>
    <cfRule type="containsText" dxfId="13" priority="12" operator="containsText" text="NEED IMPROVEMENT">
      <formula>NOT(ISERROR(SEARCH("NEED IMPROVEMENT",B33)))</formula>
    </cfRule>
    <cfRule type="containsText" dxfId="12" priority="13" operator="containsText" text="MEET EXPECTATION">
      <formula>NOT(ISERROR(SEARCH("MEET EXPECTATION",B33)))</formula>
    </cfRule>
    <cfRule type="containsText" dxfId="11" priority="14" operator="containsText" text="FAILED">
      <formula>NOT(ISERROR(SEARCH("FAILED",B33)))</formula>
    </cfRule>
    <cfRule type="containsText" dxfId="10" priority="15" operator="containsText" text="OUTSTANDING">
      <formula>NOT(ISERROR(SEARCH("OUTSTANDING",B33)))</formula>
    </cfRule>
  </conditionalFormatting>
  <conditionalFormatting sqref="E37">
    <cfRule type="containsText" dxfId="9" priority="6" operator="containsText" text="EXCEED">
      <formula>NOT(ISERROR(SEARCH("EXCEED",E37)))</formula>
    </cfRule>
    <cfRule type="containsText" dxfId="8" priority="7" operator="containsText" text="NEED IMPROVEMENT">
      <formula>NOT(ISERROR(SEARCH("NEED IMPROVEMENT",E37)))</formula>
    </cfRule>
    <cfRule type="containsText" dxfId="7" priority="8" operator="containsText" text="MEET EXPECTATION">
      <formula>NOT(ISERROR(SEARCH("MEET EXPECTATION",E37)))</formula>
    </cfRule>
    <cfRule type="containsText" dxfId="6" priority="9" operator="containsText" text="FAILED">
      <formula>NOT(ISERROR(SEARCH("FAILED",E37)))</formula>
    </cfRule>
    <cfRule type="containsText" dxfId="5" priority="10" operator="containsText" text="OUTSTANDING">
      <formula>NOT(ISERROR(SEARCH("OUTSTANDING",E37)))</formula>
    </cfRule>
  </conditionalFormatting>
  <conditionalFormatting sqref="F51">
    <cfRule type="containsText" dxfId="4" priority="1" operator="containsText" text="EXCEED">
      <formula>NOT(ISERROR(SEARCH("EXCEED",F51)))</formula>
    </cfRule>
    <cfRule type="containsText" dxfId="3" priority="2" operator="containsText" text="NEED IMPROVEMENT">
      <formula>NOT(ISERROR(SEARCH("NEED IMPROVEMENT",F51)))</formula>
    </cfRule>
    <cfRule type="containsText" dxfId="2" priority="3" operator="containsText" text="MEET EXPECTATION">
      <formula>NOT(ISERROR(SEARCH("MEET EXPECTATION",F51)))</formula>
    </cfRule>
    <cfRule type="containsText" dxfId="1" priority="4" operator="containsText" text="FAILED">
      <formula>NOT(ISERROR(SEARCH("FAILED",F51)))</formula>
    </cfRule>
    <cfRule type="containsText" dxfId="0" priority="5" operator="containsText" text="OUTSTANDING">
      <formula>NOT(ISERROR(SEARCH("OUTSTANDING",F51)))</formula>
    </cfRule>
  </conditionalFormatting>
  <dataValidations disablePrompts="1" count="2">
    <dataValidation type="list" allowBlank="1" showInputMessage="1" showErrorMessage="1" sqref="F5:G5">
      <formula1>"MANAGER,Dept. Head,Section Head/SPV,Foreman/Officer"</formula1>
    </dataValidation>
    <dataValidation type="list" allowBlank="1" showInputMessage="1" showErrorMessage="1" sqref="D11:D24">
      <formula1>"A(-),A(+),S(-),S(+)"</formula1>
    </dataValidation>
  </dataValidations>
  <hyperlinks>
    <hyperlink ref="J11:J24" r:id="rId1" display="01. Januari"/>
    <hyperlink ref="N11:N24" r:id="rId2" display="02. Februari"/>
    <hyperlink ref="R11:R24" r:id="rId3" display="03. Maret"/>
    <hyperlink ref="V11:V24" r:id="rId4" display="04. April"/>
    <hyperlink ref="Z11:Z24" r:id="rId5" display="05. Mei"/>
    <hyperlink ref="AD11:AD24" r:id="rId6" display="06. Juni"/>
    <hyperlink ref="AH11:AH24" r:id="rId7" display="07. Juli"/>
    <hyperlink ref="AL11:AL24" r:id="rId8" display="08. Agustus"/>
    <hyperlink ref="AP11:AP24" r:id="rId9" display="09. September"/>
    <hyperlink ref="AT11:AT24" r:id="rId10" display="10. Oktober"/>
    <hyperlink ref="AX11:AX24" r:id="rId11" display="11. November"/>
    <hyperlink ref="BB11:BB24" r:id="rId12" display="12. Desember"/>
  </hyperlinks>
  <pageMargins left="0.25" right="0.25" top="0.75" bottom="0.75" header="0.3" footer="0.3"/>
  <pageSetup scale="77" orientation="portrait" r:id="rId13"/>
  <rowBreaks count="1" manualBreakCount="1">
    <brk id="33" max="6" man="1"/>
  </rowBreaks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FRIZKY</vt:lpstr>
      <vt:lpstr>FRIZKY!Print_Area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 Arka</dc:creator>
  <cp:lastModifiedBy>Frizky Ramadhan</cp:lastModifiedBy>
  <cp:lastPrinted>2021-01-28T07:20:34Z</cp:lastPrinted>
  <dcterms:created xsi:type="dcterms:W3CDTF">2021-01-28T06:27:01Z</dcterms:created>
  <dcterms:modified xsi:type="dcterms:W3CDTF">2023-01-02T03:44:20Z</dcterms:modified>
</cp:coreProperties>
</file>