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arka\GS\realisasi\2022\"/>
    </mc:Choice>
  </mc:AlternateContent>
  <xr:revisionPtr revIDLastSave="0" documentId="13_ncr:1_{C06121B1-D8E4-4EDF-A6BC-FB057B5E16D4}" xr6:coauthVersionLast="45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HENDIK" sheetId="2" r:id="rId1"/>
    <sheet name="Sheet1" sheetId="7" state="hidden" r:id="rId2"/>
    <sheet name="SUYANTO" sheetId="3" r:id="rId3"/>
    <sheet name="FRIZKY" sheetId="4" r:id="rId4"/>
    <sheet name="ERICK" sheetId="5" r:id="rId5"/>
    <sheet name="EKO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Print_Area" localSheetId="5">EKO!$A$1:$G$69</definedName>
    <definedName name="_xlnm.Print_Area" localSheetId="4">ERICK!$A$1:$G$68</definedName>
    <definedName name="_xlnm.Print_Area" localSheetId="3">FRIZKY!$A$1:$G$65</definedName>
    <definedName name="_xlnm.Print_Area" localSheetId="0">HENDIK!$A$1:$G$70</definedName>
    <definedName name="_xlnm.Print_Area" localSheetId="2">SUYANTO!$A$1:$G$65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4" i="5" l="1"/>
  <c r="AW14" i="5" l="1"/>
  <c r="F26" i="5" l="1"/>
  <c r="AS14" i="5" l="1"/>
  <c r="AO14" i="5" l="1"/>
  <c r="AK14" i="5" l="1"/>
  <c r="BA15" i="5" l="1"/>
  <c r="AW15" i="5" l="1"/>
  <c r="AS15" i="5" l="1"/>
  <c r="AO15" i="5" l="1"/>
  <c r="AK15" i="5" l="1"/>
  <c r="F22" i="5" l="1"/>
  <c r="F24" i="5"/>
  <c r="F25" i="5" l="1"/>
  <c r="G25" i="5" s="1"/>
  <c r="Q21" i="5" l="1"/>
  <c r="Q19" i="5" l="1"/>
  <c r="I25" i="5" l="1"/>
  <c r="M21" i="5" l="1"/>
  <c r="M20" i="5" l="1"/>
  <c r="I23" i="5" l="1"/>
  <c r="I21" i="5" l="1"/>
  <c r="I20" i="5" l="1"/>
  <c r="AG14" i="5" l="1"/>
  <c r="AG15" i="5" l="1"/>
  <c r="U15" i="5" l="1"/>
  <c r="Q15" i="5" l="1"/>
  <c r="AC14" i="5" l="1"/>
  <c r="Y14" i="5" l="1"/>
  <c r="U14" i="5" l="1"/>
  <c r="Q14" i="5" l="1"/>
  <c r="M14" i="5" l="1"/>
  <c r="I14" i="5" l="1"/>
  <c r="G29" i="6" l="1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F22" i="4"/>
  <c r="G29" i="2"/>
  <c r="G28" i="2"/>
  <c r="G27" i="2"/>
  <c r="G26" i="2"/>
  <c r="G25" i="2"/>
  <c r="F15" i="5"/>
  <c r="G15" i="5" s="1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27" i="5"/>
  <c r="G27" i="5" s="1"/>
  <c r="G26" i="5"/>
  <c r="G24" i="5"/>
  <c r="F23" i="5"/>
  <c r="G23" i="5" s="1"/>
  <c r="G22" i="5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4" i="5"/>
  <c r="G14" i="5" s="1"/>
  <c r="F13" i="5"/>
  <c r="G13" i="5" s="1"/>
  <c r="F12" i="5"/>
  <c r="G12" i="5" s="1"/>
  <c r="F11" i="5"/>
  <c r="G11" i="5" s="1"/>
  <c r="F24" i="4"/>
  <c r="F23" i="4"/>
  <c r="F21" i="4"/>
  <c r="F20" i="4"/>
  <c r="F19" i="4"/>
  <c r="F18" i="4"/>
  <c r="F17" i="4"/>
  <c r="F16" i="4"/>
  <c r="F15" i="4"/>
  <c r="F14" i="4"/>
  <c r="F13" i="4"/>
  <c r="F12" i="4"/>
  <c r="F11" i="4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1" i="2"/>
  <c r="F12" i="2" l="1"/>
  <c r="F13" i="2"/>
  <c r="F14" i="2"/>
  <c r="F23" i="2"/>
  <c r="F24" i="2"/>
  <c r="F25" i="2"/>
  <c r="B56" i="6"/>
  <c r="D56" i="6" s="1"/>
  <c r="D51" i="6"/>
  <c r="C51" i="6"/>
  <c r="D50" i="6"/>
  <c r="D45" i="6"/>
  <c r="E45" i="6" s="1"/>
  <c r="E41" i="6"/>
  <c r="E34" i="6"/>
  <c r="D34" i="6"/>
  <c r="C34" i="6"/>
  <c r="B34" i="6"/>
  <c r="C33" i="6"/>
  <c r="B55" i="5"/>
  <c r="D55" i="5" s="1"/>
  <c r="D50" i="5"/>
  <c r="C50" i="5"/>
  <c r="E50" i="5" s="1"/>
  <c r="D49" i="5"/>
  <c r="D44" i="5"/>
  <c r="E44" i="5" s="1"/>
  <c r="E40" i="5"/>
  <c r="E33" i="5"/>
  <c r="D33" i="5"/>
  <c r="C33" i="5"/>
  <c r="B33" i="5"/>
  <c r="C32" i="5"/>
  <c r="B52" i="4"/>
  <c r="D52" i="4" s="1"/>
  <c r="D47" i="4"/>
  <c r="C47" i="4"/>
  <c r="D46" i="4"/>
  <c r="D41" i="4"/>
  <c r="E41" i="4" s="1"/>
  <c r="E37" i="4"/>
  <c r="E30" i="4"/>
  <c r="D30" i="4"/>
  <c r="C30" i="4"/>
  <c r="B30" i="4"/>
  <c r="C29" i="4"/>
  <c r="B52" i="3"/>
  <c r="D52" i="3" s="1"/>
  <c r="D47" i="3"/>
  <c r="C47" i="3"/>
  <c r="D46" i="3"/>
  <c r="E41" i="3"/>
  <c r="D41" i="3"/>
  <c r="E37" i="3"/>
  <c r="E30" i="3"/>
  <c r="D30" i="3"/>
  <c r="C30" i="3"/>
  <c r="B30" i="3"/>
  <c r="C29" i="3"/>
  <c r="F22" i="2"/>
  <c r="F21" i="2"/>
  <c r="F20" i="2"/>
  <c r="F19" i="2"/>
  <c r="F18" i="2"/>
  <c r="E47" i="3" l="1"/>
  <c r="E51" i="6"/>
  <c r="D33" i="6"/>
  <c r="D35" i="6" s="1"/>
  <c r="E33" i="6"/>
  <c r="E35" i="6" s="1"/>
  <c r="E60" i="6"/>
  <c r="C60" i="6"/>
  <c r="F60" i="6"/>
  <c r="D60" i="6"/>
  <c r="B60" i="6"/>
  <c r="B33" i="6"/>
  <c r="B35" i="6" s="1"/>
  <c r="C35" i="6"/>
  <c r="D32" i="5"/>
  <c r="D34" i="5" s="1"/>
  <c r="E32" i="5"/>
  <c r="E34" i="5" s="1"/>
  <c r="F59" i="5"/>
  <c r="D59" i="5"/>
  <c r="B59" i="5"/>
  <c r="B32" i="5"/>
  <c r="B34" i="5" s="1"/>
  <c r="E59" i="5"/>
  <c r="C59" i="5"/>
  <c r="C34" i="5"/>
  <c r="E47" i="4"/>
  <c r="D29" i="4"/>
  <c r="D31" i="4" s="1"/>
  <c r="F56" i="4"/>
  <c r="E29" i="4"/>
  <c r="E31" i="4" s="1"/>
  <c r="C31" i="4"/>
  <c r="C56" i="4"/>
  <c r="E56" i="4"/>
  <c r="B29" i="4"/>
  <c r="B31" i="4" s="1"/>
  <c r="B56" i="4"/>
  <c r="D56" i="4"/>
  <c r="D29" i="3"/>
  <c r="D31" i="3" s="1"/>
  <c r="E29" i="3"/>
  <c r="F56" i="3"/>
  <c r="D56" i="3"/>
  <c r="B56" i="3"/>
  <c r="B29" i="3"/>
  <c r="B31" i="3" s="1"/>
  <c r="E56" i="3"/>
  <c r="C56" i="3"/>
  <c r="C31" i="3"/>
  <c r="E31" i="3"/>
  <c r="E42" i="2"/>
  <c r="B36" i="6" l="1"/>
  <c r="B35" i="5"/>
  <c r="C49" i="5" s="1"/>
  <c r="E49" i="5" s="1"/>
  <c r="F49" i="5" s="1"/>
  <c r="B54" i="5" s="1"/>
  <c r="D54" i="5" s="1"/>
  <c r="E54" i="5" s="1"/>
  <c r="F54" i="5" s="1"/>
  <c r="B32" i="4"/>
  <c r="C46" i="4" s="1"/>
  <c r="E46" i="4" s="1"/>
  <c r="F46" i="4" s="1"/>
  <c r="B51" i="4" s="1"/>
  <c r="D51" i="4" s="1"/>
  <c r="E51" i="4" s="1"/>
  <c r="F51" i="4" s="1"/>
  <c r="B32" i="3"/>
  <c r="C46" i="3" s="1"/>
  <c r="E46" i="3" s="1"/>
  <c r="F46" i="3" s="1"/>
  <c r="B51" i="3" s="1"/>
  <c r="D51" i="3" s="1"/>
  <c r="E51" i="3" s="1"/>
  <c r="F51" i="3" s="1"/>
  <c r="F15" i="2"/>
  <c r="F29" i="2"/>
  <c r="F28" i="2"/>
  <c r="F27" i="2"/>
  <c r="F26" i="2"/>
  <c r="F17" i="2"/>
  <c r="F16" i="2"/>
  <c r="C50" i="6" l="1"/>
  <c r="E50" i="6" s="1"/>
  <c r="F50" i="6" s="1"/>
  <c r="B55" i="6" s="1"/>
  <c r="D55" i="6" s="1"/>
  <c r="E55" i="6" s="1"/>
  <c r="F55" i="6" s="1"/>
  <c r="B37" i="6"/>
  <c r="B36" i="5"/>
  <c r="B33" i="4"/>
  <c r="B33" i="3"/>
  <c r="D46" i="2" l="1"/>
  <c r="D52" i="2"/>
  <c r="D51" i="2"/>
  <c r="E35" i="2"/>
  <c r="C35" i="2"/>
  <c r="D35" i="2"/>
  <c r="B35" i="2"/>
  <c r="B57" i="2" l="1"/>
  <c r="D57" i="2" s="1"/>
  <c r="C52" i="2"/>
  <c r="E52" i="2" s="1"/>
  <c r="E46" i="2"/>
  <c r="B34" i="2" l="1"/>
  <c r="B36" i="2" s="1"/>
  <c r="C34" i="2"/>
  <c r="C36" i="2" s="1"/>
  <c r="D34" i="2"/>
  <c r="D36" i="2" s="1"/>
  <c r="E34" i="2"/>
  <c r="E36" i="2" s="1"/>
  <c r="E61" i="2"/>
  <c r="C61" i="2"/>
  <c r="F61" i="2"/>
  <c r="D61" i="2"/>
  <c r="B61" i="2"/>
  <c r="B37" i="2" l="1"/>
  <c r="B38" i="2" s="1"/>
  <c r="C51" i="2" l="1"/>
  <c r="E51" i="2" s="1"/>
  <c r="F51" i="2" s="1"/>
  <c r="B56" i="2" s="1"/>
  <c r="D56" i="2" s="1"/>
  <c r="E56" i="2" s="1"/>
  <c r="F56" i="2" s="1"/>
</calcChain>
</file>

<file path=xl/sharedStrings.xml><?xml version="1.0" encoding="utf-8"?>
<sst xmlns="http://schemas.openxmlformats.org/spreadsheetml/2006/main" count="1134" uniqueCount="182">
  <si>
    <t>PERFORMANCE APPRAISAL</t>
  </si>
  <si>
    <t>DIVISION/PROJECT</t>
  </si>
  <si>
    <t>A. PROJECT PERFORMANCE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</si>
  <si>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</si>
  <si>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</si>
  <si>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</si>
  <si>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</si>
  <si>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</si>
  <si>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</si>
  <si>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</si>
  <si>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</si>
  <si>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</si>
  <si>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</si>
  <si>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</si>
  <si>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</si>
  <si>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Indicator</t>
  </si>
  <si>
    <t>Plan Activity</t>
  </si>
  <si>
    <t>Satuan</t>
  </si>
  <si>
    <t>Indikator</t>
  </si>
  <si>
    <t>Score</t>
  </si>
  <si>
    <t>Realisasi</t>
  </si>
  <si>
    <t>Evidence</t>
  </si>
  <si>
    <t>Remarks</t>
  </si>
  <si>
    <t>%</t>
  </si>
  <si>
    <t>Event</t>
  </si>
  <si>
    <t>RESULT</t>
  </si>
  <si>
    <t>Bobot</t>
  </si>
  <si>
    <t>B x S</t>
  </si>
  <si>
    <t>Final Scored</t>
  </si>
  <si>
    <t>Rating</t>
  </si>
  <si>
    <t>OUTSTANDING</t>
  </si>
  <si>
    <t>EXCEED</t>
  </si>
  <si>
    <t>MEET EXPECTATION</t>
  </si>
  <si>
    <t>NEED IMPROVEMENT</t>
  </si>
  <si>
    <t>FAILED</t>
  </si>
  <si>
    <t>Range</t>
  </si>
  <si>
    <t>&gt;=105%</t>
  </si>
  <si>
    <t>&lt;105 - &gt;=99</t>
  </si>
  <si>
    <t>99&lt; - &gt;=88</t>
  </si>
  <si>
    <t>88&lt; - &gt;=75</t>
  </si>
  <si>
    <t>&lt;75</t>
  </si>
  <si>
    <t>Total</t>
  </si>
  <si>
    <t>Dibuat Oleh,</t>
  </si>
  <si>
    <t>Diketahui,</t>
  </si>
  <si>
    <t>Disetujui Oleh,</t>
  </si>
  <si>
    <t>Nama                 :</t>
  </si>
  <si>
    <t>Divisi                  :</t>
  </si>
  <si>
    <t>Jabatan              :</t>
  </si>
  <si>
    <t xml:space="preserve">NIK                                 : </t>
  </si>
  <si>
    <t>Project                         :</t>
  </si>
  <si>
    <t>Periode Penilaian   :</t>
  </si>
  <si>
    <t>Level Jabatan   :</t>
  </si>
  <si>
    <t>Individual Performance</t>
  </si>
  <si>
    <t>Risk Management</t>
  </si>
  <si>
    <t>Client Focus</t>
  </si>
  <si>
    <t>People Development</t>
  </si>
  <si>
    <t>C. CORE VALUE</t>
  </si>
  <si>
    <t>Kriteria Penilaian</t>
  </si>
  <si>
    <t>Core Value</t>
  </si>
  <si>
    <t>Implementasi budaya kerja TIGER SPEED</t>
  </si>
  <si>
    <t>B. DIVISION PERFORMANCE</t>
  </si>
  <si>
    <t>Score Divisi</t>
  </si>
  <si>
    <t>Score x Bobot</t>
  </si>
  <si>
    <t>Division Score</t>
  </si>
  <si>
    <t xml:space="preserve">Score/nilai pencapaian goal setting Divisi </t>
  </si>
  <si>
    <t>D.FINAL SCORE INDIVIDUAL PERFORMANCE</t>
  </si>
  <si>
    <t>Goal Setting</t>
  </si>
  <si>
    <t>Kriteria</t>
  </si>
  <si>
    <t>Score x bobot</t>
  </si>
  <si>
    <t>Goal Setting Score</t>
  </si>
  <si>
    <t>Division Performance</t>
  </si>
  <si>
    <t>Final Score</t>
  </si>
  <si>
    <t>Foreman/Officer</t>
  </si>
  <si>
    <t>Report Avaibility PC/Printer HO &amp; Site 2x/tahun</t>
  </si>
  <si>
    <t>Data Recovery 90% (kondisi hardisk masih berfungsi)</t>
  </si>
  <si>
    <t>Setting channel Radio H+3 (Kondisi Baik)</t>
  </si>
  <si>
    <t>Diagnostic PC/LAPTOP/PRINTER H+1</t>
  </si>
  <si>
    <t>Troubleshooting PC/LAPTOP Asset H+5</t>
  </si>
  <si>
    <t>Delivery to Logistic setelah service H+1</t>
  </si>
  <si>
    <t>Troubleshooting Printer H+5</t>
  </si>
  <si>
    <t>Apps &amp; Web Depelovment 4,5 Bulan (After Feedback User)</t>
  </si>
  <si>
    <t>Mail Account Troubleshooting H+3</t>
  </si>
  <si>
    <t>Chairman Meeting Internal 5x/tahun</t>
  </si>
  <si>
    <t>Self Development Skill min 1x/tahun</t>
  </si>
  <si>
    <t>Backup Configurasi VoIP, PABX 2x setiap bulan</t>
  </si>
  <si>
    <t>Standart APD untuk pekerjaan di ketinggian (helm, sepatu, harness), 2x per tahun</t>
  </si>
  <si>
    <t>Penyediaan Jaringan LAN,Telp, Voip, CCTV H+12 setelah barang lengkap</t>
  </si>
  <si>
    <t>Troubleshooting LAN,Telp, Voip, CCTV H+2 (jika tidak ada pergantian part)</t>
  </si>
  <si>
    <t>Diagnostic VoIP, CCTV, Telp H+1</t>
  </si>
  <si>
    <t>Uptime Layanan Telp 26 hari per bulan</t>
  </si>
  <si>
    <t>Uptime Layanan Voip 95% per bulan (ikut uptime jaringan)</t>
  </si>
  <si>
    <t>Uptime CCTV HO dan APS 95% per bulan</t>
  </si>
  <si>
    <t>Preventif Maintenance Telp, Voip, CCTV HO &amp; APS 2x/Tahun</t>
  </si>
  <si>
    <t>Laporan DCR sebelum tanggal 5 setiap bulan</t>
  </si>
  <si>
    <t>Cancel / Close SAP Document H+1</t>
  </si>
  <si>
    <t>Perubahan data di SAP H+2 (update remark, whs, project, dll)</t>
  </si>
  <si>
    <t>Perubahan / penambahan field menu SAP H+2</t>
  </si>
  <si>
    <t>SAP Document Numbering H+1</t>
  </si>
  <si>
    <t>DCR H+1 setelah divisi manager approve</t>
  </si>
  <si>
    <t>Request Account Email H+1</t>
  </si>
  <si>
    <t>Application &amp; Web Development 4.5 Bulan</t>
  </si>
  <si>
    <t>Duration</t>
  </si>
  <si>
    <t>Report Avaibility PC &amp; Printer 2x/tahun</t>
  </si>
  <si>
    <t>Laporan absen dan RDA Max Jam 10 setiap harinya</t>
  </si>
  <si>
    <t>Troubleshooting PC / Laptop Asset H+5</t>
  </si>
  <si>
    <t>Troubleshooting Software H+2</t>
  </si>
  <si>
    <t>Troubleshooting Jaringan H+2</t>
  </si>
  <si>
    <t>Troubleshooting Email H+3</t>
  </si>
  <si>
    <t>Uptime CCTV BO 95% per bulan</t>
  </si>
  <si>
    <t>Closing WO IT per bulan</t>
  </si>
  <si>
    <t>Monthly Meeting per tahun</t>
  </si>
  <si>
    <t>Server Patching per tahun</t>
  </si>
  <si>
    <t>Review Security Issue Server</t>
  </si>
  <si>
    <t>Loss Backup Monthly Database</t>
  </si>
  <si>
    <t>Review SOP IT</t>
  </si>
  <si>
    <t>Penyediaan layanan internet H+30 dari release PO dan RAB direalisasi</t>
  </si>
  <si>
    <t>Backup data server 95%</t>
  </si>
  <si>
    <t>Penyediaan infrastruktur IT H+30 dari release PO dan RAB direalisasi (status barang ready)</t>
  </si>
  <si>
    <t>Uptime layanan internet 95%</t>
  </si>
  <si>
    <t>Availability Server 90%</t>
  </si>
  <si>
    <t xml:space="preserve">Event </t>
  </si>
  <si>
    <t>Target 2022</t>
  </si>
  <si>
    <t>realisasi 2022</t>
  </si>
  <si>
    <t>Preventive Maintenance PC/Laptop BO Jakarta 2x/tahun</t>
  </si>
  <si>
    <t>Preventive Maintenance PC/Laptop Site 021C 2x/tahun</t>
  </si>
  <si>
    <t>Report Populasi PC Site 021C 2x/tahun</t>
  </si>
  <si>
    <t>Report Populasi PC Site BO 2x/tahun</t>
  </si>
  <si>
    <t>Realisasi Payment Request HRGA H+2 (Setelah approval dan bukti pembayaran diterima dari tim HRGA)</t>
  </si>
  <si>
    <t>Preventif Maintenance PC HO 2x /tahun</t>
  </si>
  <si>
    <t>Preventif Maintenance PC Site 017C 2x /tahun</t>
  </si>
  <si>
    <t>Preventif Maintenance PC Site 022C 2x /tahun</t>
  </si>
  <si>
    <t>Preventif Maintenance PC APS 2x /tahun</t>
  </si>
  <si>
    <t>Report Populasi PC APS 2x/tahun</t>
  </si>
  <si>
    <t>Report Populasi PC HO 2x/tahun</t>
  </si>
  <si>
    <t>Report Populasi PC Site 017C 2x/tahun</t>
  </si>
  <si>
    <t>Report Populasi PC Site 022C 2x/tahun</t>
  </si>
  <si>
    <t>Report Availability Telp, Voip, CCTV sebelum tanggal 5 setiap bulan</t>
  </si>
  <si>
    <t>Register Business Partner Data SAP H+1</t>
  </si>
  <si>
    <t>Register Non Unit Part Number SAP H+1</t>
  </si>
  <si>
    <t>Monthly Report setiap tanggal 3 setiap bulan</t>
  </si>
  <si>
    <t>Penyediaan infrastruktur jaringan H+30 dari IT WO diproses</t>
  </si>
  <si>
    <t>Penyediaan barang IT H+15</t>
  </si>
  <si>
    <t>A(-)</t>
  </si>
  <si>
    <t>januari</t>
  </si>
  <si>
    <t>S(+)</t>
  </si>
  <si>
    <t>MONTH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</si>
  <si>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</si>
  <si>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</si>
  <si>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</si>
  <si>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</si>
  <si>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</si>
  <si>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</si>
  <si>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</si>
  <si>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</si>
  <si>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</si>
  <si>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</si>
  <si>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</si>
  <si>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Eko Huri Cahyono</t>
  </si>
  <si>
    <t>Section Head/SPV</t>
  </si>
  <si>
    <t>IT</t>
  </si>
  <si>
    <t>000H</t>
  </si>
  <si>
    <t>IT Section Head</t>
  </si>
  <si>
    <t>day2</t>
  </si>
  <si>
    <t>Database Backup Monthly Report setiap tanggal 3 setiap bulan</t>
  </si>
  <si>
    <t>A(+)</t>
  </si>
  <si>
    <t>day1</t>
  </si>
  <si>
    <t>Diagnostic Server H+2</t>
  </si>
  <si>
    <t>Troubleshooting Server H+5</t>
  </si>
  <si>
    <t>Erick Haditya Pamungkas</t>
  </si>
  <si>
    <t>001H</t>
  </si>
  <si>
    <t>IT Officer 4</t>
  </si>
  <si>
    <t>Frizky Ramadhan</t>
  </si>
  <si>
    <t>IT Officer 3</t>
  </si>
  <si>
    <t>Request New / Update SAP Query H+7</t>
  </si>
  <si>
    <t>Suyanto</t>
  </si>
  <si>
    <t>IT Officer 2</t>
  </si>
  <si>
    <t>Tri Ari Hendik Saputra</t>
  </si>
  <si>
    <t>IT Officer 1</t>
  </si>
  <si>
    <t>time</t>
  </si>
  <si>
    <t>realisasi</t>
  </si>
  <si>
    <t>evidence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</si>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</sst>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%"/>
    <numFmt numFmtId="165" formatCode="h:mm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9" xfId="2" applyFont="1" applyBorder="1" applyAlignment="1">
      <alignment horizontal="center" vertical="center"/>
    </xf>
    <xf numFmtId="0" fontId="0" fillId="0" borderId="12" xfId="0" applyBorder="1"/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0" fontId="0" fillId="0" borderId="18" xfId="1" applyNumberFormat="1" applyFon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1" applyNumberFormat="1" applyFont="1" applyBorder="1" applyAlignment="1">
      <alignment horizontal="center" vertical="center"/>
    </xf>
    <xf numFmtId="9" fontId="0" fillId="0" borderId="44" xfId="2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4" fillId="2" borderId="30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9" fontId="3" fillId="0" borderId="48" xfId="2" applyFont="1" applyBorder="1" applyAlignment="1">
      <alignment horizontal="center" vertical="center"/>
    </xf>
    <xf numFmtId="9" fontId="3" fillId="0" borderId="12" xfId="2" applyFont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/>
    </xf>
    <xf numFmtId="0" fontId="5" fillId="0" borderId="60" xfId="0" applyFont="1" applyBorder="1" applyAlignment="1">
      <alignment horizontal="left" vertical="center"/>
    </xf>
    <xf numFmtId="0" fontId="5" fillId="0" borderId="61" xfId="0" applyFont="1" applyBorder="1" applyAlignment="1">
      <alignment horizontal="center" vertical="center"/>
    </xf>
    <xf numFmtId="9" fontId="5" fillId="0" borderId="61" xfId="2" applyNumberFormat="1" applyFont="1" applyBorder="1" applyAlignment="1">
      <alignment horizontal="center" vertical="center"/>
    </xf>
    <xf numFmtId="0" fontId="4" fillId="2" borderId="18" xfId="0" applyFont="1" applyFill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9" fontId="5" fillId="0" borderId="26" xfId="2" applyFont="1" applyBorder="1" applyAlignment="1">
      <alignment horizontal="center" vertical="center"/>
    </xf>
    <xf numFmtId="9" fontId="5" fillId="0" borderId="58" xfId="2" applyFont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164" fontId="5" fillId="0" borderId="36" xfId="2" applyNumberFormat="1" applyFont="1" applyBorder="1" applyAlignment="1">
      <alignment horizontal="center" vertical="center"/>
    </xf>
    <xf numFmtId="9" fontId="5" fillId="0" borderId="58" xfId="0" applyNumberFormat="1" applyFont="1" applyBorder="1" applyAlignment="1">
      <alignment horizontal="center" vertical="center"/>
    </xf>
    <xf numFmtId="10" fontId="5" fillId="0" borderId="58" xfId="2" applyNumberFormat="1" applyFont="1" applyBorder="1" applyAlignment="1">
      <alignment horizontal="center" vertical="center"/>
    </xf>
    <xf numFmtId="9" fontId="5" fillId="0" borderId="26" xfId="0" applyNumberFormat="1" applyFont="1" applyBorder="1" applyAlignment="1">
      <alignment horizontal="center" vertical="center"/>
    </xf>
    <xf numFmtId="10" fontId="5" fillId="0" borderId="26" xfId="2" applyNumberFormat="1" applyFont="1" applyBorder="1" applyAlignment="1">
      <alignment horizontal="center" vertical="center"/>
    </xf>
    <xf numFmtId="9" fontId="5" fillId="0" borderId="35" xfId="0" applyNumberFormat="1" applyFont="1" applyBorder="1" applyAlignment="1">
      <alignment horizontal="center" vertical="center"/>
    </xf>
    <xf numFmtId="10" fontId="5" fillId="0" borderId="32" xfId="0" applyNumberFormat="1" applyFont="1" applyBorder="1" applyAlignment="1">
      <alignment horizontal="center" vertical="center"/>
    </xf>
    <xf numFmtId="9" fontId="5" fillId="0" borderId="33" xfId="0" applyNumberFormat="1" applyFont="1" applyBorder="1" applyAlignment="1">
      <alignment horizontal="center" vertical="center"/>
    </xf>
    <xf numFmtId="10" fontId="5" fillId="0" borderId="33" xfId="2" applyNumberFormat="1" applyFont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0" fillId="0" borderId="64" xfId="0" applyBorder="1" applyAlignment="1">
      <alignment vertical="center" wrapText="1"/>
    </xf>
    <xf numFmtId="0" fontId="0" fillId="0" borderId="5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3" fontId="0" fillId="0" borderId="33" xfId="1" applyNumberFormat="1" applyFont="1" applyBorder="1" applyAlignment="1">
      <alignment horizontal="center" vertical="center"/>
    </xf>
    <xf numFmtId="9" fontId="0" fillId="0" borderId="65" xfId="2" applyFont="1" applyBorder="1" applyAlignment="1">
      <alignment horizontal="center" vertical="center"/>
    </xf>
    <xf numFmtId="10" fontId="3" fillId="0" borderId="54" xfId="2" applyNumberFormat="1" applyFont="1" applyBorder="1" applyAlignment="1">
      <alignment horizontal="center" vertical="center"/>
    </xf>
    <xf numFmtId="10" fontId="3" fillId="0" borderId="43" xfId="2" applyNumberFormat="1" applyFont="1" applyBorder="1" applyAlignment="1">
      <alignment horizontal="center" vertical="center"/>
    </xf>
    <xf numFmtId="10" fontId="3" fillId="0" borderId="32" xfId="2" applyNumberFormat="1" applyFont="1" applyBorder="1" applyAlignment="1">
      <alignment horizontal="center" vertical="center"/>
    </xf>
    <xf numFmtId="10" fontId="3" fillId="0" borderId="33" xfId="2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13" xfId="0" applyFont="1" applyFill="1" applyBorder="1" applyAlignment="1">
      <alignment horizontal="left" vertical="center"/>
    </xf>
    <xf numFmtId="0" fontId="4" fillId="2" borderId="68" xfId="0" applyFont="1" applyFill="1" applyBorder="1" applyAlignment="1">
      <alignment horizontal="left" vertical="center"/>
    </xf>
    <xf numFmtId="0" fontId="4" fillId="2" borderId="69" xfId="0" applyFont="1" applyFill="1" applyBorder="1" applyAlignment="1">
      <alignment horizontal="left" vertical="center"/>
    </xf>
    <xf numFmtId="0" fontId="4" fillId="2" borderId="70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9" fontId="5" fillId="0" borderId="71" xfId="0" applyNumberFormat="1" applyFont="1" applyBorder="1" applyAlignment="1">
      <alignment horizontal="center" vertical="center"/>
    </xf>
    <xf numFmtId="9" fontId="5" fillId="0" borderId="76" xfId="0" applyNumberFormat="1" applyFont="1" applyBorder="1" applyAlignment="1">
      <alignment horizontal="center" vertical="center"/>
    </xf>
    <xf numFmtId="9" fontId="5" fillId="0" borderId="77" xfId="0" applyNumberFormat="1" applyFont="1" applyBorder="1" applyAlignment="1">
      <alignment horizontal="center" vertical="center"/>
    </xf>
    <xf numFmtId="10" fontId="5" fillId="0" borderId="77" xfId="2" applyNumberFormat="1" applyFont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3" borderId="63" xfId="0" applyFont="1" applyFill="1" applyBorder="1" applyAlignment="1">
      <alignment horizontal="center" vertical="center"/>
    </xf>
    <xf numFmtId="0" fontId="6" fillId="3" borderId="63" xfId="0" applyFont="1" applyFill="1" applyBorder="1" applyAlignment="1">
      <alignment horizontal="center" vertical="top"/>
    </xf>
    <xf numFmtId="0" fontId="4" fillId="2" borderId="63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/>
    <xf numFmtId="0" fontId="3" fillId="0" borderId="3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1" applyNumberFormat="1" applyFont="1" applyBorder="1" applyAlignment="1">
      <alignment horizontal="center" vertical="center"/>
    </xf>
    <xf numFmtId="9" fontId="0" fillId="0" borderId="45" xfId="2" applyFont="1" applyBorder="1" applyAlignment="1">
      <alignment horizontal="center" vertical="center"/>
    </xf>
    <xf numFmtId="0" fontId="0" fillId="0" borderId="83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3" fontId="0" fillId="0" borderId="86" xfId="1" applyNumberFormat="1" applyFont="1" applyBorder="1" applyAlignment="1">
      <alignment horizontal="center" vertical="center"/>
    </xf>
    <xf numFmtId="9" fontId="0" fillId="0" borderId="87" xfId="2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 wrapText="1"/>
    </xf>
    <xf numFmtId="0" fontId="0" fillId="0" borderId="88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5" xfId="0" applyBorder="1" applyAlignment="1">
      <alignment vertical="center" wrapText="1"/>
    </xf>
    <xf numFmtId="0" fontId="0" fillId="0" borderId="89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3" fontId="0" fillId="0" borderId="79" xfId="1" applyNumberFormat="1" applyFont="1" applyBorder="1" applyAlignment="1">
      <alignment horizontal="center" vertical="center"/>
    </xf>
    <xf numFmtId="9" fontId="0" fillId="0" borderId="46" xfId="2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/>
    <xf numFmtId="0" fontId="0" fillId="0" borderId="25" xfId="0" applyBorder="1"/>
    <xf numFmtId="0" fontId="0" fillId="0" borderId="17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3" fontId="0" fillId="0" borderId="79" xfId="1" quotePrefix="1" applyNumberFormat="1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7" xfId="1" applyNumberFormat="1" applyFont="1" applyBorder="1" applyAlignment="1">
      <alignment horizontal="center" vertical="center"/>
    </xf>
    <xf numFmtId="0" fontId="0" fillId="0" borderId="84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3" fontId="0" fillId="0" borderId="18" xfId="1" applyNumberFormat="1" applyFont="1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3" fontId="0" fillId="0" borderId="61" xfId="1" applyNumberFormat="1" applyFont="1" applyBorder="1" applyAlignment="1">
      <alignment horizontal="center" vertical="center"/>
    </xf>
    <xf numFmtId="0" fontId="0" fillId="0" borderId="64" xfId="0" applyFill="1" applyBorder="1" applyAlignment="1">
      <alignment vertical="center" wrapText="1"/>
    </xf>
    <xf numFmtId="0" fontId="9" fillId="0" borderId="12" xfId="4" applyBorder="1"/>
    <xf numFmtId="2" fontId="0" fillId="0" borderId="12" xfId="0" applyNumberFormat="1" applyBorder="1"/>
    <xf numFmtId="20" fontId="0" fillId="0" borderId="12" xfId="0" applyNumberFormat="1" applyBorder="1"/>
    <xf numFmtId="165" fontId="0" fillId="0" borderId="33" xfId="1" applyNumberFormat="1" applyFont="1" applyBorder="1" applyAlignment="1">
      <alignment horizontal="center" vertical="center"/>
    </xf>
    <xf numFmtId="0" fontId="0" fillId="0" borderId="12" xfId="0" applyNumberFormat="1" applyBorder="1"/>
    <xf numFmtId="2" fontId="0" fillId="0" borderId="43" xfId="1" applyNumberFormat="1" applyFont="1" applyBorder="1" applyAlignment="1">
      <alignment horizontal="center" vertical="center"/>
    </xf>
    <xf numFmtId="4" fontId="0" fillId="0" borderId="33" xfId="1" applyNumberFormat="1" applyFont="1" applyBorder="1" applyAlignment="1">
      <alignment horizontal="center" vertical="center"/>
    </xf>
    <xf numFmtId="2" fontId="9" fillId="0" borderId="12" xfId="4" applyNumberFormat="1" applyBorder="1"/>
    <xf numFmtId="10" fontId="5" fillId="0" borderId="76" xfId="0" applyNumberFormat="1" applyFont="1" applyBorder="1" applyAlignment="1">
      <alignment horizontal="center" vertical="center"/>
    </xf>
    <xf numFmtId="2" fontId="0" fillId="0" borderId="12" xfId="1" applyNumberFormat="1" applyFont="1" applyBorder="1" applyAlignment="1">
      <alignment horizontal="center" vertical="center"/>
    </xf>
    <xf numFmtId="0" fontId="4" fillId="3" borderId="56" xfId="0" applyFont="1" applyFill="1" applyBorder="1" applyAlignment="1">
      <alignment horizontal="center"/>
    </xf>
    <xf numFmtId="0" fontId="4" fillId="3" borderId="5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wrapText="1"/>
    </xf>
    <xf numFmtId="0" fontId="4" fillId="0" borderId="73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4" fillId="0" borderId="74" xfId="0" applyFont="1" applyBorder="1" applyAlignment="1">
      <alignment horizontal="left" vertical="center"/>
    </xf>
    <xf numFmtId="10" fontId="6" fillId="0" borderId="75" xfId="0" applyNumberFormat="1" applyFont="1" applyBorder="1" applyAlignment="1">
      <alignment horizontal="center" vertical="center"/>
    </xf>
    <xf numFmtId="10" fontId="6" fillId="0" borderId="40" xfId="0" applyNumberFormat="1" applyFont="1" applyBorder="1" applyAlignment="1">
      <alignment horizontal="center" vertical="center"/>
    </xf>
    <xf numFmtId="10" fontId="6" fillId="0" borderId="52" xfId="0" applyNumberFormat="1" applyFont="1" applyBorder="1" applyAlignment="1">
      <alignment horizontal="center" vertical="center"/>
    </xf>
    <xf numFmtId="10" fontId="6" fillId="0" borderId="53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0" fontId="7" fillId="0" borderId="77" xfId="2" applyNumberFormat="1" applyFont="1" applyBorder="1" applyAlignment="1">
      <alignment horizontal="center" vertical="center"/>
    </xf>
    <xf numFmtId="10" fontId="7" fillId="0" borderId="58" xfId="2" applyNumberFormat="1" applyFont="1" applyBorder="1" applyAlignment="1">
      <alignment horizontal="center" vertical="center"/>
    </xf>
    <xf numFmtId="0" fontId="8" fillId="0" borderId="75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53" xfId="0" applyFont="1" applyFill="1" applyBorder="1" applyAlignment="1">
      <alignment horizontal="center" vertical="center" wrapText="1"/>
    </xf>
    <xf numFmtId="9" fontId="3" fillId="0" borderId="47" xfId="2" applyFont="1" applyBorder="1" applyAlignment="1">
      <alignment horizontal="center"/>
    </xf>
    <xf numFmtId="9" fontId="3" fillId="0" borderId="18" xfId="2" applyFont="1" applyBorder="1" applyAlignment="1">
      <alignment horizontal="center"/>
    </xf>
    <xf numFmtId="9" fontId="3" fillId="0" borderId="45" xfId="2" applyFont="1" applyBorder="1" applyAlignment="1">
      <alignment horizontal="center"/>
    </xf>
    <xf numFmtId="0" fontId="4" fillId="0" borderId="5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72" xfId="0" applyFont="1" applyFill="1" applyBorder="1" applyAlignment="1">
      <alignment horizontal="left" vertical="center"/>
    </xf>
    <xf numFmtId="0" fontId="6" fillId="2" borderId="56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4" fillId="2" borderId="56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6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59" xfId="0" applyFont="1" applyFill="1" applyBorder="1" applyAlignment="1">
      <alignment horizontal="left" vertical="center"/>
    </xf>
    <xf numFmtId="0" fontId="3" fillId="0" borderId="78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9" fontId="3" fillId="0" borderId="12" xfId="2" applyFont="1" applyBorder="1" applyAlignment="1">
      <alignment horizontal="center" vertical="center" wrapText="1"/>
    </xf>
    <xf numFmtId="9" fontId="3" fillId="0" borderId="46" xfId="2" applyFont="1" applyBorder="1" applyAlignment="1">
      <alignment horizontal="center" vertical="center" wrapText="1"/>
    </xf>
    <xf numFmtId="10" fontId="3" fillId="0" borderId="43" xfId="2" applyNumberFormat="1" applyFont="1" applyBorder="1" applyAlignment="1">
      <alignment horizontal="center" vertical="center" wrapText="1"/>
    </xf>
    <xf numFmtId="10" fontId="3" fillId="0" borderId="55" xfId="2" applyNumberFormat="1" applyFont="1" applyBorder="1" applyAlignment="1">
      <alignment horizontal="center" vertical="center" wrapText="1"/>
    </xf>
    <xf numFmtId="10" fontId="3" fillId="0" borderId="33" xfId="2" applyNumberFormat="1" applyFont="1" applyBorder="1" applyAlignment="1">
      <alignment horizontal="center" vertical="center" wrapText="1"/>
    </xf>
    <xf numFmtId="10" fontId="3" fillId="0" borderId="34" xfId="2" applyNumberFormat="1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10" fontId="3" fillId="0" borderId="47" xfId="2" applyNumberFormat="1" applyFont="1" applyBorder="1" applyAlignment="1">
      <alignment horizontal="center"/>
    </xf>
    <xf numFmtId="10" fontId="3" fillId="0" borderId="18" xfId="2" applyNumberFormat="1" applyFont="1" applyBorder="1" applyAlignment="1">
      <alignment horizontal="center"/>
    </xf>
    <xf numFmtId="10" fontId="3" fillId="0" borderId="45" xfId="2" applyNumberFormat="1" applyFont="1" applyBorder="1" applyAlignment="1">
      <alignment horizontal="center"/>
    </xf>
    <xf numFmtId="0" fontId="3" fillId="0" borderId="67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</cellXfs>
  <cellStyles count="5">
    <cellStyle name="Comma [0]" xfId="1" builtinId="6"/>
    <cellStyle name="Hyperlink" xfId="4" builtinId="8"/>
    <cellStyle name="Normal" xfId="0" builtinId="0"/>
    <cellStyle name="Normal 2" xfId="3" xr:uid="{00000000-0005-0000-0000-000002000000}"/>
    <cellStyle name="Percent" xfId="2" builtinId="5"/>
  </cellStyles>
  <dxfs count="7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749300</xdr:colOff>
      <xdr:row>2</xdr:row>
      <xdr:rowOff>234950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1597025" cy="625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749300</xdr:colOff>
      <xdr:row>2</xdr:row>
      <xdr:rowOff>234950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1597025" cy="625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749300</xdr:colOff>
      <xdr:row>2</xdr:row>
      <xdr:rowOff>234950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1597025" cy="625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749300</xdr:colOff>
      <xdr:row>2</xdr:row>
      <xdr:rowOff>234950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1597025" cy="625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749300</xdr:colOff>
      <xdr:row>2</xdr:row>
      <xdr:rowOff>234950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1597025" cy="625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Januari/03.%20Payment%20Request%20HRGA/Payment%20Request%20Januari%2020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0.%20Oktober/03.%20Payment%20Request%20HRGA/Payment%20Request%20Oktober%20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3.%20Maret/04.%20Laporan%20RDA/rekap%20laporan%20RD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4.%20April/04.%20Laporan%20RDA/rekap%20laporan%20RD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7.%20Juli/04.%20Laporan%20RDA/rekap%20laporan%20RD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08.%20Agustus/04.%20Laporan%20RDA/rekap%20laporan%20RDA%20Agustus%20202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9.%20September/04.%20Laporan%20RDA/rekap%20laporan%20RDA%20September%20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0.%20Oktober/04.%20Laporan%20RDA/rekap%20laporan%20RDA%20Oktober%20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November/04.%20Laporan%20RDA/rekap%20laporan%20RDA%20November%20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2.%20Desember/04.%20Laporan%20RDA/rekap%20laporan%20RDA%20Desember%20202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03.%20Maret/07.%20Diagnostic%20PC/IT%20Work%20Order%20Report%20Maret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.%20Februari/03.%20Payment%20Request%20HRGA/PR%20Februari%20202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Januari/08.%20Troubleshooting%20PC%20Asset/IT%20Work%20Order%20Repor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02.%20Februari/08.%20Troubleshooting%20PC%20Asset/IT%20Work%20Order%20Report%20Februari%20202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Januari/09.%20Troubleshooting%20Printer/IT%20Work%20Order%20Repor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02.%20Februari/09.%20Troubleshooting%20Printer/IT%20Work%20Order%20Report%20Februari%20202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03.%20Maret/09.%20Troubleshooting%20Printer/IT%20Work%20Order%20Report%20Maret%20202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Januari/11.%20Troubleshooting%20Jaringan/IT%20Work%20Order%20Repor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November/03.%20Payment%20Request%20HRGA/Payment%20Request%20November%20202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2.%20Desember/03.%20Payment%20Request%20HRGA/Payment%20Request%20Desembe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3.%20Maret/03.%20Payment%20Request%20HRGA/Payment%20Request%20Maret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4.%20April/03.%20Payment%20Request%20HRGA/Payment%20Request%20April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5.%20Mei/03.%20Payment%20Request%20HRGA/Payment%20Request%20Mei%2020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6.%20Juni/03.%20Payment%20Request%20HRGA/Payment%20Request%20Juni%20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7.%20Juli/03.%20Payment%20Request%20HRGA/Payment%20Request%20Juli%20202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8.%20Agustus/03.%20Payment%20Request%20HRGA/Payment%20Request%20Agustus%20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9.%20September/03.%20Payment%20Request%20HRGA/Payment%20Request%20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-1-21"/>
    </sheetNames>
    <sheetDataSet>
      <sheetData sheetId="0">
        <row r="24">
          <cell r="I24">
            <v>1.40625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">
          <cell r="J35">
            <v>2.3076923076923075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6">
          <cell r="D36">
            <v>0.36593567251461995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">
          <cell r="D35">
            <v>0.3511408730158731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6">
          <cell r="D36">
            <v>0.36817129629629625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6">
          <cell r="D36">
            <v>0.36971450617283952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">
          <cell r="D35">
            <v>0.38269230769230761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6">
          <cell r="D36">
            <v>0.38263888888888892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">
          <cell r="D35">
            <v>0.39436728395061738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6">
          <cell r="D36">
            <v>0.36820175438596486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nostic"/>
      <sheetName val="PC"/>
      <sheetName val="Printer&amp;Peripheral"/>
      <sheetName val="Software"/>
      <sheetName val="Jaringan"/>
      <sheetName val="Email"/>
    </sheetNames>
    <sheetDataSet>
      <sheetData sheetId="0">
        <row r="6">
          <cell r="Q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9">
          <cell r="I19">
            <v>1.75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Printer&amp;Peripheral"/>
      <sheetName val="Software"/>
      <sheetName val="Jaringan"/>
      <sheetName val="Email"/>
    </sheetNames>
    <sheetDataSet>
      <sheetData sheetId="0">
        <row r="6">
          <cell r="P6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Printer&amp;Peripheral"/>
      <sheetName val="Software"/>
      <sheetName val="Jaringan"/>
      <sheetName val="Email"/>
    </sheetNames>
    <sheetDataSet>
      <sheetData sheetId="0">
        <row r="5">
          <cell r="P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Printer&amp;Peripheral"/>
      <sheetName val="Software"/>
      <sheetName val="Jaringan"/>
      <sheetName val="Email"/>
    </sheetNames>
    <sheetDataSet>
      <sheetData sheetId="0" refreshError="1"/>
      <sheetData sheetId="1">
        <row r="5">
          <cell r="P5">
            <v>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Printer&amp;Peripheral"/>
      <sheetName val="Software"/>
      <sheetName val="Jaringan"/>
      <sheetName val="Email"/>
    </sheetNames>
    <sheetDataSet>
      <sheetData sheetId="0"/>
      <sheetData sheetId="1">
        <row r="4">
          <cell r="P4">
            <v>0</v>
          </cell>
        </row>
      </sheetData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nostic"/>
      <sheetName val="PC"/>
      <sheetName val="Printer&amp;Peripheral"/>
      <sheetName val="Software"/>
      <sheetName val="Jaringan"/>
      <sheetName val="Email"/>
    </sheetNames>
    <sheetDataSet>
      <sheetData sheetId="0"/>
      <sheetData sheetId="1"/>
      <sheetData sheetId="2">
        <row r="6">
          <cell r="P6">
            <v>2</v>
          </cell>
        </row>
      </sheetData>
      <sheetData sheetId="3"/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Printer&amp;Peripheral"/>
      <sheetName val="Software"/>
      <sheetName val="Jaringan"/>
      <sheetName val="Email"/>
    </sheetNames>
    <sheetDataSet>
      <sheetData sheetId="0" refreshError="1"/>
      <sheetData sheetId="1" refreshError="1"/>
      <sheetData sheetId="2" refreshError="1"/>
      <sheetData sheetId="3">
        <row r="5">
          <cell r="P5">
            <v>2</v>
          </cell>
        </row>
      </sheetData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J21">
            <v>2.2222222222222223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J21">
            <v>1.4736842105263157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-3-21"/>
    </sheetNames>
    <sheetDataSet>
      <sheetData sheetId="0">
        <row r="38">
          <cell r="I38">
            <v>1.2941176470588236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>
        <row r="33">
          <cell r="J33">
            <v>1.3870967741935485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J6">
            <v>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">
          <cell r="J35">
            <v>2.2307692307692308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">
          <cell r="J35">
            <v>2.0370370370370372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">
          <cell r="J35">
            <v>2.2142857142857144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">
          <cell r="J35">
            <v>2.3214285714285716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06.%20Juni\13.%20Uptime%20CCTV\Uptime%20CCTV%20BO.xlsx" TargetMode="External"/><Relationship Id="rId21" Type="http://schemas.openxmlformats.org/officeDocument/2006/relationships/hyperlink" Target="03.%20Maret\07.%20Diagnostic%20PC\IT%20Work%20Order%20Report%20Maret%202022.xlsx" TargetMode="External"/><Relationship Id="rId42" Type="http://schemas.openxmlformats.org/officeDocument/2006/relationships/hyperlink" Target="08.%20Agustus\01.%20Report%20Populasi%20PC\Form%20Inventory%20List%20Asset%20IT%20Agustus%202022.xlsx" TargetMode="External"/><Relationship Id="rId47" Type="http://schemas.openxmlformats.org/officeDocument/2006/relationships/hyperlink" Target="12.%20Desember\06.%20Preventive%20Maintenance%20BO%20Jakarta\BA-Maintenance%20BO%2027122022.pdf" TargetMode="External"/><Relationship Id="rId63" Type="http://schemas.openxmlformats.org/officeDocument/2006/relationships/hyperlink" Target="09.%20September\07.%20Diagnostic%20PC\IT%20Work%20Order%20Report%20September%202022.xlsx" TargetMode="External"/><Relationship Id="rId68" Type="http://schemas.openxmlformats.org/officeDocument/2006/relationships/hyperlink" Target="10.%20Oktober\10.%20Troubleshooting%20Software\IT%20Work%20Order%20Report%20Oktober%202022.xlsx" TargetMode="External"/><Relationship Id="rId16" Type="http://schemas.openxmlformats.org/officeDocument/2006/relationships/hyperlink" Target="01.%20Januari\11.%20Troubleshooting%20Jaringan\IT%20Work%20Order%20Report.xlsx" TargetMode="External"/><Relationship Id="rId11" Type="http://schemas.openxmlformats.org/officeDocument/2006/relationships/hyperlink" Target="04.%20April\04.%20Laporan%20RDA\rekap%20laporan%20RDA.xlsx" TargetMode="External"/><Relationship Id="rId24" Type="http://schemas.openxmlformats.org/officeDocument/2006/relationships/hyperlink" Target="04.%20April\13.%20Uptime%20CCTV\Uptime%20CCTV%20BO.xlsx" TargetMode="External"/><Relationship Id="rId32" Type="http://schemas.openxmlformats.org/officeDocument/2006/relationships/hyperlink" Target="11.%20November\05.%20Data%20Recovery%20Harddisk\Data%20Recovery%20BO%20Jakarta%20November%202022.xls" TargetMode="External"/><Relationship Id="rId37" Type="http://schemas.openxmlformats.org/officeDocument/2006/relationships/hyperlink" Target="11.%20November\04.%20Laporan%20RDA\rekap%20laporan%20RDA%20November%202022.xlsx" TargetMode="External"/><Relationship Id="rId40" Type="http://schemas.openxmlformats.org/officeDocument/2006/relationships/hyperlink" Target="09.%20September\03.%20Payment%20Request%20HRGA\Payment%20Request%20September%202022.xlsx" TargetMode="External"/><Relationship Id="rId45" Type="http://schemas.openxmlformats.org/officeDocument/2006/relationships/hyperlink" Target="12.%20Desember\01.%20Report%20Populasi%20PC%20BO%20Jakarta\Form%20Inventory%20List%20Asset%20IT%20BO%20Jakarta%20Desember%202022.xlsx" TargetMode="External"/><Relationship Id="rId53" Type="http://schemas.openxmlformats.org/officeDocument/2006/relationships/hyperlink" Target="05.%20Mei\09.%20Troubleshooting%20Printer\IT%20Work%20Order%20Report%20Mei%202022.xlsx" TargetMode="External"/><Relationship Id="rId58" Type="http://schemas.openxmlformats.org/officeDocument/2006/relationships/hyperlink" Target="07.%20Juli\10.%20Troubleshooting%20Software\IT%20Work%20Order%20Report%20Juli%202022.xlsx" TargetMode="External"/><Relationship Id="rId66" Type="http://schemas.openxmlformats.org/officeDocument/2006/relationships/hyperlink" Target="09.%20September\10.%20Troubleshooting%20Software\IT%20Work%20Order%20Report%20September%202022.xlsx" TargetMode="External"/><Relationship Id="rId74" Type="http://schemas.openxmlformats.org/officeDocument/2006/relationships/hyperlink" Target="12.%20Desember\09.%20Troubleshooting%20Printer\IT%20Work%20Order%20Report%20Desember%202022.xlsx" TargetMode="External"/><Relationship Id="rId79" Type="http://schemas.openxmlformats.org/officeDocument/2006/relationships/drawing" Target="../drawings/drawing4.xml"/><Relationship Id="rId5" Type="http://schemas.openxmlformats.org/officeDocument/2006/relationships/hyperlink" Target="05.%20Mei\03.%20Payment%20Request%20HRGA\Payment%20Request%20Mei%202022.xlsx" TargetMode="External"/><Relationship Id="rId61" Type="http://schemas.openxmlformats.org/officeDocument/2006/relationships/hyperlink" Target="08.%20Agustus\09.%20Troubleshooting%20Printer\IT%20Work%20Order%20Report%20Agustus%202022.xlsx" TargetMode="External"/><Relationship Id="rId19" Type="http://schemas.openxmlformats.org/officeDocument/2006/relationships/hyperlink" Target="02.%20Februari\13.%20Uptime%20CCTV\Uptime%20CCTV%20BO.xlsx" TargetMode="External"/><Relationship Id="rId14" Type="http://schemas.openxmlformats.org/officeDocument/2006/relationships/hyperlink" Target="01.%20Januari\08.%20Troubleshooting%20PC%20Asset\IT%20Work%20Order%20Report.xlsx" TargetMode="External"/><Relationship Id="rId22" Type="http://schemas.openxmlformats.org/officeDocument/2006/relationships/hyperlink" Target="03.%20Maret\09.%20Troubleshooting%20Printer\IT%20Work%20Order%20Report%20Maret%202022.xlsx" TargetMode="External"/><Relationship Id="rId27" Type="http://schemas.openxmlformats.org/officeDocument/2006/relationships/hyperlink" Target="07.%20Juli\13.%20Uptime%20CCTV\Uptime%20CCTV%20BO.xlsx" TargetMode="External"/><Relationship Id="rId30" Type="http://schemas.openxmlformats.org/officeDocument/2006/relationships/hyperlink" Target="09.%20September\13.%20Uptime%20CCTV\Uptime%20CCTV%20BO.xlsx" TargetMode="External"/><Relationship Id="rId35" Type="http://schemas.openxmlformats.org/officeDocument/2006/relationships/hyperlink" Target="10.%20Oktober\04.%20Laporan%20RDA\rekap%20laporan%20RDA%20Oktober%202022.xlsx" TargetMode="External"/><Relationship Id="rId43" Type="http://schemas.openxmlformats.org/officeDocument/2006/relationships/hyperlink" Target="08.%20Agustus\02.%20Report%20Avaibility%20PC\Form%20Inventory%20List%20Asset%20IT%20Agustus%202022.xlsx" TargetMode="External"/><Relationship Id="rId48" Type="http://schemas.openxmlformats.org/officeDocument/2006/relationships/hyperlink" Target="12.%20Desember\17.%20Preventive%20Maintenance%20Site%20021C\BA-Maintenance%20021C%20121222.pdf" TargetMode="External"/><Relationship Id="rId56" Type="http://schemas.openxmlformats.org/officeDocument/2006/relationships/hyperlink" Target="07.%20Juli\08.%20Troubleshooting%20PC%20Asset\IT%20Work%20Order%20Report%20Juli%202022.xlsx" TargetMode="External"/><Relationship Id="rId64" Type="http://schemas.openxmlformats.org/officeDocument/2006/relationships/hyperlink" Target="09.%20September\08.%20Troubleshooting%20PC%20Asset\IT%20Work%20Order%20Report%20September%202022.xlsx" TargetMode="External"/><Relationship Id="rId69" Type="http://schemas.openxmlformats.org/officeDocument/2006/relationships/hyperlink" Target="10.%20Oktober\12.%20Troubleshooting%20Email\IT%20Work%20Order%20Report%20Oktober%202022.xlsx" TargetMode="External"/><Relationship Id="rId77" Type="http://schemas.openxmlformats.org/officeDocument/2006/relationships/hyperlink" Target="12.%20Desember\03.%20Payment%20Request%20HRGA\Payment%20Request%20Desember%202022.xlsx" TargetMode="External"/><Relationship Id="rId8" Type="http://schemas.openxmlformats.org/officeDocument/2006/relationships/hyperlink" Target="07.%20Juli\16.%20Report%20Populasi%20PC%20Site%20021C\Form%20Inventory%20List%20Asset%20IT%20021C%20Juli%202022.xlsx" TargetMode="External"/><Relationship Id="rId51" Type="http://schemas.openxmlformats.org/officeDocument/2006/relationships/hyperlink" Target="04.%20April\12.%20Troubleshooting%20Email\IT%20Work%20Order%20Report%20April%202022.xlsx" TargetMode="External"/><Relationship Id="rId72" Type="http://schemas.openxmlformats.org/officeDocument/2006/relationships/hyperlink" Target="11.%20November\11.%20Troubleshooting%20Jaringan\IT%20Work%20Order%20Report%20November%202022.xlsx" TargetMode="External"/><Relationship Id="rId3" Type="http://schemas.openxmlformats.org/officeDocument/2006/relationships/hyperlink" Target="03.%20Maret\03.%20Payment%20Request%20HRGA\Payment%20Request%20Maret%202022.xlsx" TargetMode="External"/><Relationship Id="rId12" Type="http://schemas.openxmlformats.org/officeDocument/2006/relationships/hyperlink" Target="07.%20Juli\04.%20Laporan%20RDA\rekap%20laporan%20RDA.xlsx" TargetMode="External"/><Relationship Id="rId17" Type="http://schemas.openxmlformats.org/officeDocument/2006/relationships/hyperlink" Target="02.%20Februari\08.%20Troubleshooting%20PC%20Asset\IT%20Work%20Order%20Report%20Februari%202022.xlsx" TargetMode="External"/><Relationship Id="rId25" Type="http://schemas.openxmlformats.org/officeDocument/2006/relationships/hyperlink" Target="05.%20Mei\13.%20Uptime%20CCTV\Uptime%20CCTV%20BO.xlsx" TargetMode="External"/><Relationship Id="rId33" Type="http://schemas.openxmlformats.org/officeDocument/2006/relationships/hyperlink" Target="08.%20Agustus\04.%20Laporan%20RDA\rekap%20laporan%20RDA%20Agustus%202022.xlsx" TargetMode="External"/><Relationship Id="rId38" Type="http://schemas.openxmlformats.org/officeDocument/2006/relationships/hyperlink" Target="12.%20Desember\04.%20Laporan%20RDA\rekap%20laporan%20RDA%20Desember%202022.xlsx" TargetMode="External"/><Relationship Id="rId46" Type="http://schemas.openxmlformats.org/officeDocument/2006/relationships/hyperlink" Target="12.%20Desember\02.%20Report%20Avaibility%20PC" TargetMode="External"/><Relationship Id="rId59" Type="http://schemas.openxmlformats.org/officeDocument/2006/relationships/hyperlink" Target="07.%20Juli\11.%20Troubleshooting%20Jaringan\IT%20Work%20Order%20Report%20Juli%202022.xlsx" TargetMode="External"/><Relationship Id="rId67" Type="http://schemas.openxmlformats.org/officeDocument/2006/relationships/hyperlink" Target="09.%20September\12.%20Troubleshooting%20Email\IT%20Work%20Order%20Report%20September%202022.xlsx" TargetMode="External"/><Relationship Id="rId20" Type="http://schemas.openxmlformats.org/officeDocument/2006/relationships/hyperlink" Target="01.%20Januari\13.%20Uptime%20CCTV\Uptime%20CCTV%20BO.xlsx" TargetMode="External"/><Relationship Id="rId41" Type="http://schemas.openxmlformats.org/officeDocument/2006/relationships/hyperlink" Target="10.%20Oktober\03.%20Payment%20Request%20HRGA\Payment%20Request%20Oktober%202022.xlsx" TargetMode="External"/><Relationship Id="rId54" Type="http://schemas.openxmlformats.org/officeDocument/2006/relationships/hyperlink" Target="05.%20Mei\11.%20Troubleshooting%20Jaringan\IT%20Work%20Order%20Report%20Mei%202022.xlsx" TargetMode="External"/><Relationship Id="rId62" Type="http://schemas.openxmlformats.org/officeDocument/2006/relationships/hyperlink" Target="08.%20Agustus\12.%20Troubleshooting%20Email\IT%20Work%20Order%20Report%20Agustus%202022.xlsx" TargetMode="External"/><Relationship Id="rId70" Type="http://schemas.openxmlformats.org/officeDocument/2006/relationships/hyperlink" Target="11.%20November\07.%20Diagnostic%20PC\IT%20Work%20Order%20Report%20November%202022.xlsx" TargetMode="External"/><Relationship Id="rId75" Type="http://schemas.openxmlformats.org/officeDocument/2006/relationships/hyperlink" Target="12.%20Desember\16.%20Report%20Populasi%20PC%20Site%20021C\Form%20Inventory%20List%20Asset%20IT%20021C%20Desember%202022.xlsx" TargetMode="External"/><Relationship Id="rId1" Type="http://schemas.openxmlformats.org/officeDocument/2006/relationships/hyperlink" Target="01.%20Januari\03.%20Payment%20Request%20HRGA\Payment%20Request%20Januari%202022.xlsx" TargetMode="External"/><Relationship Id="rId6" Type="http://schemas.openxmlformats.org/officeDocument/2006/relationships/hyperlink" Target="06.%20Juni\03.%20Payment%20Request%20HRGA\Payment%20Request%20Juni%202022.xlsx" TargetMode="External"/><Relationship Id="rId15" Type="http://schemas.openxmlformats.org/officeDocument/2006/relationships/hyperlink" Target="01.%20Januari\09.%20Troubleshooting%20Printer\IT%20Work%20Order%20Report.xlsx" TargetMode="External"/><Relationship Id="rId23" Type="http://schemas.openxmlformats.org/officeDocument/2006/relationships/hyperlink" Target="03.%20Maret\13.%20Uptime%20CCTV\Uptime%20CCTV%20BO.xlsx" TargetMode="External"/><Relationship Id="rId28" Type="http://schemas.openxmlformats.org/officeDocument/2006/relationships/hyperlink" Target="08.%20Agustus\06.%20Preventive%20Maintenance%20BO%20Jakarta\BA%20Maintenance%20BO%20Agustus%202022.pdf" TargetMode="External"/><Relationship Id="rId36" Type="http://schemas.openxmlformats.org/officeDocument/2006/relationships/hyperlink" Target="10.%20Oktober\15.%20Self%20Development%20Skill\TEP_VIII_2022_01566%20_%20ARKANANTA%20Training%20Event%20Proposal.pdf" TargetMode="External"/><Relationship Id="rId49" Type="http://schemas.openxmlformats.org/officeDocument/2006/relationships/hyperlink" Target="12.%20Desember\13.%20Uptime%20CCTV\Uptime%20CCTV%20BO.xlsx" TargetMode="External"/><Relationship Id="rId57" Type="http://schemas.openxmlformats.org/officeDocument/2006/relationships/hyperlink" Target="07.%20Juli\09.%20Troubleshooting%20Printer\IT%20Work%20Order%20Report%20Juli%202022.xlsx" TargetMode="External"/><Relationship Id="rId10" Type="http://schemas.openxmlformats.org/officeDocument/2006/relationships/hyperlink" Target="03.%20Maret\04.%20Laporan%20RDA\rekap%20laporan%20RDA.xlsx" TargetMode="External"/><Relationship Id="rId31" Type="http://schemas.openxmlformats.org/officeDocument/2006/relationships/hyperlink" Target="10.%20Oktober\13.%20Uptime%20CCTV\Uptime%20CCTV%20BO.xlsx" TargetMode="External"/><Relationship Id="rId44" Type="http://schemas.openxmlformats.org/officeDocument/2006/relationships/hyperlink" Target="11.%20November\13.%20Uptime%20CCTV\Uptime%20CCTV%20BO.xlsx" TargetMode="External"/><Relationship Id="rId52" Type="http://schemas.openxmlformats.org/officeDocument/2006/relationships/hyperlink" Target="05.%20Mei\07.%20Diagnostic%20PC\IT%20Work%20Order%20Report%20Mei%202022.xlsx" TargetMode="External"/><Relationship Id="rId60" Type="http://schemas.openxmlformats.org/officeDocument/2006/relationships/hyperlink" Target="08.%20Agustus\08.%20Troubleshooting%20PC%20Asset\IT%20Work%20Order%20Report%20Agustus%202022.xlsx" TargetMode="External"/><Relationship Id="rId65" Type="http://schemas.openxmlformats.org/officeDocument/2006/relationships/hyperlink" Target="09.%20September\09.%20Troubleshooting%20Printer\IT%20Work%20Order%20Report%20September%202022.xlsx" TargetMode="External"/><Relationship Id="rId73" Type="http://schemas.openxmlformats.org/officeDocument/2006/relationships/hyperlink" Target="12.%20Desember\07.%20Diagnostic%20PC\IT%20Work%20Order%20Report%20Desember%202022.xlsx" TargetMode="External"/><Relationship Id="rId78" Type="http://schemas.openxmlformats.org/officeDocument/2006/relationships/printerSettings" Target="../printerSettings/printerSettings4.bin"/><Relationship Id="rId4" Type="http://schemas.openxmlformats.org/officeDocument/2006/relationships/hyperlink" Target="04.%20April\03.%20Payment%20Request%20HRGA\Payment%20Request%20April%202022.xlsx" TargetMode="External"/><Relationship Id="rId9" Type="http://schemas.openxmlformats.org/officeDocument/2006/relationships/hyperlink" Target="07.%20Juli\02.%20Report%20Avaibility%20PC\Form%20Inventory%20List%20Asset%20IT%20021C%20Juli%202022.xlsx" TargetMode="External"/><Relationship Id="rId13" Type="http://schemas.openxmlformats.org/officeDocument/2006/relationships/hyperlink" Target="07.%20Juli\03.%20Payment%20Request%20HRGA\Payment%20Request%20Juli%202022.xlsx" TargetMode="External"/><Relationship Id="rId18" Type="http://schemas.openxmlformats.org/officeDocument/2006/relationships/hyperlink" Target="02.%20Februari\09.%20Troubleshooting%20Printer\IT%20Work%20Order%20Report%20Februari%202022.xlsx" TargetMode="External"/><Relationship Id="rId39" Type="http://schemas.openxmlformats.org/officeDocument/2006/relationships/hyperlink" Target="08.%20Agustus\03.%20Payment%20Request%20HRGA\Payment%20Request%20Agustus%202022.xlsx" TargetMode="External"/><Relationship Id="rId34" Type="http://schemas.openxmlformats.org/officeDocument/2006/relationships/hyperlink" Target="09.%20September\04.%20Laporan%20RDA\rekap%20laporan%20RDA%20September%202022.xlsx" TargetMode="External"/><Relationship Id="rId50" Type="http://schemas.openxmlformats.org/officeDocument/2006/relationships/hyperlink" Target="04.%20April\09.%20Troubleshooting%20Peripheral\IT%20Work%20Order%20Report%20April%202022.xlsx" TargetMode="External"/><Relationship Id="rId55" Type="http://schemas.openxmlformats.org/officeDocument/2006/relationships/hyperlink" Target="06.%20Juni\09.%20Troubleshooting%20Printer\IT%20Work%20Order%20Report%20Juni%202022.xlsx" TargetMode="External"/><Relationship Id="rId76" Type="http://schemas.openxmlformats.org/officeDocument/2006/relationships/hyperlink" Target="11.%20November\03.%20Payment%20Request%20HRGA\Payment%20Request%20November%202022.xlsx" TargetMode="External"/><Relationship Id="rId7" Type="http://schemas.openxmlformats.org/officeDocument/2006/relationships/hyperlink" Target="07.%20Juli\17.%20Preventive%20Maintenance%20Site%20021C\BA%20MAINTENANCE%20PC%20SITE%20021C%20-%20Juli%2022.PDF" TargetMode="External"/><Relationship Id="rId71" Type="http://schemas.openxmlformats.org/officeDocument/2006/relationships/hyperlink" Target="11.%20November\09.%20Troubleshooting%20Printer\IT%20Work%20Order%20Report%20November%202022.xlsx" TargetMode="External"/><Relationship Id="rId2" Type="http://schemas.openxmlformats.org/officeDocument/2006/relationships/hyperlink" Target="02.%20Februari\03.%20Payment%20Request%20HRGA\PR%20Februari%202022.xlsx" TargetMode="External"/><Relationship Id="rId29" Type="http://schemas.openxmlformats.org/officeDocument/2006/relationships/hyperlink" Target="08.%20Agustus\13.%20Uptime%20CCTV\Uptime%20CCTV%20BO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71"/>
  <sheetViews>
    <sheetView view="pageBreakPreview" topLeftCell="A5" zoomScaleNormal="100" zoomScaleSheetLayoutView="100" workbookViewId="0">
      <selection activeCell="G11" sqref="G11:G24"/>
    </sheetView>
  </sheetViews>
  <sheetFormatPr defaultRowHeight="15" x14ac:dyDescent="0.25"/>
  <cols>
    <col min="1" max="1" width="14.140625" customWidth="1"/>
    <col min="2" max="2" width="43.5703125" customWidth="1"/>
    <col min="3" max="3" width="19.140625" customWidth="1"/>
    <col min="4" max="4" width="14.5703125" customWidth="1"/>
    <col min="5" max="5" width="14.85546875" bestFit="1" customWidth="1"/>
    <col min="6" max="6" width="10.5703125" bestFit="1" customWidth="1"/>
    <col min="8" max="8" width="3.85546875" customWidth="1"/>
    <col min="11" max="11" width="8.7109375" customWidth="1"/>
    <col min="12" max="12" width="3.85546875" customWidth="1"/>
    <col min="13" max="13" width="10.140625" bestFit="1" customWidth="1"/>
    <col min="16" max="16" width="3.140625" customWidth="1"/>
    <col min="20" max="20" width="2.5703125" customWidth="1"/>
    <col min="24" max="24" width="2.28515625" customWidth="1"/>
    <col min="28" max="28" width="3" customWidth="1"/>
    <col min="32" max="32" width="3" customWidth="1"/>
    <col min="36" max="36" width="2.5703125" customWidth="1"/>
    <col min="40" max="40" width="3.42578125" customWidth="1"/>
    <col min="44" max="44" width="3" customWidth="1"/>
    <col min="48" max="48" width="3" customWidth="1"/>
    <col min="52" max="52" width="3" customWidth="1"/>
  </cols>
  <sheetData>
    <row r="2" spans="1:55" ht="23.25" x14ac:dyDescent="0.35">
      <c r="B2" s="216" t="s">
        <v>0</v>
      </c>
      <c r="C2" s="216"/>
      <c r="D2" s="216"/>
      <c r="E2" s="216"/>
      <c r="F2" s="216"/>
    </row>
    <row r="3" spans="1:55" ht="23.25" x14ac:dyDescent="0.35">
      <c r="B3" s="216" t="s">
        <v>1</v>
      </c>
      <c r="C3" s="216"/>
      <c r="D3" s="216"/>
      <c r="E3" s="216"/>
      <c r="F3" s="216"/>
    </row>
    <row r="4" spans="1:55" ht="15.75" thickBot="1" x14ac:dyDescent="0.3"/>
    <row r="5" spans="1:55" ht="15.75" thickTop="1" x14ac:dyDescent="0.25">
      <c r="A5" s="92" t="s">
        <v>45</v>
      </c>
      <c r="B5" s="93" t="s">
        <v>176</v>
      </c>
      <c r="C5" s="94" t="s">
        <v>48</v>
      </c>
      <c r="D5" s="132">
        <v>11856</v>
      </c>
      <c r="E5" s="93" t="s">
        <v>51</v>
      </c>
      <c r="F5" s="220" t="s">
        <v>72</v>
      </c>
      <c r="G5" s="221"/>
    </row>
    <row r="6" spans="1:55" x14ac:dyDescent="0.25">
      <c r="A6" s="95" t="s">
        <v>46</v>
      </c>
      <c r="B6" s="133" t="s">
        <v>159</v>
      </c>
      <c r="C6" s="134" t="s">
        <v>49</v>
      </c>
      <c r="D6" s="135" t="s">
        <v>160</v>
      </c>
      <c r="E6" s="133"/>
      <c r="F6" s="133"/>
      <c r="G6" s="96"/>
    </row>
    <row r="7" spans="1:55" ht="15.75" thickBot="1" x14ac:dyDescent="0.3">
      <c r="A7" s="97" t="s">
        <v>47</v>
      </c>
      <c r="B7" s="98" t="s">
        <v>177</v>
      </c>
      <c r="C7" s="99" t="s">
        <v>50</v>
      </c>
      <c r="D7" s="136">
        <v>2022</v>
      </c>
      <c r="E7" s="98"/>
      <c r="F7" s="98"/>
      <c r="G7" s="100"/>
    </row>
    <row r="8" spans="1:55" ht="15.75" thickBot="1" x14ac:dyDescent="0.3">
      <c r="A8" s="1"/>
      <c r="B8" s="2"/>
      <c r="C8" s="2"/>
      <c r="D8" s="2"/>
      <c r="E8" s="2"/>
      <c r="F8" s="2"/>
      <c r="G8" s="3"/>
    </row>
    <row r="9" spans="1:55" ht="15.75" thickBot="1" x14ac:dyDescent="0.3">
      <c r="A9" s="217" t="s">
        <v>2</v>
      </c>
      <c r="B9" s="218"/>
      <c r="C9" s="218"/>
      <c r="D9" s="218"/>
      <c r="E9" s="218"/>
      <c r="F9" s="218"/>
      <c r="G9" s="219"/>
      <c r="I9" s="213" t="s">
        <v>3</v>
      </c>
      <c r="J9" s="213"/>
      <c r="K9" s="213"/>
      <c r="M9" s="213" t="s">
        <v>4</v>
      </c>
      <c r="N9" s="213"/>
      <c r="O9" s="213"/>
      <c r="Q9" s="213" t="s">
        <v>5</v>
      </c>
      <c r="R9" s="213"/>
      <c r="S9" s="213"/>
      <c r="U9" s="213" t="s">
        <v>6</v>
      </c>
      <c r="V9" s="213"/>
      <c r="W9" s="213"/>
      <c r="Y9" s="213" t="s">
        <v>7</v>
      </c>
      <c r="Z9" s="213"/>
      <c r="AA9" s="213"/>
      <c r="AC9" s="213" t="s">
        <v>8</v>
      </c>
      <c r="AD9" s="213"/>
      <c r="AE9" s="213"/>
      <c r="AG9" s="213" t="s">
        <v>9</v>
      </c>
      <c r="AH9" s="213"/>
      <c r="AI9" s="213"/>
      <c r="AK9" s="213" t="s">
        <v>10</v>
      </c>
      <c r="AL9" s="213"/>
      <c r="AM9" s="213"/>
      <c r="AO9" s="213" t="s">
        <v>11</v>
      </c>
      <c r="AP9" s="213"/>
      <c r="AQ9" s="213"/>
      <c r="AS9" s="213" t="s">
        <v>12</v>
      </c>
      <c r="AT9" s="213"/>
      <c r="AU9" s="213"/>
      <c r="AW9" s="213" t="s">
        <v>13</v>
      </c>
      <c r="AX9" s="213"/>
      <c r="AY9" s="213"/>
      <c r="BA9" s="213" t="s">
        <v>14</v>
      </c>
      <c r="BB9" s="213"/>
      <c r="BC9" s="213"/>
    </row>
    <row r="10" spans="1:55" ht="30.75" thickBot="1" x14ac:dyDescent="0.3">
      <c r="A10" s="4" t="s">
        <v>15</v>
      </c>
      <c r="B10" s="5" t="s">
        <v>16</v>
      </c>
      <c r="C10" s="101" t="s">
        <v>17</v>
      </c>
      <c r="D10" s="18" t="s">
        <v>18</v>
      </c>
      <c r="E10" s="19" t="s">
        <v>121</v>
      </c>
      <c r="F10" s="19" t="s">
        <v>122</v>
      </c>
      <c r="G10" s="20" t="s">
        <v>19</v>
      </c>
      <c r="I10" s="6" t="s">
        <v>20</v>
      </c>
      <c r="J10" s="6" t="s">
        <v>21</v>
      </c>
      <c r="K10" s="6" t="s">
        <v>22</v>
      </c>
      <c r="M10" s="6" t="s">
        <v>20</v>
      </c>
      <c r="N10" s="6" t="s">
        <v>21</v>
      </c>
      <c r="O10" s="6" t="s">
        <v>22</v>
      </c>
      <c r="Q10" s="6" t="s">
        <v>20</v>
      </c>
      <c r="R10" s="6" t="s">
        <v>21</v>
      </c>
      <c r="S10" s="6" t="s">
        <v>22</v>
      </c>
      <c r="U10" s="6" t="s">
        <v>20</v>
      </c>
      <c r="V10" s="6" t="s">
        <v>21</v>
      </c>
      <c r="W10" s="6" t="s">
        <v>22</v>
      </c>
      <c r="Y10" s="6" t="s">
        <v>20</v>
      </c>
      <c r="Z10" s="6" t="s">
        <v>21</v>
      </c>
      <c r="AA10" s="6" t="s">
        <v>22</v>
      </c>
      <c r="AC10" s="6" t="s">
        <v>20</v>
      </c>
      <c r="AD10" s="6" t="s">
        <v>21</v>
      </c>
      <c r="AE10" s="6" t="s">
        <v>22</v>
      </c>
      <c r="AG10" s="6" t="s">
        <v>20</v>
      </c>
      <c r="AH10" s="6" t="s">
        <v>21</v>
      </c>
      <c r="AI10" s="6" t="s">
        <v>22</v>
      </c>
      <c r="AK10" s="6" t="s">
        <v>20</v>
      </c>
      <c r="AL10" s="6" t="s">
        <v>21</v>
      </c>
      <c r="AM10" s="6" t="s">
        <v>22</v>
      </c>
      <c r="AO10" s="6" t="s">
        <v>20</v>
      </c>
      <c r="AP10" s="6" t="s">
        <v>21</v>
      </c>
      <c r="AQ10" s="6" t="s">
        <v>22</v>
      </c>
      <c r="AS10" s="6" t="s">
        <v>20</v>
      </c>
      <c r="AT10" s="6" t="s">
        <v>21</v>
      </c>
      <c r="AU10" s="6" t="s">
        <v>22</v>
      </c>
      <c r="AW10" s="6" t="s">
        <v>20</v>
      </c>
      <c r="AX10" s="6" t="s">
        <v>21</v>
      </c>
      <c r="AY10" s="6" t="s">
        <v>22</v>
      </c>
      <c r="BA10" s="6" t="s">
        <v>20</v>
      </c>
      <c r="BB10" s="6" t="s">
        <v>21</v>
      </c>
      <c r="BC10" s="6" t="s">
        <v>22</v>
      </c>
    </row>
    <row r="11" spans="1:55" ht="18.75" customHeight="1" x14ac:dyDescent="0.25">
      <c r="A11" s="214" t="s">
        <v>52</v>
      </c>
      <c r="B11" s="65" t="s">
        <v>133</v>
      </c>
      <c r="C11" s="8" t="s">
        <v>24</v>
      </c>
      <c r="D11" s="9" t="s">
        <v>144</v>
      </c>
      <c r="E11" s="142">
        <v>2</v>
      </c>
      <c r="F11" s="68" t="str">
        <f t="shared" ref="F11" si="0">IF(LEFT(C11,5)="MONTH",IF(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=0,"",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),IF(COUNT(I11,M11,Q11,U11,Y11,AC11,AG11,AK11,AO11,AS11,AW11,BA11)&lt;1,"",IF(OR(D11="A(-)",D11="A(+)"),AVERAGE(I11,M11,Q11,U11,Y11,AC11,AG11,AK11,AO11,AS11,AW11,BA11),IF(OR(D11="S(-)",D11="S(+)"),SUM(I11,M11,Q11,U11,Y11,AC11,AG11,AK11,AO11,AS11,AW11,BA11),""))))</f>
        <v/>
      </c>
      <c r="G11" s="69" t="str">
        <f>IF(OR(F11="",F11="NA"),"",IF(OR(C11="time",LEFT(C11,3)="DAY"),IF(OR(C11="DAY2",C11="time"),IF((92%-(F11-E11)/(1/10*100))&lt;70%,70%,IF(92%-(F11-E11)/(1/10*100)&gt;105%,105%,92%-(F11-E11)/(1/10*100))),IF(COUNT(E11)=1,IF((112%-(F11-E11)/(1/10*100))&lt;70%,70%,IF(112%-(F11-E11)/(1/10*100)&gt;105%,105%,112%-(F11-E11)/(1/10*100))))),IF(LEFT(C11,5)="month",IF(C11="month1",IF((112%-IF(F11="W1",0,IF(F11="W2",1,MATCH(F11,Sheet1!$A$2:$A$13,0)-MATCH(E11,Sheet1!$A$2:$A$13,0)+1))/(1/10*100))&lt;70%,70%,IF(112%-IF(F11="W1",0,IF(F11="W2",1,MATCH(F11,Sheet1!$A$2:$A$13,0)-MATCH(E11,Sheet1!$A$2:$A$13,0)+1))/(1/10*100)&gt;105%,105%,112%-IF(F11="W1",0,IF(F11="W2",1,MATCH(F11,Sheet1!$A$2:$A$13,0)-MATCH(E11,Sheet1!$A$2:$A$13,0)+1))/(1/10*100))),IF((92%-(IF(OR(F11="w1",F11="w2"),1,MATCH(F11,Sheet1!$A$2:$A$13,0))-MATCH(E11,Sheet1!$A$2:$A$13,0))/(1/10*100))&lt;70%,70%,IF(92%-(IF(OR(F11="w1",F11="w2"),1,MATCH(F11,Sheet1!$A$2:$A$13,0))-MATCH(E11,Sheet1!$A$2:$A$13,0))/(1/10*100)&gt;105%,105%,92%-(IF(OR(F11="w1",F11="w2"),1,MATCH(F11,Sheet1!$A$2:$A$13,0))-MATCH(E11,Sheet1!$A$2:$A$13,0))/(1/10*100)))),IF(MID(D11,3,1)="+",IF(E11&lt;100,IF(112%-(E11-F11)/(1/IF(E11&lt;4,(40/E11),10)*100)&gt;105%,105%,IF(112%-(E11-F11)/(1/IF(E11&lt;4,(40/E11),10)*100)&lt;=72%,72%,112%-(E11-F11)/(1/IF(E11&lt;4,(40/E11),10)*100))),IF(112%-(E11-F11)/E11*10&gt;105%,105%,IF(112%-(E11-F11)/E11*10&lt;72%,72%,112%-(E11-F11)/E11*10))),IF(MID(D11,3,1)="-",IF(92%+((E11-F11)/(E11))*0.4&gt;105%,105%,IF(92%+((E11-F11)/(E11))*0.4&lt;72%,72%,92%+((E11-F11)/(E11))*0.4)),IF(OR(B11="BOTO",B11="NPI",B11="FF"),IF(102%+((E11-F11)/(E11))*0.4&gt;105%,105%,IF(102%+((E11-F11)/(E11))*0.4&lt;72%,72%,102%+((E11-F11)/(E11))*0.4)),""))))))</f>
        <v/>
      </c>
      <c r="I11" s="130"/>
      <c r="J11" s="11"/>
      <c r="K11" s="11"/>
      <c r="M11" s="11"/>
      <c r="N11" s="11"/>
      <c r="O11" s="11"/>
      <c r="Q11" s="11"/>
      <c r="R11" s="11"/>
      <c r="S11" s="11"/>
      <c r="U11" s="11"/>
      <c r="V11" s="11"/>
      <c r="W11" s="11"/>
      <c r="Y11" s="11"/>
      <c r="Z11" s="11"/>
      <c r="AA11" s="11"/>
      <c r="AC11" s="11"/>
      <c r="AD11" s="11"/>
      <c r="AE11" s="11"/>
      <c r="AG11" s="11"/>
      <c r="AH11" s="11"/>
      <c r="AI11" s="11"/>
      <c r="AK11" s="11"/>
      <c r="AL11" s="11"/>
      <c r="AM11" s="11"/>
      <c r="AO11" s="11"/>
      <c r="AP11" s="11"/>
      <c r="AQ11" s="11"/>
      <c r="AS11" s="11"/>
      <c r="AT11" s="11"/>
      <c r="AU11" s="11"/>
      <c r="AW11" s="11"/>
      <c r="AX11" s="11"/>
      <c r="AY11" s="11"/>
      <c r="BA11" s="11"/>
      <c r="BB11" s="11"/>
      <c r="BC11" s="11"/>
    </row>
    <row r="12" spans="1:55" ht="18.75" customHeight="1" x14ac:dyDescent="0.25">
      <c r="A12" s="215"/>
      <c r="B12" s="65" t="s">
        <v>132</v>
      </c>
      <c r="C12" s="66" t="s">
        <v>24</v>
      </c>
      <c r="D12" s="67" t="s">
        <v>144</v>
      </c>
      <c r="E12" s="68">
        <v>2</v>
      </c>
      <c r="F12" s="68" t="str">
        <f t="shared" ref="F12" si="1">IF(AND(I12="NA",M12="NA",Q12="NA",U12="NA",Y12="NA",AC12="NA",AG12="NA",AK12="NA",AO12="NA",AS12="NA",AW12="NA",BA12="NA"),"NA",IF(AND(I12="",M12="",Q12="",U12="",Y12="",AC12="",AG12="",AK12="",AO12="",AS12="",AW12="",BA12=""),"",IF(OR(C12="MONTH",LEFT(B12,5)="AUDIT"),IF(OR(I12="NA",I12=""),IF(OR(M12="NA",M12=""),IF(OR(Q12="NA",Q12=""),IF(OR(U12="NA",U12=""),IF(OR(Y12="NA",Y12=""),IF(OR(AC12="NA",AC12=""),IF(OR(AG12="NA",AG12=""),IF(OR(AK12="NA",AK12=""),IF(OR(AO12="NA",AO12=""),IF(OR(AS12="NA",AS12=""),IF(OR(AW12="NA",AW12=""),IF(OR(BA12="NA",BA12=""),"",BA12),AW12),AS12),AO12),AK12),AG12),AC12),Y12),U12),Q12),M12),I12),IFERROR(IF(OR(C12="BCM",C12="TON",C12="EVENT",C12="RP",C12="QTY",C12="EVENT",C12="KARYAWAN"),IF(COUNT(I12,M12,Q12,U12,Y12,AC12,AG12,AK12,AO12,AS12,AW12,BA12)&gt;0,SUM(I12,M12,Q12,U12,Y12,AC12,AG12,AK12,AO12,AS12,AW12,BA12),""),AVERAGE(I12,M12,Q12,U12,Y12,AC12,AG12,AK12,AO12,AS12,AW12,BA12)),""))))</f>
        <v/>
      </c>
      <c r="G12" s="69" t="str">
        <f>IF(OR(F12="",F12="NA"),"",IF(OR(C12="time",LEFT(C12,3)="DAY"),IF(OR(C12="DAY2",C12="time"),IF((92%-(F12-E12)/(1/10*100))&lt;70%,70%,IF(92%-(F12-E12)/(1/10*100)&gt;105%,105%,92%-(F12-E12)/(1/10*100))),IF(COUNT(E12)=1,IF((112%-(F12-E12)/(1/10*100))&lt;70%,70%,IF(112%-(F12-E12)/(1/10*100)&gt;105%,105%,112%-(F12-E12)/(1/10*100))))),IF(LEFT(C12,5)="month",IF(C12="month1",IF((112%-IF(F12="W1",0,IF(F12="W2",1,MATCH(F12,Sheet1!$A$2:$A$13,0)-MATCH(E12,Sheet1!$A$2:$A$13,0)+1))/(1/10*100))&lt;70%,70%,IF(112%-IF(F12="W1",0,IF(F12="W2",1,MATCH(F12,Sheet1!$A$2:$A$13,0)-MATCH(E12,Sheet1!$A$2:$A$13,0)+1))/(1/10*100)&gt;105%,105%,112%-IF(F12="W1",0,IF(F12="W2",1,MATCH(F12,Sheet1!$A$2:$A$13,0)-MATCH(E12,Sheet1!$A$2:$A$13,0)+1))/(1/10*100))),IF((92%-(IF(OR(F12="w1",F12="w2"),1,MATCH(F12,Sheet1!$A$2:$A$13,0))-MATCH(E12,Sheet1!$A$2:$A$13,0))/(1/10*100))&lt;70%,70%,IF(92%-(IF(OR(F12="w1",F12="w2"),1,MATCH(F12,Sheet1!$A$2:$A$13,0))-MATCH(E12,Sheet1!$A$2:$A$13,0))/(1/10*100)&gt;105%,105%,92%-(IF(OR(F12="w1",F12="w2"),1,MATCH(F12,Sheet1!$A$2:$A$13,0))-MATCH(E12,Sheet1!$A$2:$A$13,0))/(1/10*100)))),IF(MID(D12,3,1)="+",IF(E12&lt;100,IF(112%-(E12-F12)/(1/IF(E12&lt;4,(40/E12),10)*100)&gt;105%,105%,IF(112%-(E12-F12)/(1/IF(E12&lt;4,(40/E12),10)*100)&lt;=72%,72%,112%-(E12-F12)/(1/IF(E12&lt;4,(40/E12),10)*100))),IF(112%-(E12-F12)/E12*10&gt;105%,105%,IF(112%-(E12-F12)/E12*10&lt;72%,72%,112%-(E12-F12)/E12*10))),IF(MID(D12,3,1)="-",IF(92%+((E12-F12)/(E12))*0.4&gt;105%,105%,IF(92%+((E12-F12)/(E12))*0.4&lt;72%,72%,92%+((E12-F12)/(E12))*0.4)),IF(OR(B12="BOTO",B12="NPI",B12="FF"),IF(102%+((E12-F12)/(E12))*0.4&gt;105%,105%,IF(102%+((E12-F12)/(E12))*0.4&lt;72%,72%,102%+((E12-F12)/(E12))*0.4)),""))))))</f>
        <v/>
      </c>
      <c r="I12" s="11"/>
      <c r="J12" s="11"/>
      <c r="K12" s="11"/>
      <c r="M12" s="11"/>
      <c r="N12" s="11"/>
      <c r="O12" s="11"/>
      <c r="Q12" s="11"/>
      <c r="R12" s="11"/>
      <c r="S12" s="11"/>
      <c r="U12" s="11"/>
      <c r="V12" s="11"/>
      <c r="W12" s="11"/>
      <c r="Y12" s="11"/>
      <c r="Z12" s="11"/>
      <c r="AA12" s="11"/>
      <c r="AC12" s="11"/>
      <c r="AD12" s="11"/>
      <c r="AE12" s="11"/>
      <c r="AG12" s="11"/>
      <c r="AH12" s="11"/>
      <c r="AI12" s="11"/>
      <c r="AK12" s="11"/>
      <c r="AL12" s="11"/>
      <c r="AM12" s="11"/>
      <c r="AO12" s="11"/>
      <c r="AP12" s="11"/>
      <c r="AQ12" s="11"/>
      <c r="AS12" s="11"/>
      <c r="AT12" s="11"/>
      <c r="AU12" s="11"/>
      <c r="AW12" s="11"/>
      <c r="AX12" s="11"/>
      <c r="AY12" s="11"/>
      <c r="BA12" s="11"/>
      <c r="BB12" s="11"/>
      <c r="BC12" s="11"/>
    </row>
    <row r="13" spans="1:55" ht="18.75" customHeight="1" x14ac:dyDescent="0.25">
      <c r="A13" s="215"/>
      <c r="B13" s="65" t="s">
        <v>134</v>
      </c>
      <c r="C13" s="66" t="s">
        <v>24</v>
      </c>
      <c r="D13" s="67" t="s">
        <v>144</v>
      </c>
      <c r="E13" s="68">
        <v>2</v>
      </c>
      <c r="F13" s="68" t="str">
        <f t="shared" ref="F13" si="2">IF(AND(I13="NA",M13="NA",Q13="NA",U13="NA",Y13="NA",AC13="NA",AG13="NA",AK13="NA",AO13="NA",AS13="NA",AW13="NA",BA13="NA"),"NA",IF(AND(I13="",M13="",Q13="",U13="",Y13="",AC13="",AG13="",AK13="",AO13="",AS13="",AW13="",BA13=""),"",IF(OR(C13="MONTH",LEFT(B13,5)="AUDIT"),IF(OR(I13="NA",I13=""),IF(OR(M13="NA",M13=""),IF(OR(Q13="NA",Q13=""),IF(OR(U13="NA",U13=""),IF(OR(Y13="NA",Y13=""),IF(OR(AC13="NA",AC13=""),IF(OR(AG13="NA",AG13=""),IF(OR(AK13="NA",AK13=""),IF(OR(AO13="NA",AO13=""),IF(OR(AS13="NA",AS13=""),IF(OR(AW13="NA",AW13=""),IF(OR(BA13="NA",BA13=""),"",BA13),AW13),AS13),AO13),AK13),AG13),AC13),Y13),U13),Q13),M13),I13),IFERROR(IF(OR(C13="BCM",C13="TON",C13="EVENT",C13="RP",C13="QTY",C13="EVENT",C13="KARYAWAN"),IF(COUNT(I13,M13,Q13,U13,Y13,AC13,AG13,AK13,AO13,AS13,AW13,BA13)&gt;0,SUM(I13,M13,Q13,U13,Y13,AC13,AG13,AK13,AO13,AS13,AW13,BA13),""),AVERAGE(I13,M13,Q13,U13,Y13,AC13,AG13,AK13,AO13,AS13,AW13,BA13)),""))))</f>
        <v/>
      </c>
      <c r="G13" s="69" t="str">
        <f>IF(OR(F13="",F13="NA"),"",IF(OR(C13="time",LEFT(C13,3)="DAY"),IF(OR(C13="DAY2",C13="time"),IF((92%-(F13-E13)/(1/10*100))&lt;70%,70%,IF(92%-(F13-E13)/(1/10*100)&gt;105%,105%,92%-(F13-E13)/(1/10*100))),IF(COUNT(E13)=1,IF((112%-(F13-E13)/(1/10*100))&lt;70%,70%,IF(112%-(F13-E13)/(1/10*100)&gt;105%,105%,112%-(F13-E13)/(1/10*100))))),IF(LEFT(C13,5)="month",IF(C13="month1",IF((112%-IF(F13="W1",0,IF(F13="W2",1,MATCH(F13,Sheet1!$A$2:$A$13,0)-MATCH(E13,Sheet1!$A$2:$A$13,0)+1))/(1/10*100))&lt;70%,70%,IF(112%-IF(F13="W1",0,IF(F13="W2",1,MATCH(F13,Sheet1!$A$2:$A$13,0)-MATCH(E13,Sheet1!$A$2:$A$13,0)+1))/(1/10*100)&gt;105%,105%,112%-IF(F13="W1",0,IF(F13="W2",1,MATCH(F13,Sheet1!$A$2:$A$13,0)-MATCH(E13,Sheet1!$A$2:$A$13,0)+1))/(1/10*100))),IF((92%-(IF(OR(F13="w1",F13="w2"),1,MATCH(F13,Sheet1!$A$2:$A$13,0))-MATCH(E13,Sheet1!$A$2:$A$13,0))/(1/10*100))&lt;70%,70%,IF(92%-(IF(OR(F13="w1",F13="w2"),1,MATCH(F13,Sheet1!$A$2:$A$13,0))-MATCH(E13,Sheet1!$A$2:$A$13,0))/(1/10*100)&gt;105%,105%,92%-(IF(OR(F13="w1",F13="w2"),1,MATCH(F13,Sheet1!$A$2:$A$13,0))-MATCH(E13,Sheet1!$A$2:$A$13,0))/(1/10*100)))),IF(MID(D13,3,1)="+",IF(E13&lt;100,IF(112%-(E13-F13)/(1/IF(E13&lt;4,(40/E13),10)*100)&gt;105%,105%,IF(112%-(E13-F13)/(1/IF(E13&lt;4,(40/E13),10)*100)&lt;=72%,72%,112%-(E13-F13)/(1/IF(E13&lt;4,(40/E13),10)*100))),IF(112%-(E13-F13)/E13*10&gt;105%,105%,IF(112%-(E13-F13)/E13*10&lt;72%,72%,112%-(E13-F13)/E13*10))),IF(MID(D13,3,1)="-",IF(92%+((E13-F13)/(E13))*0.4&gt;105%,105%,IF(92%+((E13-F13)/(E13))*0.4&lt;72%,72%,92%+((E13-F13)/(E13))*0.4)),IF(OR(B13="BOTO",B13="NPI",B13="FF"),IF(102%+((E13-F13)/(E13))*0.4&gt;105%,105%,IF(102%+((E13-F13)/(E13))*0.4&lt;72%,72%,102%+((E13-F13)/(E13))*0.4)),""))))))</f>
        <v/>
      </c>
      <c r="I13" s="11"/>
      <c r="J13" s="11"/>
      <c r="K13" s="11"/>
      <c r="M13" s="11"/>
      <c r="N13" s="11"/>
      <c r="O13" s="11"/>
      <c r="Q13" s="11"/>
      <c r="R13" s="11"/>
      <c r="S13" s="11"/>
      <c r="U13" s="11"/>
      <c r="V13" s="11"/>
      <c r="W13" s="11"/>
      <c r="Y13" s="11"/>
      <c r="Z13" s="11"/>
      <c r="AA13" s="11"/>
      <c r="AC13" s="11"/>
      <c r="AD13" s="11"/>
      <c r="AE13" s="11"/>
      <c r="AG13" s="11"/>
      <c r="AH13" s="11"/>
      <c r="AI13" s="11"/>
      <c r="AK13" s="11"/>
      <c r="AL13" s="11"/>
      <c r="AM13" s="11"/>
      <c r="AO13" s="11"/>
      <c r="AP13" s="11"/>
      <c r="AQ13" s="11"/>
      <c r="AS13" s="11"/>
      <c r="AT13" s="11"/>
      <c r="AU13" s="11"/>
      <c r="AW13" s="11"/>
      <c r="AX13" s="11"/>
      <c r="AY13" s="11"/>
      <c r="BA13" s="11"/>
      <c r="BB13" s="11"/>
      <c r="BC13" s="11"/>
    </row>
    <row r="14" spans="1:55" ht="18.75" customHeight="1" x14ac:dyDescent="0.25">
      <c r="A14" s="215"/>
      <c r="B14" s="65" t="s">
        <v>135</v>
      </c>
      <c r="C14" s="66" t="s">
        <v>24</v>
      </c>
      <c r="D14" s="67" t="s">
        <v>144</v>
      </c>
      <c r="E14" s="68">
        <v>2</v>
      </c>
      <c r="F14" s="68" t="str">
        <f t="shared" ref="F14" si="3">IF(AND(I14="NA",M14="NA",Q14="NA",U14="NA",Y14="NA",AC14="NA",AG14="NA",AK14="NA",AO14="NA",AS14="NA",AW14="NA",BA14="NA"),"NA",IF(AND(I14="",M14="",Q14="",U14="",Y14="",AC14="",AG14="",AK14="",AO14="",AS14="",AW14="",BA14=""),"",IF(OR(C14="MONTH",LEFT(B14,5)="AUDIT"),IF(OR(I14="NA",I14=""),IF(OR(M14="NA",M14=""),IF(OR(Q14="NA",Q14=""),IF(OR(U14="NA",U14=""),IF(OR(Y14="NA",Y14=""),IF(OR(AC14="NA",AC14=""),IF(OR(AG14="NA",AG14=""),IF(OR(AK14="NA",AK14=""),IF(OR(AO14="NA",AO14=""),IF(OR(AS14="NA",AS14=""),IF(OR(AW14="NA",AW14=""),IF(OR(BA14="NA",BA14=""),"",BA14),AW14),AS14),AO14),AK14),AG14),AC14),Y14),U14),Q14),M14),I14),IFERROR(IF(OR(C14="BCM",C14="TON",C14="EVENT",C14="RP",C14="QTY",C14="EVENT",C14="KARYAWAN"),IF(COUNT(I14,M14,Q14,U14,Y14,AC14,AG14,AK14,AO14,AS14,AW14,BA14)&gt;0,SUM(I14,M14,Q14,U14,Y14,AC14,AG14,AK14,AO14,AS14,AW14,BA14),""),AVERAGE(I14,M14,Q14,U14,Y14,AC14,AG14,AK14,AO14,AS14,AW14,BA14)),""))))</f>
        <v/>
      </c>
      <c r="G14" s="69" t="str">
        <f>IF(OR(F14="",F14="NA"),"",IF(OR(C14="time",LEFT(C14,3)="DAY"),IF(OR(C14="DAY2",C14="time"),IF((92%-(F14-E14)/(1/10*100))&lt;70%,70%,IF(92%-(F14-E14)/(1/10*100)&gt;105%,105%,92%-(F14-E14)/(1/10*100))),IF(COUNT(E14)=1,IF((112%-(F14-E14)/(1/10*100))&lt;70%,70%,IF(112%-(F14-E14)/(1/10*100)&gt;105%,105%,112%-(F14-E14)/(1/10*100))))),IF(LEFT(C14,5)="month",IF(C14="month1",IF((112%-IF(F14="W1",0,IF(F14="W2",1,MATCH(F14,Sheet1!$A$2:$A$13,0)-MATCH(E14,Sheet1!$A$2:$A$13,0)+1))/(1/10*100))&lt;70%,70%,IF(112%-IF(F14="W1",0,IF(F14="W2",1,MATCH(F14,Sheet1!$A$2:$A$13,0)-MATCH(E14,Sheet1!$A$2:$A$13,0)+1))/(1/10*100)&gt;105%,105%,112%-IF(F14="W1",0,IF(F14="W2",1,MATCH(F14,Sheet1!$A$2:$A$13,0)-MATCH(E14,Sheet1!$A$2:$A$13,0)+1))/(1/10*100))),IF((92%-(IF(OR(F14="w1",F14="w2"),1,MATCH(F14,Sheet1!$A$2:$A$13,0))-MATCH(E14,Sheet1!$A$2:$A$13,0))/(1/10*100))&lt;70%,70%,IF(92%-(IF(OR(F14="w1",F14="w2"),1,MATCH(F14,Sheet1!$A$2:$A$13,0))-MATCH(E14,Sheet1!$A$2:$A$13,0))/(1/10*100)&gt;105%,105%,92%-(IF(OR(F14="w1",F14="w2"),1,MATCH(F14,Sheet1!$A$2:$A$13,0))-MATCH(E14,Sheet1!$A$2:$A$13,0))/(1/10*100)))),IF(MID(D14,3,1)="+",IF(E14&lt;100,IF(112%-(E14-F14)/(1/IF(E14&lt;4,(40/E14),10)*100)&gt;105%,105%,IF(112%-(E14-F14)/(1/IF(E14&lt;4,(40/E14),10)*100)&lt;=72%,72%,112%-(E14-F14)/(1/IF(E14&lt;4,(40/E14),10)*100))),IF(112%-(E14-F14)/E14*10&gt;105%,105%,IF(112%-(E14-F14)/E14*10&lt;72%,72%,112%-(E14-F14)/E14*10))),IF(MID(D14,3,1)="-",IF(92%+((E14-F14)/(E14))*0.4&gt;105%,105%,IF(92%+((E14-F14)/(E14))*0.4&lt;72%,72%,92%+((E14-F14)/(E14))*0.4)),IF(OR(B14="BOTO",B14="NPI",B14="FF"),IF(102%+((E14-F14)/(E14))*0.4&gt;105%,105%,IF(102%+((E14-F14)/(E14))*0.4&lt;72%,72%,102%+((E14-F14)/(E14))*0.4)),""))))))</f>
        <v/>
      </c>
      <c r="I14" s="11"/>
      <c r="J14" s="11"/>
      <c r="K14" s="11"/>
      <c r="M14" s="11"/>
      <c r="N14" s="11"/>
      <c r="O14" s="11"/>
      <c r="Q14" s="11"/>
      <c r="R14" s="11"/>
      <c r="S14" s="11"/>
      <c r="U14" s="11"/>
      <c r="V14" s="11"/>
      <c r="W14" s="11"/>
      <c r="Y14" s="11"/>
      <c r="Z14" s="11"/>
      <c r="AA14" s="11"/>
      <c r="AC14" s="11"/>
      <c r="AD14" s="11"/>
      <c r="AE14" s="11"/>
      <c r="AG14" s="11"/>
      <c r="AH14" s="11"/>
      <c r="AI14" s="11"/>
      <c r="AK14" s="11"/>
      <c r="AL14" s="11"/>
      <c r="AM14" s="11"/>
      <c r="AO14" s="11"/>
      <c r="AP14" s="11"/>
      <c r="AQ14" s="11"/>
      <c r="AS14" s="11"/>
      <c r="AT14" s="11"/>
      <c r="AU14" s="11"/>
      <c r="AW14" s="11"/>
      <c r="AX14" s="11"/>
      <c r="AY14" s="11"/>
      <c r="BA14" s="11"/>
      <c r="BB14" s="11"/>
      <c r="BC14" s="11"/>
    </row>
    <row r="15" spans="1:55" ht="30.75" thickBot="1" x14ac:dyDescent="0.3">
      <c r="A15" s="215"/>
      <c r="B15" s="65" t="s">
        <v>73</v>
      </c>
      <c r="C15" s="143" t="s">
        <v>24</v>
      </c>
      <c r="D15" s="144" t="s">
        <v>144</v>
      </c>
      <c r="E15" s="145">
        <v>2</v>
      </c>
      <c r="F15" s="68" t="str">
        <f t="shared" ref="F15" si="4">IF(AND(I15="NA",M15="NA",Q15="NA",U15="NA",Y15="NA",AC15="NA",AG15="NA",AK15="NA",AO15="NA",AS15="NA",AW15="NA",BA15="NA"),"NA",IF(AND(I15="",M15="",Q15="",U15="",Y15="",AC15="",AG15="",AK15="",AO15="",AS15="",AW15="",BA15=""),"",IF(OR(C15="MONTH",LEFT(B15,5)="AUDIT"),IF(OR(I15="NA",I15=""),IF(OR(M15="NA",M15=""),IF(OR(Q15="NA",Q15=""),IF(OR(U15="NA",U15=""),IF(OR(Y15="NA",Y15=""),IF(OR(AC15="NA",AC15=""),IF(OR(AG15="NA",AG15=""),IF(OR(AK15="NA",AK15=""),IF(OR(AO15="NA",AO15=""),IF(OR(AS15="NA",AS15=""),IF(OR(AW15="NA",AW15=""),IF(OR(BA15="NA",BA15=""),"",BA15),AW15),AS15),AO15),AK15),AG15),AC15),Y15),U15),Q15),M15),I15),IFERROR(IF(OR(C15="BCM",C15="TON",C15="EVENT",C15="RP",C15="QTY",C15="EVENT",C15="KARYAWAN"),IF(COUNT(I15,M15,Q15,U15,Y15,AC15,AG15,AK15,AO15,AS15,AW15,BA15)&gt;0,SUM(I15,M15,Q15,U15,Y15,AC15,AG15,AK15,AO15,AS15,AW15,BA15),""),AVERAGE(I15,M15,Q15,U15,Y15,AC15,AG15,AK15,AO15,AS15,AW15,BA15)),""))))</f>
        <v/>
      </c>
      <c r="G15" s="14" t="str">
        <f>IF(OR(F15="",F15="NA"),"",IF(OR(C15="time",LEFT(C15,3)="DAY"),IF(OR(C15="DAY2",C15="time"),IF((92%-(F15-E15)/(1/10*100))&lt;70%,70%,IF(92%-(F15-E15)/(1/10*100)&gt;105%,105%,92%-(F15-E15)/(1/10*100))),IF(COUNT(E15)=1,IF((112%-(F15-E15)/(1/10*100))&lt;70%,70%,IF(112%-(F15-E15)/(1/10*100)&gt;105%,105%,112%-(F15-E15)/(1/10*100))))),IF(LEFT(C15,5)="month",IF(C15="month1",IF((112%-IF(F15="W1",0,IF(F15="W2",1,MATCH(F15,Sheet1!$A$2:$A$13,0)-MATCH(E15,Sheet1!$A$2:$A$13,0)+1))/(1/10*100))&lt;70%,70%,IF(112%-IF(F15="W1",0,IF(F15="W2",1,MATCH(F15,Sheet1!$A$2:$A$13,0)-MATCH(E15,Sheet1!$A$2:$A$13,0)+1))/(1/10*100)&gt;105%,105%,112%-IF(F15="W1",0,IF(F15="W2",1,MATCH(F15,Sheet1!$A$2:$A$13,0)-MATCH(E15,Sheet1!$A$2:$A$13,0)+1))/(1/10*100))),IF((92%-(IF(OR(F15="w1",F15="w2"),1,MATCH(F15,Sheet1!$A$2:$A$13,0))-MATCH(E15,Sheet1!$A$2:$A$13,0))/(1/10*100))&lt;70%,70%,IF(92%-(IF(OR(F15="w1",F15="w2"),1,MATCH(F15,Sheet1!$A$2:$A$13,0))-MATCH(E15,Sheet1!$A$2:$A$13,0))/(1/10*100)&gt;105%,105%,92%-(IF(OR(F15="w1",F15="w2"),1,MATCH(F15,Sheet1!$A$2:$A$13,0))-MATCH(E15,Sheet1!$A$2:$A$13,0))/(1/10*100)))),IF(MID(D15,3,1)="+",IF(E15&lt;100,IF(112%-(E15-F15)/(1/IF(E15&lt;4,(40/E15),10)*100)&gt;105%,105%,IF(112%-(E15-F15)/(1/IF(E15&lt;4,(40/E15),10)*100)&lt;=72%,72%,112%-(E15-F15)/(1/IF(E15&lt;4,(40/E15),10)*100))),IF(112%-(E15-F15)/E15*10&gt;105%,105%,IF(112%-(E15-F15)/E15*10&lt;72%,72%,112%-(E15-F15)/E15*10))),IF(MID(D15,3,1)="-",IF(92%+((E15-F15)/(E15))*0.4&gt;105%,105%,IF(92%+((E15-F15)/(E15))*0.4&lt;72%,72%,92%+((E15-F15)/(E15))*0.4)),IF(OR(B15="BOTO",B15="NPI",B15="FF"),IF(102%+((E15-F15)/(E15))*0.4&gt;105%,105%,IF(102%+((E15-F15)/(E15))*0.4&lt;72%,72%,102%+((E15-F15)/(E15))*0.4)),""))))))</f>
        <v/>
      </c>
      <c r="I15" s="11"/>
      <c r="J15" s="11"/>
      <c r="K15" s="11"/>
      <c r="M15" s="11"/>
      <c r="N15" s="11"/>
      <c r="O15" s="11"/>
      <c r="Q15" s="11"/>
      <c r="R15" s="11"/>
      <c r="S15" s="11"/>
      <c r="U15" s="11"/>
      <c r="V15" s="11"/>
      <c r="W15" s="11"/>
      <c r="Y15" s="11"/>
      <c r="Z15" s="11"/>
      <c r="AA15" s="11"/>
      <c r="AC15" s="11"/>
      <c r="AD15" s="11"/>
      <c r="AE15" s="11"/>
      <c r="AG15" s="11"/>
      <c r="AH15" s="11"/>
      <c r="AI15" s="11"/>
      <c r="AK15" s="11"/>
      <c r="AL15" s="11"/>
      <c r="AM15" s="11"/>
      <c r="AO15" s="11"/>
      <c r="AP15" s="11"/>
      <c r="AQ15" s="11"/>
      <c r="AS15" s="11"/>
      <c r="AT15" s="11"/>
      <c r="AU15" s="11"/>
      <c r="AW15" s="11"/>
      <c r="AX15" s="11"/>
      <c r="AY15" s="11"/>
      <c r="BA15" s="11"/>
      <c r="BB15" s="11"/>
      <c r="BC15" s="11"/>
    </row>
    <row r="16" spans="1:55" ht="30.75" thickBot="1" x14ac:dyDescent="0.3">
      <c r="A16" s="103" t="s">
        <v>53</v>
      </c>
      <c r="B16" s="7" t="s">
        <v>74</v>
      </c>
      <c r="C16" s="138" t="s">
        <v>23</v>
      </c>
      <c r="D16" s="105" t="s">
        <v>164</v>
      </c>
      <c r="E16" s="139">
        <v>90</v>
      </c>
      <c r="F16" s="16" t="str">
        <f t="shared" ref="F16:F29" si="5">IF(AND(I16="NA",M16="NA",Q16="NA",U16="NA",Y16="NA",AC16="NA",AG16="NA",AK16="NA",AO16="NA",AS16="NA",AW16="NA",BA16="NA"),"NA",IF(AND(I16="",M16="",Q16="",U16="",Y16="",AC16="",AG16="",AK16="",AO16="",AS16="",AW16="",BA16=""),"",IF(OR(C16="MONTH",LEFT(B16,5)="AUDIT"),IF(OR(I16="NA",I16=""),IF(OR(M16="NA",M16=""),IF(OR(Q16="NA",Q16=""),IF(OR(U16="NA",U16=""),IF(OR(Y16="NA",Y16=""),IF(OR(AC16="NA",AC16=""),IF(OR(AG16="NA",AG16=""),IF(OR(AK16="NA",AK16=""),IF(OR(AO16="NA",AO16=""),IF(OR(AS16="NA",AS16=""),IF(OR(AW16="NA",AW16=""),IF(OR(BA16="NA",BA16=""),"",BA16),AW16),AS16),AO16),AK16),AG16),AC16),Y16),U16),Q16),M16),I16),IFERROR(IF(OR(C16="BCM",C16="TON",C16="EVENT",C16="RP",C16="QTY",C16="EVENT",C16="KARYAWAN"),IF(COUNT(I16,M16,Q16,U16,Y16,AC16,AG16,AK16,AO16,AS16,AW16,BA16)&gt;0,SUM(I16,M16,Q16,U16,Y16,AC16,AG16,AK16,AO16,AS16,AW16,BA16),""),AVERAGE(I16,M16,Q16,U16,Y16,AC16,AG16,AK16,AO16,AS16,AW16,BA16)),""))))</f>
        <v/>
      </c>
      <c r="G16" s="10" t="str">
        <f>IF(OR(F16="",F16="NA"),"",IF(OR(C16="time",LEFT(C16,3)="DAY"),IF(OR(C16="DAY2",C16="time"),IF((92%-(F16-E16)/(1/10*100))&lt;70%,70%,IF(92%-(F16-E16)/(1/10*100)&gt;105%,105%,92%-(F16-E16)/(1/10*100))),IF(COUNT(E16)=1,IF((112%-(F16-E16)/(1/10*100))&lt;70%,70%,IF(112%-(F16-E16)/(1/10*100)&gt;105%,105%,112%-(F16-E16)/(1/10*100))))),IF(LEFT(C16,5)="month",IF(C16="month1",IF((112%-IF(F16="W1",0,IF(F16="W2",1,MATCH(F16,Sheet1!$A$2:$A$13,0)-MATCH(E16,Sheet1!$A$2:$A$13,0)+1))/(1/10*100))&lt;70%,70%,IF(112%-IF(F16="W1",0,IF(F16="W2",1,MATCH(F16,Sheet1!$A$2:$A$13,0)-MATCH(E16,Sheet1!$A$2:$A$13,0)+1))/(1/10*100)&gt;105%,105%,112%-IF(F16="W1",0,IF(F16="W2",1,MATCH(F16,Sheet1!$A$2:$A$13,0)-MATCH(E16,Sheet1!$A$2:$A$13,0)+1))/(1/10*100))),IF((92%-(IF(OR(F16="w1",F16="w2"),1,MATCH(F16,Sheet1!$A$2:$A$13,0))-MATCH(E16,Sheet1!$A$2:$A$13,0))/(1/10*100))&lt;70%,70%,IF(92%-(IF(OR(F16="w1",F16="w2"),1,MATCH(F16,Sheet1!$A$2:$A$13,0))-MATCH(E16,Sheet1!$A$2:$A$13,0))/(1/10*100)&gt;105%,105%,92%-(IF(OR(F16="w1",F16="w2"),1,MATCH(F16,Sheet1!$A$2:$A$13,0))-MATCH(E16,Sheet1!$A$2:$A$13,0))/(1/10*100)))),IF(MID(D16,3,1)="+",IF(E16&lt;100,IF(112%-(E16-F16)/(1/IF(E16&lt;4,(40/E16),10)*100)&gt;105%,105%,IF(112%-(E16-F16)/(1/IF(E16&lt;4,(40/E16),10)*100)&lt;=72%,72%,112%-(E16-F16)/(1/IF(E16&lt;4,(40/E16),10)*100))),IF(112%-(E16-F16)/E16*10&gt;105%,105%,IF(112%-(E16-F16)/E16*10&lt;72%,72%,112%-(E16-F16)/E16*10))),IF(MID(D16,3,1)="-",IF(92%+((E16-F16)/(E16))*0.4&gt;105%,105%,IF(92%+((E16-F16)/(E16))*0.4&lt;72%,72%,92%+((E16-F16)/(E16))*0.4)),IF(OR(B16="BOTO",B16="NPI",B16="FF"),IF(102%+((E16-F16)/(E16))*0.4&gt;105%,105%,IF(102%+((E16-F16)/(E16))*0.4&lt;72%,72%,102%+((E16-F16)/(E16))*0.4)),""))))))</f>
        <v/>
      </c>
      <c r="I16" s="11"/>
      <c r="J16" s="11"/>
      <c r="K16" s="11"/>
      <c r="M16" s="11"/>
      <c r="N16" s="11"/>
      <c r="O16" s="11"/>
      <c r="Q16" s="11"/>
      <c r="R16" s="11"/>
      <c r="S16" s="11"/>
      <c r="U16" s="11"/>
      <c r="V16" s="11"/>
      <c r="W16" s="11"/>
      <c r="Y16" s="11"/>
      <c r="Z16" s="11"/>
      <c r="AA16" s="11"/>
      <c r="AC16" s="11"/>
      <c r="AD16" s="11"/>
      <c r="AE16" s="11"/>
      <c r="AG16" s="11"/>
      <c r="AH16" s="11"/>
      <c r="AI16" s="11"/>
      <c r="AK16" s="11"/>
      <c r="AL16" s="11"/>
      <c r="AM16" s="11"/>
      <c r="AO16" s="11"/>
      <c r="AP16" s="11"/>
      <c r="AQ16" s="11"/>
      <c r="AS16" s="11"/>
      <c r="AT16" s="11"/>
      <c r="AU16" s="11"/>
      <c r="AW16" s="11"/>
      <c r="AX16" s="11"/>
      <c r="AY16" s="11"/>
      <c r="BA16" s="11"/>
      <c r="BB16" s="11"/>
      <c r="BC16" s="11"/>
    </row>
    <row r="17" spans="1:55" x14ac:dyDescent="0.25">
      <c r="A17" s="199" t="s">
        <v>54</v>
      </c>
      <c r="B17" s="7" t="s">
        <v>75</v>
      </c>
      <c r="C17" s="8" t="s">
        <v>165</v>
      </c>
      <c r="D17" s="9" t="s">
        <v>142</v>
      </c>
      <c r="E17" s="16">
        <v>3</v>
      </c>
      <c r="F17" s="16" t="str">
        <f t="shared" si="5"/>
        <v/>
      </c>
      <c r="G17" s="10" t="str">
        <f>IF(OR(F17="",F17="NA"),"",IF(OR(C17="time",LEFT(C17,3)="DAY"),IF(OR(C17="DAY2",C17="time"),IF((92%-(F17-E17)/(1/10*100))&lt;70%,70%,IF(92%-(F17-E17)/(1/10*100)&gt;105%,105%,92%-(F17-E17)/(1/10*100))),IF(COUNT(E17)=1,IF((112%-(F17-E17)/(1/10*100))&lt;70%,70%,IF(112%-(F17-E17)/(1/10*100)&gt;105%,105%,112%-(F17-E17)/(1/10*100))))),IF(LEFT(C17,5)="month",IF(C17="month1",IF((112%-IF(F17="W1",0,IF(F17="W2",1,MATCH(F17,Sheet1!$A$2:$A$13,0)-MATCH(E17,Sheet1!$A$2:$A$13,0)+1))/(1/10*100))&lt;70%,70%,IF(112%-IF(F17="W1",0,IF(F17="W2",1,MATCH(F17,Sheet1!$A$2:$A$13,0)-MATCH(E17,Sheet1!$A$2:$A$13,0)+1))/(1/10*100)&gt;105%,105%,112%-IF(F17="W1",0,IF(F17="W2",1,MATCH(F17,Sheet1!$A$2:$A$13,0)-MATCH(E17,Sheet1!$A$2:$A$13,0)+1))/(1/10*100))),IF((92%-(IF(OR(F17="w1",F17="w2"),1,MATCH(F17,Sheet1!$A$2:$A$13,0))-MATCH(E17,Sheet1!$A$2:$A$13,0))/(1/10*100))&lt;70%,70%,IF(92%-(IF(OR(F17="w1",F17="w2"),1,MATCH(F17,Sheet1!$A$2:$A$13,0))-MATCH(E17,Sheet1!$A$2:$A$13,0))/(1/10*100)&gt;105%,105%,92%-(IF(OR(F17="w1",F17="w2"),1,MATCH(F17,Sheet1!$A$2:$A$13,0))-MATCH(E17,Sheet1!$A$2:$A$13,0))/(1/10*100)))),IF(MID(D17,3,1)="+",IF(E17&lt;100,IF(112%-(E17-F17)/(1/IF(E17&lt;4,(40/E17),10)*100)&gt;105%,105%,IF(112%-(E17-F17)/(1/IF(E17&lt;4,(40/E17),10)*100)&lt;=72%,72%,112%-(E17-F17)/(1/IF(E17&lt;4,(40/E17),10)*100))),IF(112%-(E17-F17)/E17*10&gt;105%,105%,IF(112%-(E17-F17)/E17*10&lt;72%,72%,112%-(E17-F17)/E17*10))),IF(MID(D17,3,1)="-",IF(92%+((E17-F17)/(E17))*0.4&gt;105%,105%,IF(92%+((E17-F17)/(E17))*0.4&lt;72%,72%,92%+((E17-F17)/(E17))*0.4)),IF(OR(B17="BOTO",B17="NPI",B17="FF"),IF(102%+((E17-F17)/(E17))*0.4&gt;105%,105%,IF(102%+((E17-F17)/(E17))*0.4&lt;72%,72%,102%+((E17-F17)/(E17))*0.4)),""))))))</f>
        <v/>
      </c>
      <c r="I17" s="11"/>
      <c r="J17" s="11"/>
      <c r="K17" s="11"/>
      <c r="M17" s="11"/>
      <c r="N17" s="11"/>
      <c r="O17" s="11"/>
      <c r="Q17" s="11"/>
      <c r="R17" s="11"/>
      <c r="S17" s="11"/>
      <c r="U17" s="11"/>
      <c r="V17" s="11"/>
      <c r="W17" s="11"/>
      <c r="Y17" s="11"/>
      <c r="Z17" s="11"/>
      <c r="AA17" s="11"/>
      <c r="AC17" s="11"/>
      <c r="AD17" s="11"/>
      <c r="AE17" s="11"/>
      <c r="AG17" s="11"/>
      <c r="AH17" s="11"/>
      <c r="AI17" s="11"/>
      <c r="AK17" s="11"/>
      <c r="AL17" s="11"/>
      <c r="AM17" s="11"/>
      <c r="AO17" s="11"/>
      <c r="AP17" s="11"/>
      <c r="AQ17" s="11"/>
      <c r="AS17" s="11"/>
      <c r="AT17" s="11"/>
      <c r="AU17" s="11"/>
      <c r="AW17" s="11"/>
      <c r="AX17" s="11"/>
      <c r="AY17" s="11"/>
      <c r="BA17" s="11"/>
      <c r="BB17" s="11"/>
      <c r="BC17" s="11"/>
    </row>
    <row r="18" spans="1:55" x14ac:dyDescent="0.25">
      <c r="A18" s="200"/>
      <c r="B18" s="65" t="s">
        <v>76</v>
      </c>
      <c r="C18" s="13" t="s">
        <v>165</v>
      </c>
      <c r="D18" s="131" t="s">
        <v>142</v>
      </c>
      <c r="E18" s="15">
        <v>1</v>
      </c>
      <c r="F18" s="15" t="str">
        <f t="shared" ref="F18:F23" si="6">IF(AND(I18="NA",M18="NA",Q18="NA",U18="NA",Y18="NA",AC18="NA",AG18="NA",AK18="NA",AO18="NA",AS18="NA",AW18="NA",BA18="NA"),"NA",IF(AND(I18="",M18="",Q18="",U18="",Y18="",AC18="",AG18="",AK18="",AO18="",AS18="",AW18="",BA18=""),"",IF(OR(C18="MONTH",LEFT(B18,5)="AUDIT"),IF(OR(I18="NA",I18=""),IF(OR(M18="NA",M18=""),IF(OR(Q18="NA",Q18=""),IF(OR(U18="NA",U18=""),IF(OR(Y18="NA",Y18=""),IF(OR(AC18="NA",AC18=""),IF(OR(AG18="NA",AG18=""),IF(OR(AK18="NA",AK18=""),IF(OR(AO18="NA",AO18=""),IF(OR(AS18="NA",AS18=""),IF(OR(AW18="NA",AW18=""),IF(OR(BA18="NA",BA18=""),"",BA18),AW18),AS18),AO18),AK18),AG18),AC18),Y18),U18),Q18),M18),I18),IFERROR(IF(OR(C18="BCM",C18="TON",C18="EVENT",C18="RP",C18="QTY",C18="EVENT",C18="KARYAWAN"),IF(COUNT(I18,M18,Q18,U18,Y18,AC18,AG18,AK18,AO18,AS18,AW18,BA18)&gt;0,SUM(I18,M18,Q18,U18,Y18,AC18,AG18,AK18,AO18,AS18,AW18,BA18),""),AVERAGE(I18,M18,Q18,U18,Y18,AC18,AG18,AK18,AO18,AS18,AW18,BA18)),""))))</f>
        <v/>
      </c>
      <c r="G18" s="14" t="str">
        <f>IF(OR(F18="",F18="NA"),"",IF(OR(C18="time",LEFT(C18,3)="DAY"),IF(OR(C18="DAY2",C18="time"),IF((92%-(F18-E18)/(1/10*100))&lt;70%,70%,IF(92%-(F18-E18)/(1/10*100)&gt;105%,105%,92%-(F18-E18)/(1/10*100))),IF(COUNT(E18)=1,IF((112%-(F18-E18)/(1/10*100))&lt;70%,70%,IF(112%-(F18-E18)/(1/10*100)&gt;105%,105%,112%-(F18-E18)/(1/10*100))))),IF(LEFT(C18,5)="month",IF(C18="month1",IF((112%-IF(F18="W1",0,IF(F18="W2",1,MATCH(F18,Sheet1!$A$2:$A$13,0)-MATCH(E18,Sheet1!$A$2:$A$13,0)+1))/(1/10*100))&lt;70%,70%,IF(112%-IF(F18="W1",0,IF(F18="W2",1,MATCH(F18,Sheet1!$A$2:$A$13,0)-MATCH(E18,Sheet1!$A$2:$A$13,0)+1))/(1/10*100)&gt;105%,105%,112%-IF(F18="W1",0,IF(F18="W2",1,MATCH(F18,Sheet1!$A$2:$A$13,0)-MATCH(E18,Sheet1!$A$2:$A$13,0)+1))/(1/10*100))),IF((92%-(IF(OR(F18="w1",F18="w2"),1,MATCH(F18,Sheet1!$A$2:$A$13,0))-MATCH(E18,Sheet1!$A$2:$A$13,0))/(1/10*100))&lt;70%,70%,IF(92%-(IF(OR(F18="w1",F18="w2"),1,MATCH(F18,Sheet1!$A$2:$A$13,0))-MATCH(E18,Sheet1!$A$2:$A$13,0))/(1/10*100)&gt;105%,105%,92%-(IF(OR(F18="w1",F18="w2"),1,MATCH(F18,Sheet1!$A$2:$A$13,0))-MATCH(E18,Sheet1!$A$2:$A$13,0))/(1/10*100)))),IF(MID(D18,3,1)="+",IF(E18&lt;100,IF(112%-(E18-F18)/(1/IF(E18&lt;4,(40/E18),10)*100)&gt;105%,105%,IF(112%-(E18-F18)/(1/IF(E18&lt;4,(40/E18),10)*100)&lt;=72%,72%,112%-(E18-F18)/(1/IF(E18&lt;4,(40/E18),10)*100))),IF(112%-(E18-F18)/E18*10&gt;105%,105%,IF(112%-(E18-F18)/E18*10&lt;72%,72%,112%-(E18-F18)/E18*10))),IF(MID(D18,3,1)="-",IF(92%+((E18-F18)/(E18))*0.4&gt;105%,105%,IF(92%+((E18-F18)/(E18))*0.4&lt;72%,72%,92%+((E18-F18)/(E18))*0.4)),IF(OR(B18="BOTO",B18="NPI",B18="FF"),IF(102%+((E18-F18)/(E18))*0.4&gt;105%,105%,IF(102%+((E18-F18)/(E18))*0.4&lt;72%,72%,102%+((E18-F18)/(E18))*0.4)),""))))))</f>
        <v/>
      </c>
      <c r="I18" s="11"/>
      <c r="J18" s="11"/>
      <c r="K18" s="11"/>
      <c r="M18" s="11"/>
      <c r="N18" s="11"/>
      <c r="O18" s="11"/>
      <c r="Q18" s="11"/>
      <c r="R18" s="11"/>
      <c r="S18" s="11"/>
      <c r="U18" s="11"/>
      <c r="V18" s="11"/>
      <c r="W18" s="11"/>
      <c r="Y18" s="11"/>
      <c r="Z18" s="11"/>
      <c r="AA18" s="11"/>
      <c r="AC18" s="11"/>
      <c r="AD18" s="11"/>
      <c r="AE18" s="11"/>
      <c r="AG18" s="11"/>
      <c r="AH18" s="11"/>
      <c r="AI18" s="11"/>
      <c r="AK18" s="11"/>
      <c r="AL18" s="11"/>
      <c r="AM18" s="11"/>
      <c r="AO18" s="11"/>
      <c r="AP18" s="11"/>
      <c r="AQ18" s="11"/>
      <c r="AS18" s="11"/>
      <c r="AT18" s="11"/>
      <c r="AU18" s="11"/>
      <c r="AW18" s="11"/>
      <c r="AX18" s="11"/>
      <c r="AY18" s="11"/>
      <c r="BA18" s="11"/>
      <c r="BB18" s="11"/>
      <c r="BC18" s="11"/>
    </row>
    <row r="19" spans="1:55" x14ac:dyDescent="0.25">
      <c r="A19" s="200"/>
      <c r="B19" s="65" t="s">
        <v>77</v>
      </c>
      <c r="C19" s="13" t="s">
        <v>165</v>
      </c>
      <c r="D19" s="131" t="s">
        <v>142</v>
      </c>
      <c r="E19" s="15">
        <v>5</v>
      </c>
      <c r="F19" s="15" t="str">
        <f t="shared" si="6"/>
        <v/>
      </c>
      <c r="G19" s="14" t="str">
        <f>IF(OR(F19="",F19="NA"),"",IF(OR(C19="time",LEFT(C19,3)="DAY"),IF(OR(C19="DAY2",C19="time"),IF((92%-(F19-E19)/(1/10*100))&lt;70%,70%,IF(92%-(F19-E19)/(1/10*100)&gt;105%,105%,92%-(F19-E19)/(1/10*100))),IF(COUNT(E19)=1,IF((112%-(F19-E19)/(1/10*100))&lt;70%,70%,IF(112%-(F19-E19)/(1/10*100)&gt;105%,105%,112%-(F19-E19)/(1/10*100))))),IF(LEFT(C19,5)="month",IF(C19="month1",IF((112%-IF(F19="W1",0,IF(F19="W2",1,MATCH(F19,Sheet1!$A$2:$A$13,0)-MATCH(E19,Sheet1!$A$2:$A$13,0)+1))/(1/10*100))&lt;70%,70%,IF(112%-IF(F19="W1",0,IF(F19="W2",1,MATCH(F19,Sheet1!$A$2:$A$13,0)-MATCH(E19,Sheet1!$A$2:$A$13,0)+1))/(1/10*100)&gt;105%,105%,112%-IF(F19="W1",0,IF(F19="W2",1,MATCH(F19,Sheet1!$A$2:$A$13,0)-MATCH(E19,Sheet1!$A$2:$A$13,0)+1))/(1/10*100))),IF((92%-(IF(OR(F19="w1",F19="w2"),1,MATCH(F19,Sheet1!$A$2:$A$13,0))-MATCH(E19,Sheet1!$A$2:$A$13,0))/(1/10*100))&lt;70%,70%,IF(92%-(IF(OR(F19="w1",F19="w2"),1,MATCH(F19,Sheet1!$A$2:$A$13,0))-MATCH(E19,Sheet1!$A$2:$A$13,0))/(1/10*100)&gt;105%,105%,92%-(IF(OR(F19="w1",F19="w2"),1,MATCH(F19,Sheet1!$A$2:$A$13,0))-MATCH(E19,Sheet1!$A$2:$A$13,0))/(1/10*100)))),IF(MID(D19,3,1)="+",IF(E19&lt;100,IF(112%-(E19-F19)/(1/IF(E19&lt;4,(40/E19),10)*100)&gt;105%,105%,IF(112%-(E19-F19)/(1/IF(E19&lt;4,(40/E19),10)*100)&lt;=72%,72%,112%-(E19-F19)/(1/IF(E19&lt;4,(40/E19),10)*100))),IF(112%-(E19-F19)/E19*10&gt;105%,105%,IF(112%-(E19-F19)/E19*10&lt;72%,72%,112%-(E19-F19)/E19*10))),IF(MID(D19,3,1)="-",IF(92%+((E19-F19)/(E19))*0.4&gt;105%,105%,IF(92%+((E19-F19)/(E19))*0.4&lt;72%,72%,92%+((E19-F19)/(E19))*0.4)),IF(OR(B19="BOTO",B19="NPI",B19="FF"),IF(102%+((E19-F19)/(E19))*0.4&gt;105%,105%,IF(102%+((E19-F19)/(E19))*0.4&lt;72%,72%,102%+((E19-F19)/(E19))*0.4)),""))))))</f>
        <v/>
      </c>
      <c r="I19" s="11"/>
      <c r="J19" s="11"/>
      <c r="K19" s="11"/>
      <c r="M19" s="11"/>
      <c r="N19" s="11"/>
      <c r="O19" s="11"/>
      <c r="Q19" s="11"/>
      <c r="R19" s="11"/>
      <c r="S19" s="11"/>
      <c r="U19" s="11"/>
      <c r="V19" s="11"/>
      <c r="W19" s="11"/>
      <c r="Y19" s="11"/>
      <c r="Z19" s="11"/>
      <c r="AA19" s="11"/>
      <c r="AC19" s="11"/>
      <c r="AD19" s="11"/>
      <c r="AE19" s="11"/>
      <c r="AG19" s="11"/>
      <c r="AH19" s="11"/>
      <c r="AI19" s="11"/>
      <c r="AK19" s="11"/>
      <c r="AL19" s="11"/>
      <c r="AM19" s="11"/>
      <c r="AO19" s="11"/>
      <c r="AP19" s="11"/>
      <c r="AQ19" s="11"/>
      <c r="AS19" s="11"/>
      <c r="AT19" s="11"/>
      <c r="AU19" s="11"/>
      <c r="AW19" s="11"/>
      <c r="AX19" s="11"/>
      <c r="AY19" s="11"/>
      <c r="BA19" s="11"/>
      <c r="BB19" s="11"/>
      <c r="BC19" s="11"/>
    </row>
    <row r="20" spans="1:55" x14ac:dyDescent="0.25">
      <c r="A20" s="200"/>
      <c r="B20" s="65" t="s">
        <v>78</v>
      </c>
      <c r="C20" s="13" t="s">
        <v>165</v>
      </c>
      <c r="D20" s="131" t="s">
        <v>142</v>
      </c>
      <c r="E20" s="15">
        <v>1</v>
      </c>
      <c r="F20" s="15" t="str">
        <f t="shared" si="6"/>
        <v/>
      </c>
      <c r="G20" s="14" t="str">
        <f>IF(OR(F20="",F20="NA"),"",IF(OR(C20="time",LEFT(C20,3)="DAY"),IF(OR(C20="DAY2",C20="time"),IF((92%-(F20-E20)/(1/10*100))&lt;70%,70%,IF(92%-(F20-E20)/(1/10*100)&gt;105%,105%,92%-(F20-E20)/(1/10*100))),IF(COUNT(E20)=1,IF((112%-(F20-E20)/(1/10*100))&lt;70%,70%,IF(112%-(F20-E20)/(1/10*100)&gt;105%,105%,112%-(F20-E20)/(1/10*100))))),IF(LEFT(C20,5)="month",IF(C20="month1",IF((112%-IF(F20="W1",0,IF(F20="W2",1,MATCH(F20,Sheet1!$A$2:$A$13,0)-MATCH(E20,Sheet1!$A$2:$A$13,0)+1))/(1/10*100))&lt;70%,70%,IF(112%-IF(F20="W1",0,IF(F20="W2",1,MATCH(F20,Sheet1!$A$2:$A$13,0)-MATCH(E20,Sheet1!$A$2:$A$13,0)+1))/(1/10*100)&gt;105%,105%,112%-IF(F20="W1",0,IF(F20="W2",1,MATCH(F20,Sheet1!$A$2:$A$13,0)-MATCH(E20,Sheet1!$A$2:$A$13,0)+1))/(1/10*100))),IF((92%-(IF(OR(F20="w1",F20="w2"),1,MATCH(F20,Sheet1!$A$2:$A$13,0))-MATCH(E20,Sheet1!$A$2:$A$13,0))/(1/10*100))&lt;70%,70%,IF(92%-(IF(OR(F20="w1",F20="w2"),1,MATCH(F20,Sheet1!$A$2:$A$13,0))-MATCH(E20,Sheet1!$A$2:$A$13,0))/(1/10*100)&gt;105%,105%,92%-(IF(OR(F20="w1",F20="w2"),1,MATCH(F20,Sheet1!$A$2:$A$13,0))-MATCH(E20,Sheet1!$A$2:$A$13,0))/(1/10*100)))),IF(MID(D20,3,1)="+",IF(E20&lt;100,IF(112%-(E20-F20)/(1/IF(E20&lt;4,(40/E20),10)*100)&gt;105%,105%,IF(112%-(E20-F20)/(1/IF(E20&lt;4,(40/E20),10)*100)&lt;=72%,72%,112%-(E20-F20)/(1/IF(E20&lt;4,(40/E20),10)*100))),IF(112%-(E20-F20)/E20*10&gt;105%,105%,IF(112%-(E20-F20)/E20*10&lt;72%,72%,112%-(E20-F20)/E20*10))),IF(MID(D20,3,1)="-",IF(92%+((E20-F20)/(E20))*0.4&gt;105%,105%,IF(92%+((E20-F20)/(E20))*0.4&lt;72%,72%,92%+((E20-F20)/(E20))*0.4)),IF(OR(B20="BOTO",B20="NPI",B20="FF"),IF(102%+((E20-F20)/(E20))*0.4&gt;105%,105%,IF(102%+((E20-F20)/(E20))*0.4&lt;72%,72%,102%+((E20-F20)/(E20))*0.4)),""))))))</f>
        <v/>
      </c>
      <c r="I20" s="11"/>
      <c r="J20" s="11"/>
      <c r="K20" s="11"/>
      <c r="M20" s="11"/>
      <c r="N20" s="11"/>
      <c r="O20" s="11"/>
      <c r="Q20" s="11"/>
      <c r="R20" s="11"/>
      <c r="S20" s="11"/>
      <c r="U20" s="11"/>
      <c r="V20" s="11"/>
      <c r="W20" s="11"/>
      <c r="Y20" s="11"/>
      <c r="Z20" s="11"/>
      <c r="AA20" s="11"/>
      <c r="AC20" s="11"/>
      <c r="AD20" s="11"/>
      <c r="AE20" s="11"/>
      <c r="AG20" s="11"/>
      <c r="AH20" s="11"/>
      <c r="AI20" s="11"/>
      <c r="AK20" s="11"/>
      <c r="AL20" s="11"/>
      <c r="AM20" s="11"/>
      <c r="AO20" s="11"/>
      <c r="AP20" s="11"/>
      <c r="AQ20" s="11"/>
      <c r="AS20" s="11"/>
      <c r="AT20" s="11"/>
      <c r="AU20" s="11"/>
      <c r="AW20" s="11"/>
      <c r="AX20" s="11"/>
      <c r="AY20" s="11"/>
      <c r="BA20" s="11"/>
      <c r="BB20" s="11"/>
      <c r="BC20" s="11"/>
    </row>
    <row r="21" spans="1:55" x14ac:dyDescent="0.25">
      <c r="A21" s="200"/>
      <c r="B21" s="65" t="s">
        <v>79</v>
      </c>
      <c r="C21" s="13" t="s">
        <v>165</v>
      </c>
      <c r="D21" s="131" t="s">
        <v>142</v>
      </c>
      <c r="E21" s="15">
        <v>5</v>
      </c>
      <c r="F21" s="15" t="str">
        <f t="shared" si="6"/>
        <v/>
      </c>
      <c r="G21" s="14" t="str">
        <f>IF(OR(F21="",F21="NA"),"",IF(OR(C21="time",LEFT(C21,3)="DAY"),IF(OR(C21="DAY2",C21="time"),IF((92%-(F21-E21)/(1/10*100))&lt;70%,70%,IF(92%-(F21-E21)/(1/10*100)&gt;105%,105%,92%-(F21-E21)/(1/10*100))),IF(COUNT(E21)=1,IF((112%-(F21-E21)/(1/10*100))&lt;70%,70%,IF(112%-(F21-E21)/(1/10*100)&gt;105%,105%,112%-(F21-E21)/(1/10*100))))),IF(LEFT(C21,5)="month",IF(C21="month1",IF((112%-IF(F21="W1",0,IF(F21="W2",1,MATCH(F21,Sheet1!$A$2:$A$13,0)-MATCH(E21,Sheet1!$A$2:$A$13,0)+1))/(1/10*100))&lt;70%,70%,IF(112%-IF(F21="W1",0,IF(F21="W2",1,MATCH(F21,Sheet1!$A$2:$A$13,0)-MATCH(E21,Sheet1!$A$2:$A$13,0)+1))/(1/10*100)&gt;105%,105%,112%-IF(F21="W1",0,IF(F21="W2",1,MATCH(F21,Sheet1!$A$2:$A$13,0)-MATCH(E21,Sheet1!$A$2:$A$13,0)+1))/(1/10*100))),IF((92%-(IF(OR(F21="w1",F21="w2"),1,MATCH(F21,Sheet1!$A$2:$A$13,0))-MATCH(E21,Sheet1!$A$2:$A$13,0))/(1/10*100))&lt;70%,70%,IF(92%-(IF(OR(F21="w1",F21="w2"),1,MATCH(F21,Sheet1!$A$2:$A$13,0))-MATCH(E21,Sheet1!$A$2:$A$13,0))/(1/10*100)&gt;105%,105%,92%-(IF(OR(F21="w1",F21="w2"),1,MATCH(F21,Sheet1!$A$2:$A$13,0))-MATCH(E21,Sheet1!$A$2:$A$13,0))/(1/10*100)))),IF(MID(D21,3,1)="+",IF(E21&lt;100,IF(112%-(E21-F21)/(1/IF(E21&lt;4,(40/E21),10)*100)&gt;105%,105%,IF(112%-(E21-F21)/(1/IF(E21&lt;4,(40/E21),10)*100)&lt;=72%,72%,112%-(E21-F21)/(1/IF(E21&lt;4,(40/E21),10)*100))),IF(112%-(E21-F21)/E21*10&gt;105%,105%,IF(112%-(E21-F21)/E21*10&lt;72%,72%,112%-(E21-F21)/E21*10))),IF(MID(D21,3,1)="-",IF(92%+((E21-F21)/(E21))*0.4&gt;105%,105%,IF(92%+((E21-F21)/(E21))*0.4&lt;72%,72%,92%+((E21-F21)/(E21))*0.4)),IF(OR(B21="BOTO",B21="NPI",B21="FF"),IF(102%+((E21-F21)/(E21))*0.4&gt;105%,105%,IF(102%+((E21-F21)/(E21))*0.4&lt;72%,72%,102%+((E21-F21)/(E21))*0.4)),""))))))</f>
        <v/>
      </c>
      <c r="I21" s="11"/>
      <c r="J21" s="11"/>
      <c r="K21" s="11"/>
      <c r="M21" s="11"/>
      <c r="N21" s="11"/>
      <c r="O21" s="11"/>
      <c r="Q21" s="11"/>
      <c r="R21" s="11"/>
      <c r="S21" s="11"/>
      <c r="U21" s="11"/>
      <c r="V21" s="11"/>
      <c r="W21" s="11"/>
      <c r="Y21" s="11"/>
      <c r="Z21" s="11"/>
      <c r="AA21" s="11"/>
      <c r="AC21" s="11"/>
      <c r="AD21" s="11"/>
      <c r="AE21" s="11"/>
      <c r="AG21" s="11"/>
      <c r="AH21" s="11"/>
      <c r="AI21" s="11"/>
      <c r="AK21" s="11"/>
      <c r="AL21" s="11"/>
      <c r="AM21" s="11"/>
      <c r="AO21" s="11"/>
      <c r="AP21" s="11"/>
      <c r="AQ21" s="11"/>
      <c r="AS21" s="11"/>
      <c r="AT21" s="11"/>
      <c r="AU21" s="11"/>
      <c r="AW21" s="11"/>
      <c r="AX21" s="11"/>
      <c r="AY21" s="11"/>
      <c r="BA21" s="11"/>
      <c r="BB21" s="11"/>
      <c r="BC21" s="11"/>
    </row>
    <row r="22" spans="1:55" x14ac:dyDescent="0.25">
      <c r="A22" s="200"/>
      <c r="B22" s="65" t="s">
        <v>128</v>
      </c>
      <c r="C22" s="13" t="s">
        <v>24</v>
      </c>
      <c r="D22" s="131" t="s">
        <v>144</v>
      </c>
      <c r="E22" s="15">
        <v>2</v>
      </c>
      <c r="F22" s="15" t="str">
        <f t="shared" si="6"/>
        <v/>
      </c>
      <c r="G22" s="14" t="str">
        <f>IF(OR(F22="",F22="NA"),"",IF(OR(C22="time",LEFT(C22,3)="DAY"),IF(OR(C22="DAY2",C22="time"),IF((92%-(F22-E22)/(1/10*100))&lt;70%,70%,IF(92%-(F22-E22)/(1/10*100)&gt;105%,105%,92%-(F22-E22)/(1/10*100))),IF(COUNT(E22)=1,IF((112%-(F22-E22)/(1/10*100))&lt;70%,70%,IF(112%-(F22-E22)/(1/10*100)&gt;105%,105%,112%-(F22-E22)/(1/10*100))))),IF(LEFT(C22,5)="month",IF(C22="month1",IF((112%-IF(F22="W1",0,IF(F22="W2",1,MATCH(F22,Sheet1!$A$2:$A$13,0)-MATCH(E22,Sheet1!$A$2:$A$13,0)+1))/(1/10*100))&lt;70%,70%,IF(112%-IF(F22="W1",0,IF(F22="W2",1,MATCH(F22,Sheet1!$A$2:$A$13,0)-MATCH(E22,Sheet1!$A$2:$A$13,0)+1))/(1/10*100)&gt;105%,105%,112%-IF(F22="W1",0,IF(F22="W2",1,MATCH(F22,Sheet1!$A$2:$A$13,0)-MATCH(E22,Sheet1!$A$2:$A$13,0)+1))/(1/10*100))),IF((92%-(IF(OR(F22="w1",F22="w2"),1,MATCH(F22,Sheet1!$A$2:$A$13,0))-MATCH(E22,Sheet1!$A$2:$A$13,0))/(1/10*100))&lt;70%,70%,IF(92%-(IF(OR(F22="w1",F22="w2"),1,MATCH(F22,Sheet1!$A$2:$A$13,0))-MATCH(E22,Sheet1!$A$2:$A$13,0))/(1/10*100)&gt;105%,105%,92%-(IF(OR(F22="w1",F22="w2"),1,MATCH(F22,Sheet1!$A$2:$A$13,0))-MATCH(E22,Sheet1!$A$2:$A$13,0))/(1/10*100)))),IF(MID(D22,3,1)="+",IF(E22&lt;100,IF(112%-(E22-F22)/(1/IF(E22&lt;4,(40/E22),10)*100)&gt;105%,105%,IF(112%-(E22-F22)/(1/IF(E22&lt;4,(40/E22),10)*100)&lt;=72%,72%,112%-(E22-F22)/(1/IF(E22&lt;4,(40/E22),10)*100))),IF(112%-(E22-F22)/E22*10&gt;105%,105%,IF(112%-(E22-F22)/E22*10&lt;72%,72%,112%-(E22-F22)/E22*10))),IF(MID(D22,3,1)="-",IF(92%+((E22-F22)/(E22))*0.4&gt;105%,105%,IF(92%+((E22-F22)/(E22))*0.4&lt;72%,72%,92%+((E22-F22)/(E22))*0.4)),IF(OR(B22="BOTO",B22="NPI",B22="FF"),IF(102%+((E22-F22)/(E22))*0.4&gt;105%,105%,IF(102%+((E22-F22)/(E22))*0.4&lt;72%,72%,102%+((E22-F22)/(E22))*0.4)),""))))))</f>
        <v/>
      </c>
      <c r="I22" s="11"/>
      <c r="J22" s="11"/>
      <c r="K22" s="11"/>
      <c r="M22" s="11"/>
      <c r="N22" s="11"/>
      <c r="O22" s="11"/>
      <c r="Q22" s="11"/>
      <c r="R22" s="11"/>
      <c r="S22" s="11"/>
      <c r="U22" s="11"/>
      <c r="V22" s="11"/>
      <c r="W22" s="11"/>
      <c r="Y22" s="11"/>
      <c r="Z22" s="11"/>
      <c r="AA22" s="11"/>
      <c r="AC22" s="11"/>
      <c r="AD22" s="11"/>
      <c r="AE22" s="11"/>
      <c r="AG22" s="11"/>
      <c r="AH22" s="11"/>
      <c r="AI22" s="11"/>
      <c r="AK22" s="11"/>
      <c r="AL22" s="11"/>
      <c r="AM22" s="11"/>
      <c r="AO22" s="11"/>
      <c r="AP22" s="11"/>
      <c r="AQ22" s="11"/>
      <c r="AS22" s="11"/>
      <c r="AT22" s="11"/>
      <c r="AU22" s="11"/>
      <c r="AW22" s="11"/>
      <c r="AX22" s="11"/>
      <c r="AY22" s="11"/>
      <c r="BA22" s="11"/>
      <c r="BB22" s="11"/>
      <c r="BC22" s="11"/>
    </row>
    <row r="23" spans="1:55" x14ac:dyDescent="0.25">
      <c r="A23" s="200"/>
      <c r="B23" s="65" t="s">
        <v>131</v>
      </c>
      <c r="C23" s="13" t="s">
        <v>24</v>
      </c>
      <c r="D23" s="131" t="s">
        <v>144</v>
      </c>
      <c r="E23" s="15">
        <v>2</v>
      </c>
      <c r="F23" s="15" t="str">
        <f t="shared" si="6"/>
        <v/>
      </c>
      <c r="G23" s="14" t="str">
        <f>IF(OR(F23="",F23="NA"),"",IF(OR(C23="time",LEFT(C23,3)="DAY"),IF(OR(C23="DAY2",C23="time"),IF((92%-(F23-E23)/(1/10*100))&lt;70%,70%,IF(92%-(F23-E23)/(1/10*100)&gt;105%,105%,92%-(F23-E23)/(1/10*100))),IF(COUNT(E23)=1,IF((112%-(F23-E23)/(1/10*100))&lt;70%,70%,IF(112%-(F23-E23)/(1/10*100)&gt;105%,105%,112%-(F23-E23)/(1/10*100))))),IF(LEFT(C23,5)="month",IF(C23="month1",IF((112%-IF(F23="W1",0,IF(F23="W2",1,MATCH(F23,Sheet1!$A$2:$A$13,0)-MATCH(E23,Sheet1!$A$2:$A$13,0)+1))/(1/10*100))&lt;70%,70%,IF(112%-IF(F23="W1",0,IF(F23="W2",1,MATCH(F23,Sheet1!$A$2:$A$13,0)-MATCH(E23,Sheet1!$A$2:$A$13,0)+1))/(1/10*100)&gt;105%,105%,112%-IF(F23="W1",0,IF(F23="W2",1,MATCH(F23,Sheet1!$A$2:$A$13,0)-MATCH(E23,Sheet1!$A$2:$A$13,0)+1))/(1/10*100))),IF((92%-(IF(OR(F23="w1",F23="w2"),1,MATCH(F23,Sheet1!$A$2:$A$13,0))-MATCH(E23,Sheet1!$A$2:$A$13,0))/(1/10*100))&lt;70%,70%,IF(92%-(IF(OR(F23="w1",F23="w2"),1,MATCH(F23,Sheet1!$A$2:$A$13,0))-MATCH(E23,Sheet1!$A$2:$A$13,0))/(1/10*100)&gt;105%,105%,92%-(IF(OR(F23="w1",F23="w2"),1,MATCH(F23,Sheet1!$A$2:$A$13,0))-MATCH(E23,Sheet1!$A$2:$A$13,0))/(1/10*100)))),IF(MID(D23,3,1)="+",IF(E23&lt;100,IF(112%-(E23-F23)/(1/IF(E23&lt;4,(40/E23),10)*100)&gt;105%,105%,IF(112%-(E23-F23)/(1/IF(E23&lt;4,(40/E23),10)*100)&lt;=72%,72%,112%-(E23-F23)/(1/IF(E23&lt;4,(40/E23),10)*100))),IF(112%-(E23-F23)/E23*10&gt;105%,105%,IF(112%-(E23-F23)/E23*10&lt;72%,72%,112%-(E23-F23)/E23*10))),IF(MID(D23,3,1)="-",IF(92%+((E23-F23)/(E23))*0.4&gt;105%,105%,IF(92%+((E23-F23)/(E23))*0.4&lt;72%,72%,92%+((E23-F23)/(E23))*0.4)),IF(OR(B23="BOTO",B23="NPI",B23="FF"),IF(102%+((E23-F23)/(E23))*0.4&gt;105%,105%,IF(102%+((E23-F23)/(E23))*0.4&lt;72%,72%,102%+((E23-F23)/(E23))*0.4)),""))))))</f>
        <v/>
      </c>
      <c r="I23" s="11"/>
      <c r="J23" s="11"/>
      <c r="K23" s="11"/>
      <c r="M23" s="11"/>
      <c r="N23" s="11"/>
      <c r="O23" s="11"/>
      <c r="Q23" s="11"/>
      <c r="R23" s="11"/>
      <c r="S23" s="11"/>
      <c r="U23" s="11"/>
      <c r="V23" s="11"/>
      <c r="W23" s="11"/>
      <c r="Y23" s="11"/>
      <c r="Z23" s="11"/>
      <c r="AA23" s="11"/>
      <c r="AC23" s="11"/>
      <c r="AD23" s="11"/>
      <c r="AE23" s="11"/>
      <c r="AG23" s="11"/>
      <c r="AH23" s="11"/>
      <c r="AI23" s="11"/>
      <c r="AK23" s="11"/>
      <c r="AL23" s="11"/>
      <c r="AM23" s="11"/>
      <c r="AO23" s="11"/>
      <c r="AP23" s="11"/>
      <c r="AQ23" s="11"/>
      <c r="AS23" s="11"/>
      <c r="AT23" s="11"/>
      <c r="AU23" s="11"/>
      <c r="AW23" s="11"/>
      <c r="AX23" s="11"/>
      <c r="AY23" s="11"/>
      <c r="BA23" s="11"/>
      <c r="BB23" s="11"/>
      <c r="BC23" s="11"/>
    </row>
    <row r="24" spans="1:55" x14ac:dyDescent="0.25">
      <c r="A24" s="200"/>
      <c r="B24" s="65" t="s">
        <v>129</v>
      </c>
      <c r="C24" s="13" t="s">
        <v>24</v>
      </c>
      <c r="D24" s="131" t="s">
        <v>144</v>
      </c>
      <c r="E24" s="15">
        <v>2</v>
      </c>
      <c r="F24" s="15" t="str">
        <f t="shared" ref="F24" si="7">IF(AND(I24="NA",M24="NA",Q24="NA",U24="NA",Y24="NA",AC24="NA",AG24="NA",AK24="NA",AO24="NA",AS24="NA",AW24="NA",BA24="NA"),"NA",IF(AND(I24="",M24="",Q24="",U24="",Y24="",AC24="",AG24="",AK24="",AO24="",AS24="",AW24="",BA24=""),"",IF(OR(C24="MONTH",LEFT(B24,5)="AUDIT"),IF(OR(I24="NA",I24=""),IF(OR(M24="NA",M24=""),IF(OR(Q24="NA",Q24=""),IF(OR(U24="NA",U24=""),IF(OR(Y24="NA",Y24=""),IF(OR(AC24="NA",AC24=""),IF(OR(AG24="NA",AG24=""),IF(OR(AK24="NA",AK24=""),IF(OR(AO24="NA",AO24=""),IF(OR(AS24="NA",AS24=""),IF(OR(AW24="NA",AW24=""),IF(OR(BA24="NA",BA24=""),"",BA24),AW24),AS24),AO24),AK24),AG24),AC24),Y24),U24),Q24),M24),I24),IFERROR(IF(OR(C24="BCM",C24="TON",C24="EVENT",C24="RP",C24="QTY",C24="EVENT",C24="KARYAWAN"),IF(COUNT(I24,M24,Q24,U24,Y24,AC24,AG24,AK24,AO24,AS24,AW24,BA24)&gt;0,SUM(I24,M24,Q24,U24,Y24,AC24,AG24,AK24,AO24,AS24,AW24,BA24),""),AVERAGE(I24,M24,Q24,U24,Y24,AC24,AG24,AK24,AO24,AS24,AW24,BA24)),""))))</f>
        <v/>
      </c>
      <c r="G24" s="14" t="str">
        <f>IF(OR(F24="",F24="NA"),"",IF(OR(C24="time",LEFT(C24,3)="DAY"),IF(OR(C24="DAY2",C24="time"),IF((92%-(F24-E24)/(1/10*100))&lt;70%,70%,IF(92%-(F24-E24)/(1/10*100)&gt;105%,105%,92%-(F24-E24)/(1/10*100))),IF(COUNT(E24)=1,IF((112%-(F24-E24)/(1/10*100))&lt;70%,70%,IF(112%-(F24-E24)/(1/10*100)&gt;105%,105%,112%-(F24-E24)/(1/10*100))))),IF(LEFT(C24,5)="month",IF(C24="month1",IF((112%-IF(F24="W1",0,IF(F24="W2",1,MATCH(F24,Sheet1!$A$2:$A$13,0)-MATCH(E24,Sheet1!$A$2:$A$13,0)+1))/(1/10*100))&lt;70%,70%,IF(112%-IF(F24="W1",0,IF(F24="W2",1,MATCH(F24,Sheet1!$A$2:$A$13,0)-MATCH(E24,Sheet1!$A$2:$A$13,0)+1))/(1/10*100)&gt;105%,105%,112%-IF(F24="W1",0,IF(F24="W2",1,MATCH(F24,Sheet1!$A$2:$A$13,0)-MATCH(E24,Sheet1!$A$2:$A$13,0)+1))/(1/10*100))),IF((92%-(IF(OR(F24="w1",F24="w2"),1,MATCH(F24,Sheet1!$A$2:$A$13,0))-MATCH(E24,Sheet1!$A$2:$A$13,0))/(1/10*100))&lt;70%,70%,IF(92%-(IF(OR(F24="w1",F24="w2"),1,MATCH(F24,Sheet1!$A$2:$A$13,0))-MATCH(E24,Sheet1!$A$2:$A$13,0))/(1/10*100)&gt;105%,105%,92%-(IF(OR(F24="w1",F24="w2"),1,MATCH(F24,Sheet1!$A$2:$A$13,0))-MATCH(E24,Sheet1!$A$2:$A$13,0))/(1/10*100)))),IF(MID(D24,3,1)="+",IF(E24&lt;100,IF(112%-(E24-F24)/(1/IF(E24&lt;4,(40/E24),10)*100)&gt;105%,105%,IF(112%-(E24-F24)/(1/IF(E24&lt;4,(40/E24),10)*100)&lt;=72%,72%,112%-(E24-F24)/(1/IF(E24&lt;4,(40/E24),10)*100))),IF(112%-(E24-F24)/E24*10&gt;105%,105%,IF(112%-(E24-F24)/E24*10&lt;72%,72%,112%-(E24-F24)/E24*10))),IF(MID(D24,3,1)="-",IF(92%+((E24-F24)/(E24))*0.4&gt;105%,105%,IF(92%+((E24-F24)/(E24))*0.4&lt;72%,72%,92%+((E24-F24)/(E24))*0.4)),IF(OR(B24="BOTO",B24="NPI",B24="FF"),IF(102%+((E24-F24)/(E24))*0.4&gt;105%,105%,IF(102%+((E24-F24)/(E24))*0.4&lt;72%,72%,102%+((E24-F24)/(E24))*0.4)),""))))))</f>
        <v/>
      </c>
      <c r="I24" s="11"/>
      <c r="J24" s="11"/>
      <c r="K24" s="11"/>
      <c r="M24" s="11"/>
      <c r="N24" s="11"/>
      <c r="O24" s="11"/>
      <c r="Q24" s="11"/>
      <c r="R24" s="11"/>
      <c r="S24" s="11"/>
      <c r="U24" s="11"/>
      <c r="V24" s="11"/>
      <c r="W24" s="11"/>
      <c r="Y24" s="11"/>
      <c r="Z24" s="11"/>
      <c r="AA24" s="11"/>
      <c r="AC24" s="11"/>
      <c r="AD24" s="11"/>
      <c r="AE24" s="11"/>
      <c r="AG24" s="11"/>
      <c r="AH24" s="11"/>
      <c r="AI24" s="11"/>
      <c r="AK24" s="11"/>
      <c r="AL24" s="11"/>
      <c r="AM24" s="11"/>
      <c r="AO24" s="11"/>
      <c r="AP24" s="11"/>
      <c r="AQ24" s="11"/>
      <c r="AS24" s="11"/>
      <c r="AT24" s="11"/>
      <c r="AU24" s="11"/>
      <c r="AW24" s="11"/>
      <c r="AX24" s="11"/>
      <c r="AY24" s="11"/>
      <c r="BA24" s="11"/>
      <c r="BB24" s="11"/>
      <c r="BC24" s="11"/>
    </row>
    <row r="25" spans="1:55" x14ac:dyDescent="0.25">
      <c r="A25" s="200"/>
      <c r="B25" s="65" t="s">
        <v>130</v>
      </c>
      <c r="C25" s="13" t="s">
        <v>24</v>
      </c>
      <c r="D25" s="131" t="s">
        <v>144</v>
      </c>
      <c r="E25" s="15">
        <v>2</v>
      </c>
      <c r="F25" s="15" t="str">
        <f t="shared" ref="F25" si="8">IF(AND(I25="NA",M25="NA",Q25="NA",U25="NA",Y25="NA",AC25="NA",AG25="NA",AK25="NA",AO25="NA",AS25="NA",AW25="NA",BA25="NA"),"NA",IF(AND(I25="",M25="",Q25="",U25="",Y25="",AC25="",AG25="",AK25="",AO25="",AS25="",AW25="",BA25=""),"",IF(OR(C25="MONTH",LEFT(B25,5)="AUDIT"),IF(OR(I25="NA",I25=""),IF(OR(M25="NA",M25=""),IF(OR(Q25="NA",Q25=""),IF(OR(U25="NA",U25=""),IF(OR(Y25="NA",Y25=""),IF(OR(AC25="NA",AC25=""),IF(OR(AG25="NA",AG25=""),IF(OR(AK25="NA",AK25=""),IF(OR(AO25="NA",AO25=""),IF(OR(AS25="NA",AS25=""),IF(OR(AW25="NA",AW25=""),IF(OR(BA25="NA",BA25=""),"",BA25),AW25),AS25),AO25),AK25),AG25),AC25),Y25),U25),Q25),M25),I25),IFERROR(IF(OR(C25="BCM",C25="TON",C25="EVENT",C25="RP",C25="QTY",C25="EVENT",C25="KARYAWAN"),IF(COUNT(I25,M25,Q25,U25,Y25,AC25,AG25,AK25,AO25,AS25,AW25,BA25)&gt;0,SUM(I25,M25,Q25,U25,Y25,AC25,AG25,AK25,AO25,AS25,AW25,BA25),""),AVERAGE(I25,M25,Q25,U25,Y25,AC25,AG25,AK25,AO25,AS25,AW25,BA25)),""))))</f>
        <v/>
      </c>
      <c r="G25" s="14" t="str">
        <f>IF(OR(F25="",F25="NA"),"",IF(OR(C25="time",LEFT(C25,3)="DAY"),IF(OR(C25="DAY2",C25="time"),IF((92%-(F25-E25)/(1/10*100))&lt;70%,70%,IF(92%-(F25-E25)/(1/10*100)&gt;105%,105%,92%-(F25-E25)/(1/10*100))),IF(COUNT(E25)=1,IF((112%-(F25-E25)/(1/10*100))&lt;70%,70%,IF(112%-(F25-E25)/(1/10*100)&gt;105%,105%,112%-(F25-E25)/(1/10*100))))),IF(LEFT(C25,5)="month",IF(C25="month1",IF((112%-IF(F25="W1",0,IF(F25="W2",1,MATCH(F25,Sheet1!$A$2:$A$13,0)-MATCH(E25,Sheet1!$A$2:$A$13,0)+1))/(1/10*100))&lt;70%,70%,IF(112%-IF(F25="W1",0,IF(F25="W2",1,MATCH(F25,Sheet1!$A$2:$A$13,0)-MATCH(E25,Sheet1!$A$2:$A$13,0)+1))/(1/10*100)&gt;105%,105%,112%-IF(F25="W1",0,IF(F25="W2",1,MATCH(F25,Sheet1!$A$2:$A$13,0)-MATCH(E25,Sheet1!$A$2:$A$13,0)+1))/(1/10*100))),IF((92%-(IF(OR(F25="w1",F25="w2"),1,MATCH(F25,Sheet1!$A$2:$A$13,0))-1)/(1/10*100))&lt;70%,70%,IF(92%-(IF(OR(F25="w1",F25="w2"),1,MATCH(F25,Sheet1!$A$2:$A$13,0))-1)/(1/10*100)&gt;105%,105%,92%-(IF(OR(F25="w1",F25="w2"),1,MATCH(F25,Sheet1!$A$2:$A$13,0))-1)/(1/10*100)))),IF(MID(D25,3,1)="+",IF(E25&lt;100,IF(112%-(E25-F25)/(1/IF(E25&lt;4,(40/E25),10)*100)&gt;105%,105%,IF(112%-(E25-F25)/(1/IF(E25&lt;4,(40/E25),10)*100)&lt;=72%,72%,112%-(E25-F25)/(1/IF(E25&lt;4,(40/E25),10)*100))),IF(112%-(E25-F25)/E25*10&gt;105%,105%,IF(112%-(E25-F25)/E25*10&lt;72%,72%,112%-(E25-F25)/E25*10))),IF(MID(D25,3,1)="-",IF(92%+((E25-F25)/(E25))*0.4&gt;105%,105%,IF(92%+((E25-F25)/(E25))*0.4&lt;72%,72%,92%+((E25-F25)/(E25))*0.4)),IF(OR(B25="BOTO",B25="NPI",B25="FF"),IF(102%+((E25-F25)/(E25))*0.4&gt;105%,105%,IF(102%+((E25-F25)/(E25))*0.4&lt;72%,72%,102%+((E25-F25)/(E25))*0.4)),""))))))</f>
        <v/>
      </c>
      <c r="I25" s="11"/>
      <c r="J25" s="11"/>
      <c r="K25" s="11"/>
      <c r="M25" s="11"/>
      <c r="N25" s="11"/>
      <c r="O25" s="11"/>
      <c r="Q25" s="11"/>
      <c r="R25" s="11"/>
      <c r="S25" s="11"/>
      <c r="U25" s="11"/>
      <c r="V25" s="11"/>
      <c r="W25" s="11"/>
      <c r="Y25" s="11"/>
      <c r="Z25" s="11"/>
      <c r="AA25" s="11"/>
      <c r="AC25" s="11"/>
      <c r="AD25" s="11"/>
      <c r="AE25" s="11"/>
      <c r="AG25" s="11"/>
      <c r="AH25" s="11"/>
      <c r="AI25" s="11"/>
      <c r="AK25" s="11"/>
      <c r="AL25" s="11"/>
      <c r="AM25" s="11"/>
      <c r="AO25" s="11"/>
      <c r="AP25" s="11"/>
      <c r="AQ25" s="11"/>
      <c r="AS25" s="11"/>
      <c r="AT25" s="11"/>
      <c r="AU25" s="11"/>
      <c r="AW25" s="11"/>
      <c r="AX25" s="11"/>
      <c r="AY25" s="11"/>
      <c r="BA25" s="11"/>
      <c r="BB25" s="11"/>
      <c r="BC25" s="11"/>
    </row>
    <row r="26" spans="1:55" ht="30" x14ac:dyDescent="0.25">
      <c r="A26" s="200"/>
      <c r="B26" s="12" t="s">
        <v>80</v>
      </c>
      <c r="C26" s="13" t="s">
        <v>101</v>
      </c>
      <c r="D26" s="131" t="s">
        <v>142</v>
      </c>
      <c r="E26" s="15">
        <v>135</v>
      </c>
      <c r="F26" s="15" t="str">
        <f t="shared" si="5"/>
        <v/>
      </c>
      <c r="G26" s="14" t="str">
        <f>IF(OR(F26="",F26="NA"),"",IF(OR(C26="time",LEFT(C26,3)="DAY"),IF(OR(C26="DAY2",C26="time"),IF((92%-(F26-E26)/(1/10*100))&lt;70%,70%,IF(92%-(F26-E26)/(1/10*100)&gt;105%,105%,92%-(F26-E26)/(1/10*100))),IF(COUNT(E26)=1,IF((112%-(F26-E26)/(1/10*100))&lt;70%,70%,IF(112%-(F26-E26)/(1/10*100)&gt;105%,105%,112%-(F26-E26)/(1/10*100))))),IF(LEFT(C26,5)="month",IF(C26="month1",IF((112%-IF(F26="W1",0,IF(F26="W2",1,MATCH(F26,Sheet1!$A$2:$A$13,0)-MATCH(E26,Sheet1!$A$2:$A$13,0)+1))/(1/10*100))&lt;70%,70%,IF(112%-IF(F26="W1",0,IF(F26="W2",1,MATCH(F26,Sheet1!$A$2:$A$13,0)-MATCH(E26,Sheet1!$A$2:$A$13,0)+1))/(1/10*100)&gt;105%,105%,112%-IF(F26="W1",0,IF(F26="W2",1,MATCH(F26,Sheet1!$A$2:$A$13,0)-MATCH(E26,Sheet1!$A$2:$A$13,0)+1))/(1/10*100))),IF((92%-(IF(OR(F26="w1",F26="w2"),1,MATCH(F26,Sheet1!$A$2:$A$13,0))-1)/(1/10*100))&lt;70%,70%,IF(92%-(IF(OR(F26="w1",F26="w2"),1,MATCH(F26,Sheet1!$A$2:$A$13,0))-1)/(1/10*100)&gt;105%,105%,92%-(IF(OR(F26="w1",F26="w2"),1,MATCH(F26,Sheet1!$A$2:$A$13,0))-1)/(1/10*100)))),IF(MID(D26,3,1)="+",IF(E26&lt;100,IF(112%-(E26-F26)/(1/IF(E26&lt;4,(40/E26),10)*100)&gt;105%,105%,IF(112%-(E26-F26)/(1/IF(E26&lt;4,(40/E26),10)*100)&lt;=72%,72%,112%-(E26-F26)/(1/IF(E26&lt;4,(40/E26),10)*100))),IF(112%-(E26-F26)/E26*10&gt;105%,105%,IF(112%-(E26-F26)/E26*10&lt;72%,72%,112%-(E26-F26)/E26*10))),IF(MID(D26,3,1)="-",IF(92%+((E26-F26)/(E26))*0.4&gt;105%,105%,IF(92%+((E26-F26)/(E26))*0.4&lt;72%,72%,92%+((E26-F26)/(E26))*0.4)),IF(OR(B26="BOTO",B26="NPI",B26="FF"),IF(102%+((E26-F26)/(E26))*0.4&gt;105%,105%,IF(102%+((E26-F26)/(E26))*0.4&lt;72%,72%,102%+((E26-F26)/(E26))*0.4)),""))))))</f>
        <v/>
      </c>
      <c r="I26" s="11"/>
      <c r="J26" s="11"/>
      <c r="K26" s="11"/>
      <c r="M26" s="11"/>
      <c r="N26" s="11"/>
      <c r="O26" s="11"/>
      <c r="Q26" s="11"/>
      <c r="R26" s="11"/>
      <c r="S26" s="11"/>
      <c r="U26" s="11"/>
      <c r="V26" s="11"/>
      <c r="W26" s="11"/>
      <c r="Y26" s="11"/>
      <c r="Z26" s="11"/>
      <c r="AA26" s="11"/>
      <c r="AC26" s="11"/>
      <c r="AD26" s="11"/>
      <c r="AE26" s="11"/>
      <c r="AG26" s="11"/>
      <c r="AH26" s="11"/>
      <c r="AI26" s="11"/>
      <c r="AK26" s="11"/>
      <c r="AL26" s="11"/>
      <c r="AM26" s="11"/>
      <c r="AO26" s="11"/>
      <c r="AP26" s="11"/>
      <c r="AQ26" s="11"/>
      <c r="AS26" s="11"/>
      <c r="AT26" s="11"/>
      <c r="AU26" s="11"/>
      <c r="AW26" s="11"/>
      <c r="AX26" s="11"/>
      <c r="AY26" s="11"/>
      <c r="BA26" s="11"/>
      <c r="BB26" s="11"/>
      <c r="BC26" s="11"/>
    </row>
    <row r="27" spans="1:55" ht="15.75" thickBot="1" x14ac:dyDescent="0.3">
      <c r="A27" s="201"/>
      <c r="B27" s="31" t="s">
        <v>81</v>
      </c>
      <c r="C27" s="113" t="s">
        <v>165</v>
      </c>
      <c r="D27" s="110" t="s">
        <v>142</v>
      </c>
      <c r="E27" s="111">
        <v>3</v>
      </c>
      <c r="F27" s="34" t="str">
        <f t="shared" si="5"/>
        <v/>
      </c>
      <c r="G27" s="35" t="str">
        <f>IF(OR(F27="",F27="NA"),"",IF(OR(C27="time",LEFT(C27,3)="DAY"),IF(OR(C27="DAY2",C27="time"),IF((92%-(F27-E27)/(1/10*100))&lt;70%,70%,IF(92%-(F27-E27)/(1/10*100)&gt;105%,105%,92%-(F27-E27)/(1/10*100))),IF(COUNT(E27)=1,IF((112%-(F27-E27)/(1/10*100))&lt;70%,70%,IF(112%-(F27-E27)/(1/10*100)&gt;105%,105%,112%-(F27-E27)/(1/10*100))))),IF(LEFT(C27,5)="month",IF(C27="month1",IF((112%-IF(F27="W1",0,IF(F27="W2",1,MATCH(F27,Sheet1!$A$2:$A$13,0)-MATCH(E27,Sheet1!$A$2:$A$13,0)+1))/(1/10*100))&lt;70%,70%,IF(112%-IF(F27="W1",0,IF(F27="W2",1,MATCH(F27,Sheet1!$A$2:$A$13,0)-MATCH(E27,Sheet1!$A$2:$A$13,0)+1))/(1/10*100)&gt;105%,105%,112%-IF(F27="W1",0,IF(F27="W2",1,MATCH(F27,Sheet1!$A$2:$A$13,0)-MATCH(E27,Sheet1!$A$2:$A$13,0)+1))/(1/10*100))),IF((92%-(IF(OR(F27="w1",F27="w2"),1,MATCH(F27,Sheet1!$A$2:$A$13,0))-1)/(1/10*100))&lt;70%,70%,IF(92%-(IF(OR(F27="w1",F27="w2"),1,MATCH(F27,Sheet1!$A$2:$A$13,0))-1)/(1/10*100)&gt;105%,105%,92%-(IF(OR(F27="w1",F27="w2"),1,MATCH(F27,Sheet1!$A$2:$A$13,0))-1)/(1/10*100)))),IF(MID(D27,3,1)="+",IF(E27&lt;100,IF(112%-(E27-F27)/(1/IF(E27&lt;4,(40/E27),10)*100)&gt;105%,105%,IF(112%-(E27-F27)/(1/IF(E27&lt;4,(40/E27),10)*100)&lt;=72%,72%,112%-(E27-F27)/(1/IF(E27&lt;4,(40/E27),10)*100))),IF(112%-(E27-F27)/E27*10&gt;105%,105%,IF(112%-(E27-F27)/E27*10&lt;72%,72%,112%-(E27-F27)/E27*10))),IF(MID(D27,3,1)="-",IF(92%+((E27-F27)/(E27))*0.4&gt;105%,105%,IF(92%+((E27-F27)/(E27))*0.4&lt;72%,72%,92%+((E27-F27)/(E27))*0.4)),IF(OR(B27="BOTO",B27="NPI",B27="FF"),IF(102%+((E27-F27)/(E27))*0.4&gt;105%,105%,IF(102%+((E27-F27)/(E27))*0.4&lt;72%,72%,102%+((E27-F27)/(E27))*0.4)),""))))))</f>
        <v/>
      </c>
      <c r="I27" s="11"/>
      <c r="J27" s="11"/>
      <c r="K27" s="11"/>
      <c r="M27" s="11"/>
      <c r="N27" s="11"/>
      <c r="O27" s="11"/>
      <c r="Q27" s="11"/>
      <c r="R27" s="11"/>
      <c r="S27" s="11"/>
      <c r="U27" s="11"/>
      <c r="V27" s="11"/>
      <c r="W27" s="11"/>
      <c r="Y27" s="11"/>
      <c r="Z27" s="11"/>
      <c r="AA27" s="11"/>
      <c r="AC27" s="11"/>
      <c r="AD27" s="11"/>
      <c r="AE27" s="11"/>
      <c r="AG27" s="11"/>
      <c r="AH27" s="11"/>
      <c r="AI27" s="11"/>
      <c r="AK27" s="11"/>
      <c r="AL27" s="11"/>
      <c r="AM27" s="11"/>
      <c r="AO27" s="11"/>
      <c r="AP27" s="11"/>
      <c r="AQ27" s="11"/>
      <c r="AS27" s="11"/>
      <c r="AT27" s="11"/>
      <c r="AU27" s="11"/>
      <c r="AW27" s="11"/>
      <c r="AX27" s="11"/>
      <c r="AY27" s="11"/>
      <c r="BA27" s="11"/>
      <c r="BB27" s="11"/>
      <c r="BC27" s="11"/>
    </row>
    <row r="28" spans="1:55" ht="15" customHeight="1" x14ac:dyDescent="0.25">
      <c r="A28" s="208" t="s">
        <v>55</v>
      </c>
      <c r="B28" s="38" t="s">
        <v>82</v>
      </c>
      <c r="C28" s="8" t="s">
        <v>24</v>
      </c>
      <c r="D28" s="9" t="s">
        <v>144</v>
      </c>
      <c r="E28" s="16">
        <v>5</v>
      </c>
      <c r="F28" s="16" t="str">
        <f t="shared" si="5"/>
        <v/>
      </c>
      <c r="G28" s="107" t="str">
        <f>IF(OR(F28="",F28="NA"),"",IF(OR(C28="time",LEFT(C28,3)="DAY"),IF(OR(C28="DAY2",C28="time"),IF((92%-(F28-E28)/(1/10*100))&lt;70%,70%,IF(92%-(F28-E28)/(1/10*100)&gt;105%,105%,92%-(F28-E28)/(1/10*100))),IF(COUNT(E28)=1,IF((112%-(F28-E28)/(1/10*100))&lt;70%,70%,IF(112%-(F28-E28)/(1/10*100)&gt;105%,105%,112%-(F28-E28)/(1/10*100))))),IF(LEFT(C28,5)="month",IF(C28="month1",IF((112%-IF(F28="W1",0,IF(F28="W2",1,MATCH(F28,Sheet1!$A$2:$A$13,0)-MATCH(E28,Sheet1!$A$2:$A$13,0)+1))/(1/10*100))&lt;70%,70%,IF(112%-IF(F28="W1",0,IF(F28="W2",1,MATCH(F28,Sheet1!$A$2:$A$13,0)-MATCH(E28,Sheet1!$A$2:$A$13,0)+1))/(1/10*100)&gt;105%,105%,112%-IF(F28="W1",0,IF(F28="W2",1,MATCH(F28,Sheet1!$A$2:$A$13,0)-MATCH(E28,Sheet1!$A$2:$A$13,0)+1))/(1/10*100))),IF((92%-(IF(OR(F28="w1",F28="w2"),1,MATCH(F28,Sheet1!$A$2:$A$13,0))-1)/(1/10*100))&lt;70%,70%,IF(92%-(IF(OR(F28="w1",F28="w2"),1,MATCH(F28,Sheet1!$A$2:$A$13,0))-1)/(1/10*100)&gt;105%,105%,92%-(IF(OR(F28="w1",F28="w2"),1,MATCH(F28,Sheet1!$A$2:$A$13,0))-1)/(1/10*100)))),IF(MID(D28,3,1)="+",IF(E28&lt;100,IF(112%-(E28-F28)/(1/IF(E28&lt;4,(40/E28),10)*100)&gt;105%,105%,IF(112%-(E28-F28)/(1/IF(E28&lt;4,(40/E28),10)*100)&lt;=72%,72%,112%-(E28-F28)/(1/IF(E28&lt;4,(40/E28),10)*100))),IF(112%-(E28-F28)/E28*10&gt;105%,105%,IF(112%-(E28-F28)/E28*10&lt;72%,72%,112%-(E28-F28)/E28*10))),IF(MID(D28,3,1)="-",IF(92%+((E28-F28)/(E28))*0.4&gt;105%,105%,IF(92%+((E28-F28)/(E28))*0.4&lt;72%,72%,92%+((E28-F28)/(E28))*0.4)),IF(OR(B28="BOTO",B28="NPI",B28="FF"),IF(102%+((E28-F28)/(E28))*0.4&gt;105%,105%,IF(102%+((E28-F28)/(E28))*0.4&lt;72%,72%,102%+((E28-F28)/(E28))*0.4)),""))))))</f>
        <v/>
      </c>
      <c r="I28" s="11"/>
      <c r="J28" s="11"/>
      <c r="K28" s="11"/>
      <c r="M28" s="11"/>
      <c r="N28" s="11"/>
      <c r="O28" s="11"/>
      <c r="Q28" s="11"/>
      <c r="R28" s="11"/>
      <c r="S28" s="11"/>
      <c r="U28" s="11"/>
      <c r="V28" s="11"/>
      <c r="W28" s="11"/>
      <c r="Y28" s="11"/>
      <c r="Z28" s="11"/>
      <c r="AA28" s="11"/>
      <c r="AC28" s="11"/>
      <c r="AD28" s="11"/>
      <c r="AE28" s="11"/>
      <c r="AG28" s="11"/>
      <c r="AH28" s="11"/>
      <c r="AI28" s="11"/>
      <c r="AK28" s="11"/>
      <c r="AL28" s="11"/>
      <c r="AM28" s="11"/>
      <c r="AO28" s="11"/>
      <c r="AP28" s="11"/>
      <c r="AQ28" s="11"/>
      <c r="AS28" s="11"/>
      <c r="AT28" s="11"/>
      <c r="AU28" s="11"/>
      <c r="AW28" s="11"/>
      <c r="AX28" s="11"/>
      <c r="AY28" s="11"/>
      <c r="BA28" s="11"/>
      <c r="BB28" s="11"/>
      <c r="BC28" s="11"/>
    </row>
    <row r="29" spans="1:55" ht="15.75" thickBot="1" x14ac:dyDescent="0.3">
      <c r="A29" s="209"/>
      <c r="B29" s="108" t="s">
        <v>83</v>
      </c>
      <c r="C29" s="113" t="s">
        <v>24</v>
      </c>
      <c r="D29" s="110" t="s">
        <v>144</v>
      </c>
      <c r="E29" s="111">
        <v>1</v>
      </c>
      <c r="F29" s="111" t="str">
        <f t="shared" si="5"/>
        <v/>
      </c>
      <c r="G29" s="112" t="str">
        <f>IF(OR(F29="",F29="NA"),"",IF(OR(C29="time",LEFT(C29,3)="DAY"),IF(OR(C29="DAY2",C29="time"),IF((92%-(F29-E29)/(1/10*100))&lt;70%,70%,IF(92%-(F29-E29)/(1/10*100)&gt;105%,105%,92%-(F29-E29)/(1/10*100))),IF(COUNT(E29)=1,IF((112%-(F29-E29)/(1/10*100))&lt;70%,70%,IF(112%-(F29-E29)/(1/10*100)&gt;105%,105%,112%-(F29-E29)/(1/10*100))))),IF(LEFT(C29,5)="month",IF(C29="month1",IF((112%-IF(F29="W1",0,IF(F29="W2",1,MATCH(F29,Sheet1!$A$2:$A$13,0)-MATCH(E29,Sheet1!$A$2:$A$13,0)+1))/(1/10*100))&lt;70%,70%,IF(112%-IF(F29="W1",0,IF(F29="W2",1,MATCH(F29,Sheet1!$A$2:$A$13,0)-MATCH(E29,Sheet1!$A$2:$A$13,0)+1))/(1/10*100)&gt;105%,105%,112%-IF(F29="W1",0,IF(F29="W2",1,MATCH(F29,Sheet1!$A$2:$A$13,0)-MATCH(E29,Sheet1!$A$2:$A$13,0)+1))/(1/10*100))),IF((92%-(IF(OR(F29="w1",F29="w2"),1,MATCH(F29,Sheet1!$A$2:$A$13,0))-1)/(1/10*100))&lt;70%,70%,IF(92%-(IF(OR(F29="w1",F29="w2"),1,MATCH(F29,Sheet1!$A$2:$A$13,0))-1)/(1/10*100)&gt;105%,105%,92%-(IF(OR(F29="w1",F29="w2"),1,MATCH(F29,Sheet1!$A$2:$A$13,0))-1)/(1/10*100)))),IF(MID(D29,3,1)="+",IF(E29&lt;100,IF(112%-(E29-F29)/(1/IF(E29&lt;4,(40/E29),10)*100)&gt;105%,105%,IF(112%-(E29-F29)/(1/IF(E29&lt;4,(40/E29),10)*100)&lt;=72%,72%,112%-(E29-F29)/(1/IF(E29&lt;4,(40/E29),10)*100))),IF(112%-(E29-F29)/E29*10&gt;105%,105%,IF(112%-(E29-F29)/E29*10&lt;72%,72%,112%-(E29-F29)/E29*10))),IF(MID(D29,3,1)="-",IF(92%+((E29-F29)/(E29))*0.4&gt;105%,105%,IF(92%+((E29-F29)/(E29))*0.4&lt;72%,72%,92%+((E29-F29)/(E29))*0.4)),IF(OR(B29="BOTO",B29="NPI",B29="FF"),IF(102%+((E29-F29)/(E29))*0.4&gt;105%,105%,IF(102%+((E29-F29)/(E29))*0.4&lt;72%,72%,102%+((E29-F29)/(E29))*0.4)),""))))))</f>
        <v/>
      </c>
      <c r="I29" s="11"/>
      <c r="J29" s="11"/>
      <c r="K29" s="11"/>
      <c r="M29" s="11"/>
      <c r="N29" s="11"/>
      <c r="O29" s="11"/>
      <c r="Q29" s="11"/>
      <c r="R29" s="11"/>
      <c r="S29" s="11"/>
      <c r="U29" s="11"/>
      <c r="V29" s="11"/>
      <c r="W29" s="11"/>
      <c r="Y29" s="11"/>
      <c r="Z29" s="11"/>
      <c r="AA29" s="11"/>
      <c r="AC29" s="11"/>
      <c r="AD29" s="11"/>
      <c r="AE29" s="11"/>
      <c r="AG29" s="11"/>
      <c r="AH29" s="11"/>
      <c r="AI29" s="11"/>
      <c r="AK29" s="11"/>
      <c r="AL29" s="11"/>
      <c r="AM29" s="11"/>
      <c r="AO29" s="11"/>
      <c r="AP29" s="11"/>
      <c r="AQ29" s="11"/>
      <c r="AS29" s="11"/>
      <c r="AT29" s="11"/>
      <c r="AU29" s="11"/>
      <c r="AW29" s="11"/>
      <c r="AX29" s="11"/>
      <c r="AY29" s="11"/>
      <c r="BA29" s="11"/>
      <c r="BB29" s="11"/>
      <c r="BC29" s="11"/>
    </row>
    <row r="30" spans="1:55" x14ac:dyDescent="0.25">
      <c r="A30" s="1"/>
      <c r="B30" s="2"/>
      <c r="C30" s="2"/>
      <c r="D30" s="2"/>
      <c r="E30" s="2"/>
      <c r="F30" s="2"/>
      <c r="G30" s="3"/>
    </row>
    <row r="31" spans="1:55" ht="15.75" thickBot="1" x14ac:dyDescent="0.3">
      <c r="A31" s="1"/>
      <c r="B31" s="2"/>
      <c r="C31" s="2"/>
      <c r="D31" s="2"/>
      <c r="E31" s="2"/>
      <c r="F31" s="2"/>
      <c r="G31" s="3"/>
    </row>
    <row r="32" spans="1:55" ht="15.75" thickBot="1" x14ac:dyDescent="0.3">
      <c r="A32" s="210" t="s">
        <v>25</v>
      </c>
      <c r="B32" s="211"/>
      <c r="C32" s="211"/>
      <c r="D32" s="211"/>
      <c r="E32" s="211"/>
      <c r="F32" s="212"/>
      <c r="G32" s="3"/>
    </row>
    <row r="33" spans="1:7" ht="30" customHeight="1" thickBot="1" x14ac:dyDescent="0.3">
      <c r="A33" s="4" t="s">
        <v>15</v>
      </c>
      <c r="B33" s="40" t="s">
        <v>52</v>
      </c>
      <c r="C33" s="41" t="s">
        <v>53</v>
      </c>
      <c r="D33" s="41" t="s">
        <v>54</v>
      </c>
      <c r="E33" s="192" t="s">
        <v>55</v>
      </c>
      <c r="F33" s="193"/>
      <c r="G33" s="3"/>
    </row>
    <row r="34" spans="1:7" x14ac:dyDescent="0.25">
      <c r="A34" s="21" t="s">
        <v>26</v>
      </c>
      <c r="B34" s="72" t="str">
        <f>IFERROR(AVERAGE(G11:G15),"")</f>
        <v/>
      </c>
      <c r="C34" s="73" t="str">
        <f>IFERROR(AVERAGE(G16:G16),"")</f>
        <v/>
      </c>
      <c r="D34" s="73" t="str">
        <f>IFERROR(AVERAGE(G17:G27),"")</f>
        <v/>
      </c>
      <c r="E34" s="206" t="str">
        <f>IFERROR(AVERAGE(G28:G29),"")</f>
        <v/>
      </c>
      <c r="F34" s="207"/>
      <c r="G34" s="3"/>
    </row>
    <row r="35" spans="1:7" x14ac:dyDescent="0.25">
      <c r="A35" s="74" t="s">
        <v>19</v>
      </c>
      <c r="B35" s="42">
        <f>IF(F5="Foreman/Officer",30%,20%)</f>
        <v>0.3</v>
      </c>
      <c r="C35" s="43">
        <f>IF(F5="MANAGER",30%,20%)</f>
        <v>0.2</v>
      </c>
      <c r="D35" s="43">
        <f>IF(F5="Foreman/Officer",20%,30%)</f>
        <v>0.2</v>
      </c>
      <c r="E35" s="202">
        <f>IF(F5="MANAGER",20%,30%)</f>
        <v>0.3</v>
      </c>
      <c r="F35" s="203"/>
      <c r="G35" s="3"/>
    </row>
    <row r="36" spans="1:7" ht="15.75" thickBot="1" x14ac:dyDescent="0.3">
      <c r="A36" s="75" t="s">
        <v>27</v>
      </c>
      <c r="B36" s="70" t="str">
        <f>IFERROR(B35*B34,"")</f>
        <v/>
      </c>
      <c r="C36" s="71" t="str">
        <f t="shared" ref="C36" si="9">IFERROR(C35*C34,"")</f>
        <v/>
      </c>
      <c r="D36" s="71" t="str">
        <f>IFERROR(D35*D34,"")</f>
        <v/>
      </c>
      <c r="E36" s="204" t="str">
        <f>IFERROR(E35*E34,"")</f>
        <v/>
      </c>
      <c r="F36" s="205"/>
      <c r="G36" s="3"/>
    </row>
    <row r="37" spans="1:7" x14ac:dyDescent="0.25">
      <c r="A37" s="76" t="s">
        <v>28</v>
      </c>
      <c r="B37" s="180">
        <f>SUM(B36:F36)</f>
        <v>0</v>
      </c>
      <c r="C37" s="181"/>
      <c r="D37" s="181"/>
      <c r="E37" s="181"/>
      <c r="F37" s="182"/>
      <c r="G37" s="3"/>
    </row>
    <row r="38" spans="1:7" ht="15.75" thickBot="1" x14ac:dyDescent="0.3">
      <c r="A38" s="25" t="s">
        <v>29</v>
      </c>
      <c r="B38" s="183" t="str">
        <f>IF(B37&gt;105%,"OUTSTANDING",IF(AND(B37&gt;100%,B37&lt;=105%),"EXCEED",IF(AND(B37&gt;90%,B37&lt;=100%),"MEET EXPECTATION",IF(AND(B37&gt;=75%,B37&lt;=89%),"NEED IMPROVEMENT",IF(B37&lt;75%,"FAILED","")))))</f>
        <v>FAILED</v>
      </c>
      <c r="C38" s="184"/>
      <c r="D38" s="184"/>
      <c r="E38" s="184"/>
      <c r="F38" s="185"/>
      <c r="G38" s="3"/>
    </row>
    <row r="39" spans="1:7" ht="15.75" thickBot="1" x14ac:dyDescent="0.3">
      <c r="A39" s="1"/>
      <c r="B39" s="2"/>
      <c r="C39" s="2"/>
      <c r="D39" s="2"/>
      <c r="E39" s="2"/>
      <c r="F39" s="2"/>
      <c r="G39" s="3"/>
    </row>
    <row r="40" spans="1:7" ht="15.75" thickBot="1" x14ac:dyDescent="0.3">
      <c r="A40" s="159" t="s">
        <v>56</v>
      </c>
      <c r="B40" s="160"/>
      <c r="C40" s="160"/>
      <c r="D40" s="160"/>
      <c r="E40" s="160"/>
      <c r="F40" s="191"/>
      <c r="G40" s="3"/>
    </row>
    <row r="41" spans="1:7" ht="15.75" thickBot="1" x14ac:dyDescent="0.3">
      <c r="A41" s="77" t="s">
        <v>15</v>
      </c>
      <c r="B41" s="40" t="s">
        <v>57</v>
      </c>
      <c r="C41" s="41" t="s">
        <v>17</v>
      </c>
      <c r="D41" s="41" t="s">
        <v>19</v>
      </c>
      <c r="E41" s="192" t="s">
        <v>29</v>
      </c>
      <c r="F41" s="193"/>
      <c r="G41" s="3"/>
    </row>
    <row r="42" spans="1:7" ht="26.25" customHeight="1" thickBot="1" x14ac:dyDescent="0.3">
      <c r="A42" s="78" t="s">
        <v>58</v>
      </c>
      <c r="B42" s="45" t="s">
        <v>59</v>
      </c>
      <c r="C42" s="46" t="s">
        <v>23</v>
      </c>
      <c r="D42" s="47">
        <v>1</v>
      </c>
      <c r="E42" s="194" t="str">
        <f>IF(D42&gt;105%,"OUTSTANDING",IF(AND(D42&gt;100%,D42&lt;=105%),"EXCEED",IF(AND(D42&gt;=90%,D42&lt;=100%),"MEET EXPECTATION",IF(AND(D42&gt;=75%,D42&lt;90%),"NEED IMPROVEMENT",IF(D42&lt;75%,"FAILED","")))))</f>
        <v>MEET EXPECTATION</v>
      </c>
      <c r="F42" s="195"/>
      <c r="G42" s="3"/>
    </row>
    <row r="43" spans="1:7" ht="15.75" thickBot="1" x14ac:dyDescent="0.3">
      <c r="A43" s="1"/>
      <c r="B43" s="2"/>
      <c r="C43" s="2"/>
      <c r="D43" s="2"/>
      <c r="E43" s="2"/>
      <c r="F43" s="2"/>
      <c r="G43" s="3"/>
    </row>
    <row r="44" spans="1:7" ht="15.75" thickBot="1" x14ac:dyDescent="0.3">
      <c r="A44" s="196" t="s">
        <v>60</v>
      </c>
      <c r="B44" s="197"/>
      <c r="C44" s="197"/>
      <c r="D44" s="197"/>
      <c r="E44" s="198"/>
      <c r="F44" s="2"/>
      <c r="G44" s="3"/>
    </row>
    <row r="45" spans="1:7" x14ac:dyDescent="0.25">
      <c r="A45" s="79" t="s">
        <v>15</v>
      </c>
      <c r="B45" s="44" t="s">
        <v>57</v>
      </c>
      <c r="C45" s="48" t="s">
        <v>61</v>
      </c>
      <c r="D45" s="44" t="s">
        <v>26</v>
      </c>
      <c r="E45" s="52" t="s">
        <v>62</v>
      </c>
      <c r="F45" s="2"/>
      <c r="G45" s="3"/>
    </row>
    <row r="46" spans="1:7" ht="15.75" thickBot="1" x14ac:dyDescent="0.3">
      <c r="A46" s="80" t="s">
        <v>63</v>
      </c>
      <c r="B46" s="49" t="s">
        <v>64</v>
      </c>
      <c r="C46" s="50">
        <v>1</v>
      </c>
      <c r="D46" s="51">
        <f>IF(F5="Foreman/Officer",30%,IF(F5="Section Head/SPV",40%,IF(F5="Dept. Head",60%,IF(F5="MANAGER",70%,""))))</f>
        <v>0.3</v>
      </c>
      <c r="E46" s="53">
        <f>C46*D46</f>
        <v>0.3</v>
      </c>
      <c r="F46" s="2"/>
      <c r="G46" s="3"/>
    </row>
    <row r="47" spans="1:7" ht="15.75" thickBot="1" x14ac:dyDescent="0.3">
      <c r="A47" s="1"/>
      <c r="B47" s="2"/>
      <c r="C47" s="2"/>
      <c r="D47" s="2"/>
      <c r="E47" s="2"/>
      <c r="F47" s="2"/>
      <c r="G47" s="3"/>
    </row>
    <row r="48" spans="1:7" ht="15.75" thickBot="1" x14ac:dyDescent="0.3">
      <c r="A48" s="190" t="s">
        <v>65</v>
      </c>
      <c r="B48" s="160"/>
      <c r="C48" s="160"/>
      <c r="D48" s="160"/>
      <c r="E48" s="160"/>
      <c r="F48" s="160"/>
      <c r="G48" s="191"/>
    </row>
    <row r="49" spans="1:7" ht="15.75" thickBot="1" x14ac:dyDescent="0.3">
      <c r="A49" s="190" t="s">
        <v>66</v>
      </c>
      <c r="B49" s="160"/>
      <c r="C49" s="160"/>
      <c r="D49" s="160"/>
      <c r="E49" s="160"/>
      <c r="F49" s="160"/>
      <c r="G49" s="191"/>
    </row>
    <row r="50" spans="1:7" ht="15.75" thickBot="1" x14ac:dyDescent="0.3">
      <c r="A50" s="186" t="s">
        <v>67</v>
      </c>
      <c r="B50" s="187"/>
      <c r="C50" s="88" t="s">
        <v>19</v>
      </c>
      <c r="D50" s="89" t="s">
        <v>26</v>
      </c>
      <c r="E50" s="90" t="s">
        <v>68</v>
      </c>
      <c r="F50" s="188" t="s">
        <v>69</v>
      </c>
      <c r="G50" s="189"/>
    </row>
    <row r="51" spans="1:7" x14ac:dyDescent="0.25">
      <c r="A51" s="162" t="s">
        <v>52</v>
      </c>
      <c r="B51" s="163"/>
      <c r="C51" s="85">
        <f>B37</f>
        <v>0</v>
      </c>
      <c r="D51" s="86">
        <f>IF(F5="Foreman/Officer",70%,IF(F5="Section Head/SPV",60%,IF(F5="Dept. Head",40%,IF(F5="MANAGER",30%,""))))</f>
        <v>0.7</v>
      </c>
      <c r="E51" s="87">
        <f>C51*D51</f>
        <v>0</v>
      </c>
      <c r="F51" s="166">
        <f>E51+E52</f>
        <v>0.3</v>
      </c>
      <c r="G51" s="167"/>
    </row>
    <row r="52" spans="1:7" ht="15.75" thickBot="1" x14ac:dyDescent="0.3">
      <c r="A52" s="164" t="s">
        <v>70</v>
      </c>
      <c r="B52" s="165"/>
      <c r="C52" s="84">
        <f>C46</f>
        <v>1</v>
      </c>
      <c r="D52" s="54">
        <f>IF(F5="Foreman/Officer",30%,IF(F5="Section Head/SPV",40%,IF(F5="Dept. Head",60%,IF(F5="MANAGER",70%,""))))</f>
        <v>0.3</v>
      </c>
      <c r="E52" s="55">
        <f>C52*D52</f>
        <v>0.3</v>
      </c>
      <c r="F52" s="168"/>
      <c r="G52" s="169"/>
    </row>
    <row r="53" spans="1:7" ht="15.75" thickBot="1" x14ac:dyDescent="0.3">
      <c r="A53" s="1"/>
      <c r="B53" s="2"/>
      <c r="C53" s="2"/>
      <c r="D53" s="2"/>
      <c r="E53" s="2"/>
      <c r="F53" s="2"/>
      <c r="G53" s="3"/>
    </row>
    <row r="54" spans="1:7" ht="15.75" thickBot="1" x14ac:dyDescent="0.3">
      <c r="A54" s="159" t="s">
        <v>71</v>
      </c>
      <c r="B54" s="160"/>
      <c r="C54" s="160"/>
      <c r="D54" s="160"/>
      <c r="E54" s="160"/>
      <c r="F54" s="160"/>
      <c r="G54" s="161"/>
    </row>
    <row r="55" spans="1:7" ht="15.75" thickBot="1" x14ac:dyDescent="0.3">
      <c r="A55" s="81" t="s">
        <v>67</v>
      </c>
      <c r="B55" s="62" t="s">
        <v>19</v>
      </c>
      <c r="C55" s="63" t="s">
        <v>26</v>
      </c>
      <c r="D55" s="64" t="s">
        <v>62</v>
      </c>
      <c r="E55" s="91" t="s">
        <v>71</v>
      </c>
      <c r="F55" s="157" t="s">
        <v>29</v>
      </c>
      <c r="G55" s="158"/>
    </row>
    <row r="56" spans="1:7" ht="15" customHeight="1" x14ac:dyDescent="0.25">
      <c r="A56" s="82" t="s">
        <v>66</v>
      </c>
      <c r="B56" s="59">
        <f>F51</f>
        <v>0.3</v>
      </c>
      <c r="C56" s="60">
        <v>0.8</v>
      </c>
      <c r="D56" s="61">
        <f>B56*C56</f>
        <v>0.24</v>
      </c>
      <c r="E56" s="174">
        <f>D56+D57</f>
        <v>0.44</v>
      </c>
      <c r="F56" s="176" t="str">
        <f>IF(E56&gt;105%,"OUTSTANDING",IF(AND(E56&gt;100%,E56&lt;=105%),"EXCEED",IF(AND(E56&gt;=90%,E56&lt;=100%),"MEET EXPECTATION",IF(AND(E56&gt;=75%,E56&lt;90%),"NEED IMPROVEMENT",IF(E56&lt;75%,"FAILED","")))))</f>
        <v>FAILED</v>
      </c>
      <c r="G56" s="177"/>
    </row>
    <row r="57" spans="1:7" ht="15.75" thickBot="1" x14ac:dyDescent="0.3">
      <c r="A57" s="83" t="s">
        <v>58</v>
      </c>
      <c r="B57" s="58">
        <f>D42</f>
        <v>1</v>
      </c>
      <c r="C57" s="56">
        <v>0.2</v>
      </c>
      <c r="D57" s="57">
        <f>B57*C57</f>
        <v>0.2</v>
      </c>
      <c r="E57" s="175"/>
      <c r="F57" s="178"/>
      <c r="G57" s="179"/>
    </row>
    <row r="58" spans="1:7" ht="15.75" thickBot="1" x14ac:dyDescent="0.3">
      <c r="A58" s="1"/>
      <c r="B58" s="2"/>
      <c r="C58" s="2"/>
      <c r="D58" s="2"/>
      <c r="E58" s="2"/>
      <c r="F58" s="2"/>
      <c r="G58" s="3"/>
    </row>
    <row r="59" spans="1:7" ht="30.75" thickBot="1" x14ac:dyDescent="0.3">
      <c r="A59" s="4" t="s">
        <v>29</v>
      </c>
      <c r="B59" s="17" t="s">
        <v>30</v>
      </c>
      <c r="C59" s="18" t="s">
        <v>31</v>
      </c>
      <c r="D59" s="19" t="s">
        <v>32</v>
      </c>
      <c r="E59" s="19" t="s">
        <v>33</v>
      </c>
      <c r="F59" s="20" t="s">
        <v>34</v>
      </c>
      <c r="G59" s="3"/>
    </row>
    <row r="60" spans="1:7" x14ac:dyDescent="0.25">
      <c r="A60" s="21" t="s">
        <v>35</v>
      </c>
      <c r="B60" s="22" t="s">
        <v>36</v>
      </c>
      <c r="C60" s="23" t="s">
        <v>37</v>
      </c>
      <c r="D60" s="23" t="s">
        <v>38</v>
      </c>
      <c r="E60" s="23" t="s">
        <v>39</v>
      </c>
      <c r="F60" s="24" t="s">
        <v>40</v>
      </c>
      <c r="G60" s="3"/>
    </row>
    <row r="61" spans="1:7" ht="15.75" thickBot="1" x14ac:dyDescent="0.3">
      <c r="A61" s="25" t="s">
        <v>41</v>
      </c>
      <c r="B61" s="26">
        <f>COUNTIF(G11:G29,"&gt;=105%")</f>
        <v>0</v>
      </c>
      <c r="C61" s="27">
        <f>COUNTIFS(G11:G29,"&gt;=99%",G11:G29,"&lt;105%")</f>
        <v>0</v>
      </c>
      <c r="D61" s="27">
        <f>COUNTIFS(G11:G29,"&gt;=88%",G11:G29,"&lt;99%")</f>
        <v>0</v>
      </c>
      <c r="E61" s="27">
        <f>COUNTIFS(G11:G29,"&gt;=75%",G11:G29,"&lt;88%")</f>
        <v>0</v>
      </c>
      <c r="F61" s="28">
        <f>COUNTIF(G11:G29,"&lt;75%")</f>
        <v>0</v>
      </c>
      <c r="G61" s="3"/>
    </row>
    <row r="62" spans="1:7" x14ac:dyDescent="0.25">
      <c r="A62" s="1"/>
      <c r="B62" s="2"/>
      <c r="C62" s="2"/>
      <c r="D62" s="2"/>
      <c r="E62" s="2"/>
      <c r="F62" s="2"/>
      <c r="G62" s="3"/>
    </row>
    <row r="63" spans="1:7" x14ac:dyDescent="0.25">
      <c r="A63" s="1"/>
      <c r="B63" s="2"/>
      <c r="C63" s="2"/>
      <c r="D63" s="2"/>
      <c r="E63" s="2"/>
      <c r="F63" s="2"/>
      <c r="G63" s="3"/>
    </row>
    <row r="64" spans="1:7" x14ac:dyDescent="0.25">
      <c r="A64" s="1" t="s">
        <v>42</v>
      </c>
      <c r="B64" s="2"/>
      <c r="C64" s="172" t="s">
        <v>43</v>
      </c>
      <c r="D64" s="172"/>
      <c r="E64" s="2"/>
      <c r="F64" s="172" t="s">
        <v>44</v>
      </c>
      <c r="G64" s="173"/>
    </row>
    <row r="65" spans="1:7" x14ac:dyDescent="0.25">
      <c r="A65" s="1"/>
      <c r="B65" s="2"/>
      <c r="C65" s="2"/>
      <c r="D65" s="2"/>
      <c r="E65" s="2"/>
      <c r="F65" s="2"/>
      <c r="G65" s="3"/>
    </row>
    <row r="66" spans="1:7" x14ac:dyDescent="0.25">
      <c r="A66" s="1"/>
      <c r="B66" s="2"/>
      <c r="C66" s="2"/>
      <c r="D66" s="2"/>
      <c r="E66" s="2"/>
      <c r="F66" s="2"/>
      <c r="G66" s="3"/>
    </row>
    <row r="67" spans="1:7" x14ac:dyDescent="0.25">
      <c r="A67" s="1"/>
      <c r="B67" s="2"/>
      <c r="C67" s="2"/>
      <c r="D67" s="2"/>
      <c r="E67" s="2"/>
      <c r="F67" s="2"/>
      <c r="G67" s="3"/>
    </row>
    <row r="68" spans="1:7" x14ac:dyDescent="0.25">
      <c r="A68" s="1"/>
      <c r="B68" s="2"/>
      <c r="C68" s="2"/>
      <c r="D68" s="2"/>
      <c r="E68" s="2"/>
      <c r="F68" s="2"/>
      <c r="G68" s="3"/>
    </row>
    <row r="69" spans="1:7" x14ac:dyDescent="0.25">
      <c r="A69" s="1"/>
      <c r="B69" s="2"/>
      <c r="C69" s="172"/>
      <c r="D69" s="172"/>
      <c r="E69" s="2"/>
      <c r="F69" s="172"/>
      <c r="G69" s="173"/>
    </row>
    <row r="70" spans="1:7" ht="15.75" thickBot="1" x14ac:dyDescent="0.3">
      <c r="A70" s="29"/>
      <c r="B70" s="30"/>
      <c r="C70" s="170"/>
      <c r="D70" s="170"/>
      <c r="E70" s="30"/>
      <c r="F70" s="170"/>
      <c r="G70" s="171"/>
    </row>
    <row r="71" spans="1:7" ht="15.75" thickTop="1" x14ac:dyDescent="0.25"/>
  </sheetData>
  <mergeCells count="47">
    <mergeCell ref="B2:F2"/>
    <mergeCell ref="B3:F3"/>
    <mergeCell ref="A9:G9"/>
    <mergeCell ref="I9:K9"/>
    <mergeCell ref="M9:O9"/>
    <mergeCell ref="F5:G5"/>
    <mergeCell ref="AW9:AY9"/>
    <mergeCell ref="BA9:BC9"/>
    <mergeCell ref="A11:A15"/>
    <mergeCell ref="AK9:AM9"/>
    <mergeCell ref="AO9:AQ9"/>
    <mergeCell ref="U9:W9"/>
    <mergeCell ref="Y9:AA9"/>
    <mergeCell ref="AC9:AE9"/>
    <mergeCell ref="AG9:AI9"/>
    <mergeCell ref="Q9:S9"/>
    <mergeCell ref="AS9:AU9"/>
    <mergeCell ref="A17:A27"/>
    <mergeCell ref="E35:F35"/>
    <mergeCell ref="E36:F36"/>
    <mergeCell ref="E33:F33"/>
    <mergeCell ref="E34:F34"/>
    <mergeCell ref="A28:A29"/>
    <mergeCell ref="A32:F32"/>
    <mergeCell ref="B37:F37"/>
    <mergeCell ref="B38:F38"/>
    <mergeCell ref="A50:B50"/>
    <mergeCell ref="F50:G50"/>
    <mergeCell ref="A48:G48"/>
    <mergeCell ref="A49:G49"/>
    <mergeCell ref="E41:F41"/>
    <mergeCell ref="E42:F42"/>
    <mergeCell ref="A40:F40"/>
    <mergeCell ref="A44:E44"/>
    <mergeCell ref="C70:D70"/>
    <mergeCell ref="F70:G70"/>
    <mergeCell ref="C69:D69"/>
    <mergeCell ref="F69:G69"/>
    <mergeCell ref="E56:E57"/>
    <mergeCell ref="F56:G57"/>
    <mergeCell ref="C64:D64"/>
    <mergeCell ref="F64:G64"/>
    <mergeCell ref="F55:G55"/>
    <mergeCell ref="A54:G54"/>
    <mergeCell ref="A51:B51"/>
    <mergeCell ref="A52:B52"/>
    <mergeCell ref="F51:G52"/>
  </mergeCells>
  <conditionalFormatting sqref="B38">
    <cfRule type="containsText" dxfId="74" priority="11" operator="containsText" text="EXCEED">
      <formula>NOT(ISERROR(SEARCH("EXCEED",B38)))</formula>
    </cfRule>
    <cfRule type="containsText" dxfId="73" priority="12" operator="containsText" text="NEED IMPROVEMENT">
      <formula>NOT(ISERROR(SEARCH("NEED IMPROVEMENT",B38)))</formula>
    </cfRule>
    <cfRule type="containsText" dxfId="72" priority="13" operator="containsText" text="MEET EXPECTATION">
      <formula>NOT(ISERROR(SEARCH("MEET EXPECTATION",B38)))</formula>
    </cfRule>
    <cfRule type="containsText" dxfId="71" priority="14" operator="containsText" text="FAILED">
      <formula>NOT(ISERROR(SEARCH("FAILED",B38)))</formula>
    </cfRule>
    <cfRule type="containsText" dxfId="70" priority="15" operator="containsText" text="OUTSTANDING">
      <formula>NOT(ISERROR(SEARCH("OUTSTANDING",B38)))</formula>
    </cfRule>
  </conditionalFormatting>
  <conditionalFormatting sqref="E42">
    <cfRule type="containsText" dxfId="69" priority="6" operator="containsText" text="EXCEED">
      <formula>NOT(ISERROR(SEARCH("EXCEED",E42)))</formula>
    </cfRule>
    <cfRule type="containsText" dxfId="68" priority="7" operator="containsText" text="NEED IMPROVEMENT">
      <formula>NOT(ISERROR(SEARCH("NEED IMPROVEMENT",E42)))</formula>
    </cfRule>
    <cfRule type="containsText" dxfId="67" priority="8" operator="containsText" text="MEET EXPECTATION">
      <formula>NOT(ISERROR(SEARCH("MEET EXPECTATION",E42)))</formula>
    </cfRule>
    <cfRule type="containsText" dxfId="66" priority="9" operator="containsText" text="FAILED">
      <formula>NOT(ISERROR(SEARCH("FAILED",E42)))</formula>
    </cfRule>
    <cfRule type="containsText" dxfId="65" priority="10" operator="containsText" text="OUTSTANDING">
      <formula>NOT(ISERROR(SEARCH("OUTSTANDING",E42)))</formula>
    </cfRule>
  </conditionalFormatting>
  <conditionalFormatting sqref="F56">
    <cfRule type="containsText" dxfId="64" priority="1" operator="containsText" text="EXCEED">
      <formula>NOT(ISERROR(SEARCH("EXCEED",F56)))</formula>
    </cfRule>
    <cfRule type="containsText" dxfId="63" priority="2" operator="containsText" text="NEED IMPROVEMENT">
      <formula>NOT(ISERROR(SEARCH("NEED IMPROVEMENT",F56)))</formula>
    </cfRule>
    <cfRule type="containsText" dxfId="62" priority="3" operator="containsText" text="MEET EXPECTATION">
      <formula>NOT(ISERROR(SEARCH("MEET EXPECTATION",F56)))</formula>
    </cfRule>
    <cfRule type="containsText" dxfId="61" priority="4" operator="containsText" text="FAILED">
      <formula>NOT(ISERROR(SEARCH("FAILED",F56)))</formula>
    </cfRule>
    <cfRule type="containsText" dxfId="60" priority="5" operator="containsText" text="OUTSTANDING">
      <formula>NOT(ISERROR(SEARCH("OUTSTANDING",F56)))</formula>
    </cfRule>
  </conditionalFormatting>
  <dataValidations count="2">
    <dataValidation type="list" allowBlank="1" showInputMessage="1" showErrorMessage="1" sqref="F5:G5" xr:uid="{CAEA48C3-465E-4D64-A392-97C63CF1D64F}">
      <formula1>"MANAGER,Dept. Head,Section Head/SPV,Foreman/Officer"</formula1>
    </dataValidation>
    <dataValidation type="list" allowBlank="1" showInputMessage="1" showErrorMessage="1" sqref="D11:D29" xr:uid="{69D2A27D-2D1C-4F90-A4F1-5B29A6F3692A}">
      <formula1>"A(-),A(+),S(-),S(+)"</formula1>
    </dataValidation>
  </dataValidations>
  <pageMargins left="0.25" right="0.25" top="0.75" bottom="0.75" header="0.3" footer="0.3"/>
  <pageSetup scale="77" orientation="portrait" r:id="rId1"/>
  <rowBreaks count="1" manualBreakCount="1">
    <brk id="38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sqref="A1:A13"/>
    </sheetView>
  </sheetViews>
  <sheetFormatPr defaultRowHeight="15" x14ac:dyDescent="0.25"/>
  <sheetData>
    <row r="1" spans="1:1" x14ac:dyDescent="0.25">
      <c r="A1" t="s">
        <v>145</v>
      </c>
    </row>
    <row r="2" spans="1:1" x14ac:dyDescent="0.25">
      <c r="A2" t="s">
        <v>143</v>
      </c>
    </row>
    <row r="3" spans="1:1" x14ac:dyDescent="0.25">
      <c r="A3" t="s">
        <v>146</v>
      </c>
    </row>
    <row r="4" spans="1:1" x14ac:dyDescent="0.25">
      <c r="A4" t="s">
        <v>147</v>
      </c>
    </row>
    <row r="5" spans="1:1" x14ac:dyDescent="0.25">
      <c r="A5" t="s">
        <v>148</v>
      </c>
    </row>
    <row r="6" spans="1:1" x14ac:dyDescent="0.25">
      <c r="A6" t="s">
        <v>149</v>
      </c>
    </row>
    <row r="7" spans="1:1" x14ac:dyDescent="0.25">
      <c r="A7" t="s">
        <v>150</v>
      </c>
    </row>
    <row r="8" spans="1:1" x14ac:dyDescent="0.25">
      <c r="A8" t="s">
        <v>151</v>
      </c>
    </row>
    <row r="9" spans="1:1" x14ac:dyDescent="0.25">
      <c r="A9" t="s">
        <v>152</v>
      </c>
    </row>
    <row r="10" spans="1:1" x14ac:dyDescent="0.25">
      <c r="A10" t="s">
        <v>153</v>
      </c>
    </row>
    <row r="11" spans="1:1" x14ac:dyDescent="0.25">
      <c r="A11" t="s">
        <v>154</v>
      </c>
    </row>
    <row r="12" spans="1:1" x14ac:dyDescent="0.25">
      <c r="A12" t="s">
        <v>155</v>
      </c>
    </row>
    <row r="13" spans="1:1" x14ac:dyDescent="0.25">
      <c r="A13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C66"/>
  <sheetViews>
    <sheetView view="pageBreakPreview" topLeftCell="A5" zoomScaleNormal="100" zoomScaleSheetLayoutView="100" workbookViewId="0">
      <selection activeCell="G11" sqref="G11:G24"/>
    </sheetView>
  </sheetViews>
  <sheetFormatPr defaultRowHeight="15" x14ac:dyDescent="0.25"/>
  <cols>
    <col min="1" max="1" width="14.140625" customWidth="1"/>
    <col min="2" max="2" width="41.28515625" customWidth="1"/>
    <col min="3" max="3" width="19.140625" customWidth="1"/>
    <col min="4" max="4" width="14.5703125" customWidth="1"/>
    <col min="5" max="5" width="14.85546875" bestFit="1" customWidth="1"/>
    <col min="6" max="6" width="10.5703125" bestFit="1" customWidth="1"/>
    <col min="8" max="8" width="3.85546875" customWidth="1"/>
    <col min="11" max="11" width="8.7109375" customWidth="1"/>
    <col min="12" max="12" width="3.85546875" customWidth="1"/>
    <col min="13" max="13" width="10.140625" bestFit="1" customWidth="1"/>
    <col min="16" max="16" width="3.140625" customWidth="1"/>
    <col min="20" max="20" width="2.5703125" customWidth="1"/>
    <col min="24" max="24" width="2.28515625" customWidth="1"/>
    <col min="28" max="28" width="3" customWidth="1"/>
    <col min="32" max="32" width="3" customWidth="1"/>
    <col min="36" max="36" width="2.5703125" customWidth="1"/>
    <col min="40" max="40" width="3.42578125" customWidth="1"/>
    <col min="44" max="44" width="3" customWidth="1"/>
    <col min="48" max="48" width="3" customWidth="1"/>
    <col min="52" max="52" width="3" customWidth="1"/>
  </cols>
  <sheetData>
    <row r="2" spans="1:55" ht="23.25" x14ac:dyDescent="0.35">
      <c r="B2" s="216" t="s">
        <v>0</v>
      </c>
      <c r="C2" s="216"/>
      <c r="D2" s="216"/>
      <c r="E2" s="216"/>
      <c r="F2" s="216"/>
    </row>
    <row r="3" spans="1:55" ht="23.25" x14ac:dyDescent="0.35">
      <c r="B3" s="216" t="s">
        <v>1</v>
      </c>
      <c r="C3" s="216"/>
      <c r="D3" s="216"/>
      <c r="E3" s="216"/>
      <c r="F3" s="216"/>
    </row>
    <row r="4" spans="1:55" ht="15.75" thickBot="1" x14ac:dyDescent="0.3"/>
    <row r="5" spans="1:55" ht="15.75" thickTop="1" x14ac:dyDescent="0.25">
      <c r="A5" s="92" t="s">
        <v>45</v>
      </c>
      <c r="B5" s="93" t="s">
        <v>174</v>
      </c>
      <c r="C5" s="94" t="s">
        <v>48</v>
      </c>
      <c r="D5" s="132">
        <v>12730</v>
      </c>
      <c r="E5" s="93" t="s">
        <v>51</v>
      </c>
      <c r="F5" s="220" t="s">
        <v>72</v>
      </c>
      <c r="G5" s="221"/>
    </row>
    <row r="6" spans="1:55" x14ac:dyDescent="0.25">
      <c r="A6" s="95" t="s">
        <v>46</v>
      </c>
      <c r="B6" s="133" t="s">
        <v>159</v>
      </c>
      <c r="C6" s="134" t="s">
        <v>49</v>
      </c>
      <c r="D6" s="135" t="s">
        <v>160</v>
      </c>
      <c r="E6" s="133"/>
      <c r="F6" s="133"/>
      <c r="G6" s="96"/>
    </row>
    <row r="7" spans="1:55" ht="15.75" thickBot="1" x14ac:dyDescent="0.3">
      <c r="A7" s="97" t="s">
        <v>47</v>
      </c>
      <c r="B7" s="98" t="s">
        <v>175</v>
      </c>
      <c r="C7" s="99" t="s">
        <v>50</v>
      </c>
      <c r="D7" s="136">
        <v>2022</v>
      </c>
      <c r="E7" s="98"/>
      <c r="F7" s="98"/>
      <c r="G7" s="100"/>
    </row>
    <row r="8" spans="1:55" ht="15.75" thickBot="1" x14ac:dyDescent="0.3">
      <c r="A8" s="1"/>
      <c r="B8" s="2"/>
      <c r="C8" s="2"/>
      <c r="D8" s="2"/>
      <c r="E8" s="2"/>
      <c r="F8" s="2"/>
      <c r="G8" s="3"/>
    </row>
    <row r="9" spans="1:55" ht="15.75" thickBot="1" x14ac:dyDescent="0.3">
      <c r="A9" s="217" t="s">
        <v>2</v>
      </c>
      <c r="B9" s="218"/>
      <c r="C9" s="218"/>
      <c r="D9" s="218"/>
      <c r="E9" s="218"/>
      <c r="F9" s="218"/>
      <c r="G9" s="219"/>
      <c r="I9" s="213" t="s">
        <v>3</v>
      </c>
      <c r="J9" s="213"/>
      <c r="K9" s="213"/>
      <c r="M9" s="213" t="s">
        <v>4</v>
      </c>
      <c r="N9" s="213"/>
      <c r="O9" s="213"/>
      <c r="Q9" s="213" t="s">
        <v>5</v>
      </c>
      <c r="R9" s="213"/>
      <c r="S9" s="213"/>
      <c r="U9" s="213" t="s">
        <v>6</v>
      </c>
      <c r="V9" s="213"/>
      <c r="W9" s="213"/>
      <c r="Y9" s="213" t="s">
        <v>7</v>
      </c>
      <c r="Z9" s="213"/>
      <c r="AA9" s="213"/>
      <c r="AC9" s="213" t="s">
        <v>8</v>
      </c>
      <c r="AD9" s="213"/>
      <c r="AE9" s="213"/>
      <c r="AG9" s="213" t="s">
        <v>9</v>
      </c>
      <c r="AH9" s="213"/>
      <c r="AI9" s="213"/>
      <c r="AK9" s="213" t="s">
        <v>10</v>
      </c>
      <c r="AL9" s="213"/>
      <c r="AM9" s="213"/>
      <c r="AO9" s="213" t="s">
        <v>11</v>
      </c>
      <c r="AP9" s="213"/>
      <c r="AQ9" s="213"/>
      <c r="AS9" s="213" t="s">
        <v>12</v>
      </c>
      <c r="AT9" s="213"/>
      <c r="AU9" s="213"/>
      <c r="AW9" s="213" t="s">
        <v>13</v>
      </c>
      <c r="AX9" s="213"/>
      <c r="AY9" s="213"/>
      <c r="BA9" s="213" t="s">
        <v>14</v>
      </c>
      <c r="BB9" s="213"/>
      <c r="BC9" s="213"/>
    </row>
    <row r="10" spans="1:55" ht="30.75" thickBot="1" x14ac:dyDescent="0.3">
      <c r="A10" s="4" t="s">
        <v>15</v>
      </c>
      <c r="B10" s="5" t="s">
        <v>16</v>
      </c>
      <c r="C10" s="101" t="s">
        <v>17</v>
      </c>
      <c r="D10" s="18" t="s">
        <v>18</v>
      </c>
      <c r="E10" s="19" t="s">
        <v>121</v>
      </c>
      <c r="F10" s="19" t="s">
        <v>122</v>
      </c>
      <c r="G10" s="20" t="s">
        <v>19</v>
      </c>
      <c r="I10" s="102" t="s">
        <v>20</v>
      </c>
      <c r="J10" s="102" t="s">
        <v>21</v>
      </c>
      <c r="K10" s="102" t="s">
        <v>22</v>
      </c>
      <c r="M10" s="102" t="s">
        <v>20</v>
      </c>
      <c r="N10" s="102" t="s">
        <v>21</v>
      </c>
      <c r="O10" s="102" t="s">
        <v>22</v>
      </c>
      <c r="Q10" s="102" t="s">
        <v>20</v>
      </c>
      <c r="R10" s="102" t="s">
        <v>21</v>
      </c>
      <c r="S10" s="102" t="s">
        <v>22</v>
      </c>
      <c r="U10" s="102" t="s">
        <v>20</v>
      </c>
      <c r="V10" s="102" t="s">
        <v>21</v>
      </c>
      <c r="W10" s="102" t="s">
        <v>22</v>
      </c>
      <c r="Y10" s="102" t="s">
        <v>20</v>
      </c>
      <c r="Z10" s="102" t="s">
        <v>21</v>
      </c>
      <c r="AA10" s="102" t="s">
        <v>22</v>
      </c>
      <c r="AC10" s="102" t="s">
        <v>20</v>
      </c>
      <c r="AD10" s="102" t="s">
        <v>21</v>
      </c>
      <c r="AE10" s="102" t="s">
        <v>22</v>
      </c>
      <c r="AG10" s="102" t="s">
        <v>20</v>
      </c>
      <c r="AH10" s="102" t="s">
        <v>21</v>
      </c>
      <c r="AI10" s="102" t="s">
        <v>22</v>
      </c>
      <c r="AK10" s="102" t="s">
        <v>20</v>
      </c>
      <c r="AL10" s="102" t="s">
        <v>21</v>
      </c>
      <c r="AM10" s="102" t="s">
        <v>22</v>
      </c>
      <c r="AO10" s="102" t="s">
        <v>20</v>
      </c>
      <c r="AP10" s="102" t="s">
        <v>21</v>
      </c>
      <c r="AQ10" s="102" t="s">
        <v>22</v>
      </c>
      <c r="AS10" s="102" t="s">
        <v>20</v>
      </c>
      <c r="AT10" s="102" t="s">
        <v>21</v>
      </c>
      <c r="AU10" s="102" t="s">
        <v>22</v>
      </c>
      <c r="AW10" s="102" t="s">
        <v>20</v>
      </c>
      <c r="AX10" s="102" t="s">
        <v>21</v>
      </c>
      <c r="AY10" s="102" t="s">
        <v>22</v>
      </c>
      <c r="BA10" s="102" t="s">
        <v>20</v>
      </c>
      <c r="BB10" s="102" t="s">
        <v>21</v>
      </c>
      <c r="BC10" s="102" t="s">
        <v>22</v>
      </c>
    </row>
    <row r="11" spans="1:55" ht="30" x14ac:dyDescent="0.25">
      <c r="A11" s="214" t="s">
        <v>52</v>
      </c>
      <c r="B11" s="65" t="s">
        <v>136</v>
      </c>
      <c r="C11" s="8" t="s">
        <v>162</v>
      </c>
      <c r="D11" s="9" t="s">
        <v>142</v>
      </c>
      <c r="E11" s="142">
        <v>5</v>
      </c>
      <c r="F11" s="68" t="str">
        <f t="shared" ref="F11:F24" si="0">IF(LEFT(C11,5)="MONTH",IF(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=0,"",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),IF(COUNT(I11,M11,Q11,U11,Y11,AC11,AG11,AK11,AO11,AS11,AW11,BA11)&lt;1,"",IF(OR(D11="A(-)",D11="A(+)"),AVERAGE(I11,M11,Q11,U11,Y11,AC11,AG11,AK11,AO11,AS11,AW11,BA11),IF(OR(D11="S(-)",D11="S(+)"),SUM(I11,M11,Q11,U11,Y11,AC11,AG11,AK11,AO11,AS11,AW11,BA11),""))))</f>
        <v/>
      </c>
      <c r="G11" s="69" t="str">
        <f>IF(OR(F11="",F11="NA"),"",IF(OR(C11="time",LEFT(C11,3)="DAY"),IF(OR(C11="DAY2",C11="time"),IF((92%-(F11-E11)/(1/10*100))&lt;70%,70%,IF(92%-(F11-E11)/(1/10*100)&gt;105%,105%,92%-(F11-E11)/(1/10*100))),IF(COUNT(E11)=1,IF((112%-(F11-E11)/(1/10*100))&lt;70%,70%,IF(112%-(F11-E11)/(1/10*100)&gt;105%,105%,112%-(F11-E11)/(1/10*100))))),IF(LEFT(C11,5)="month",IF(C11="month1",IF((112%-IF(F11="W1",0,IF(F11="W2",1,MATCH(F11,Sheet1!$A$2:$A$13,0)-MATCH(E11,Sheet1!$A$2:$A$13,0)+1))/(1/10*100))&lt;70%,70%,IF(112%-IF(F11="W1",0,IF(F11="W2",1,MATCH(F11,Sheet1!$A$2:$A$13,0)-MATCH(E11,Sheet1!$A$2:$A$13,0)+1))/(1/10*100)&gt;105%,105%,112%-IF(F11="W1",0,IF(F11="W2",1,MATCH(F11,Sheet1!$A$2:$A$13,0)-MATCH(E11,Sheet1!$A$2:$A$13,0)+1))/(1/10*100))),IF((92%-(IF(OR(F11="w1",F11="w2"),1,MATCH(F11,Sheet1!$A$2:$A$13,0))-MATCH(E11,Sheet1!$A$2:$A$13,0))/(1/10*100))&lt;70%,70%,IF(92%-(IF(OR(F11="w1",F11="w2"),1,MATCH(F11,Sheet1!$A$2:$A$13,0))-MATCH(E11,Sheet1!$A$2:$A$13,0))/(1/10*100)&gt;105%,105%,92%-(IF(OR(F11="w1",F11="w2"),1,MATCH(F11,Sheet1!$A$2:$A$13,0))-MATCH(E11,Sheet1!$A$2:$A$13,0))/(1/10*100)))),IF(MID(D11,3,1)="+",IF(E11&lt;100,IF(112%-(E11-F11)/(1/IF(E11&lt;4,(40/E11),10)*100)&gt;105%,105%,IF(112%-(E11-F11)/(1/IF(E11&lt;4,(40/E11),10)*100)&lt;=72%,72%,112%-(E11-F11)/(1/IF(E11&lt;4,(40/E11),10)*100))),IF(112%-(E11-F11)/E11*10&gt;105%,105%,IF(112%-(E11-F11)/E11*10&lt;72%,72%,112%-(E11-F11)/E11*10))),IF(MID(D11,3,1)="-",IF(92%+((E11-F11)/(E11))*0.4&gt;105%,105%,IF(92%+((E11-F11)/(E11))*0.4&lt;72%,72%,92%+((E11-F11)/(E11))*0.4)),IF(OR(B11="BOTO",B11="NPI",B11="FF"),IF(102%+((E11-F11)/(E11))*0.4&gt;105%,105%,IF(102%+((E11-F11)/(E11))*0.4&lt;72%,72%,102%+((E11-F11)/(E11))*0.4)),""))))))</f>
        <v/>
      </c>
      <c r="I11" s="11"/>
      <c r="J11" s="11"/>
      <c r="K11" s="11"/>
      <c r="M11" s="11"/>
      <c r="N11" s="11"/>
      <c r="O11" s="11"/>
      <c r="Q11" s="11"/>
      <c r="R11" s="11"/>
      <c r="S11" s="11"/>
      <c r="U11" s="11"/>
      <c r="V11" s="11"/>
      <c r="W11" s="11"/>
      <c r="Y11" s="11"/>
      <c r="Z11" s="11"/>
      <c r="AA11" s="11"/>
      <c r="AC11" s="11"/>
      <c r="AD11" s="11"/>
      <c r="AE11" s="11"/>
      <c r="AG11" s="11"/>
      <c r="AH11" s="11"/>
      <c r="AI11" s="11"/>
      <c r="AK11" s="11"/>
      <c r="AL11" s="11"/>
      <c r="AM11" s="11"/>
      <c r="AO11" s="11"/>
      <c r="AP11" s="11"/>
      <c r="AQ11" s="11"/>
      <c r="AS11" s="11"/>
      <c r="AT11" s="11"/>
      <c r="AU11" s="11"/>
      <c r="AW11" s="11"/>
      <c r="AX11" s="11"/>
      <c r="AY11" s="11"/>
      <c r="BA11" s="11"/>
      <c r="BB11" s="11"/>
      <c r="BC11" s="11"/>
    </row>
    <row r="12" spans="1:55" ht="30.75" thickBot="1" x14ac:dyDescent="0.3">
      <c r="A12" s="215"/>
      <c r="B12" s="65" t="s">
        <v>84</v>
      </c>
      <c r="C12" s="143" t="s">
        <v>24</v>
      </c>
      <c r="D12" s="144" t="s">
        <v>144</v>
      </c>
      <c r="E12" s="145">
        <v>24</v>
      </c>
      <c r="F12" s="68" t="str">
        <f t="shared" si="0"/>
        <v/>
      </c>
      <c r="G12" s="14" t="str">
        <f>IF(OR(F12="",F12="NA"),"",IF(OR(C12="time",LEFT(C12,3)="DAY"),IF(OR(C12="DAY2",C12="time"),IF((92%-(F12-E12)/(1/10*100))&lt;70%,70%,IF(92%-(F12-E12)/(1/10*100)&gt;105%,105%,92%-(F12-E12)/(1/10*100))),IF(COUNT(E12)=1,IF((112%-(F12-E12)/(1/10*100))&lt;70%,70%,IF(112%-(F12-E12)/(1/10*100)&gt;105%,105%,112%-(F12-E12)/(1/10*100))))),IF(LEFT(C12,5)="month",IF(C12="month1",IF((112%-IF(F12="W1",0,IF(F12="W2",1,MATCH(F12,Sheet1!$A$2:$A$13,0)-MATCH(E12,Sheet1!$A$2:$A$13,0)+1))/(1/10*100))&lt;70%,70%,IF(112%-IF(F12="W1",0,IF(F12="W2",1,MATCH(F12,Sheet1!$A$2:$A$13,0)-MATCH(E12,Sheet1!$A$2:$A$13,0)+1))/(1/10*100)&gt;105%,105%,112%-IF(F12="W1",0,IF(F12="W2",1,MATCH(F12,Sheet1!$A$2:$A$13,0)-MATCH(E12,Sheet1!$A$2:$A$13,0)+1))/(1/10*100))),IF((92%-(IF(OR(F12="w1",F12="w2"),1,MATCH(F12,Sheet1!$A$2:$A$13,0))-MATCH(E12,Sheet1!$A$2:$A$13,0))/(1/10*100))&lt;70%,70%,IF(92%-(IF(OR(F12="w1",F12="w2"),1,MATCH(F12,Sheet1!$A$2:$A$13,0))-MATCH(E12,Sheet1!$A$2:$A$13,0))/(1/10*100)&gt;105%,105%,92%-(IF(OR(F12="w1",F12="w2"),1,MATCH(F12,Sheet1!$A$2:$A$13,0))-MATCH(E12,Sheet1!$A$2:$A$13,0))/(1/10*100)))),IF(MID(D12,3,1)="+",IF(E12&lt;100,IF(112%-(E12-F12)/(1/IF(E12&lt;4,(40/E12),10)*100)&gt;105%,105%,IF(112%-(E12-F12)/(1/IF(E12&lt;4,(40/E12),10)*100)&lt;=72%,72%,112%-(E12-F12)/(1/IF(E12&lt;4,(40/E12),10)*100))),IF(112%-(E12-F12)/E12*10&gt;105%,105%,IF(112%-(E12-F12)/E12*10&lt;72%,72%,112%-(E12-F12)/E12*10))),IF(MID(D12,3,1)="-",IF(92%+((E12-F12)/(E12))*0.4&gt;105%,105%,IF(92%+((E12-F12)/(E12))*0.4&lt;72%,72%,92%+((E12-F12)/(E12))*0.4)),IF(OR(B12="BOTO",B12="NPI",B12="FF"),IF(102%+((E12-F12)/(E12))*0.4&gt;105%,105%,IF(102%+((E12-F12)/(E12))*0.4&lt;72%,72%,102%+((E12-F12)/(E12))*0.4)),""))))))</f>
        <v/>
      </c>
      <c r="I12" s="11"/>
      <c r="J12" s="11"/>
      <c r="K12" s="11"/>
      <c r="M12" s="11"/>
      <c r="N12" s="11"/>
      <c r="O12" s="11"/>
      <c r="Q12" s="11"/>
      <c r="R12" s="11"/>
      <c r="S12" s="11"/>
      <c r="U12" s="11"/>
      <c r="V12" s="11"/>
      <c r="W12" s="11"/>
      <c r="Y12" s="11"/>
      <c r="Z12" s="11"/>
      <c r="AA12" s="11"/>
      <c r="AC12" s="11"/>
      <c r="AD12" s="11"/>
      <c r="AE12" s="11"/>
      <c r="AG12" s="11"/>
      <c r="AH12" s="11"/>
      <c r="AI12" s="11"/>
      <c r="AK12" s="11"/>
      <c r="AL12" s="11"/>
      <c r="AM12" s="11"/>
      <c r="AO12" s="11"/>
      <c r="AP12" s="11"/>
      <c r="AQ12" s="11"/>
      <c r="AS12" s="11"/>
      <c r="AT12" s="11"/>
      <c r="AU12" s="11"/>
      <c r="AW12" s="11"/>
      <c r="AX12" s="11"/>
      <c r="AY12" s="11"/>
      <c r="BA12" s="11"/>
      <c r="BB12" s="11"/>
      <c r="BC12" s="11"/>
    </row>
    <row r="13" spans="1:55" ht="30.75" thickBot="1" x14ac:dyDescent="0.3">
      <c r="A13" s="103" t="s">
        <v>53</v>
      </c>
      <c r="B13" s="7" t="s">
        <v>85</v>
      </c>
      <c r="C13" s="138" t="s">
        <v>24</v>
      </c>
      <c r="D13" s="105" t="s">
        <v>144</v>
      </c>
      <c r="E13" s="139">
        <v>2</v>
      </c>
      <c r="F13" s="16" t="str">
        <f t="shared" si="0"/>
        <v/>
      </c>
      <c r="G13" s="10" t="str">
        <f>IF(OR(F13="",F13="NA"),"",IF(OR(C13="time",LEFT(C13,3)="DAY"),IF(OR(C13="DAY2",C13="time"),IF((92%-(F13-E13)/(1/10*100))&lt;70%,70%,IF(92%-(F13-E13)/(1/10*100)&gt;105%,105%,92%-(F13-E13)/(1/10*100))),IF(COUNT(E13)=1,IF((112%-(F13-E13)/(1/10*100))&lt;70%,70%,IF(112%-(F13-E13)/(1/10*100)&gt;105%,105%,112%-(F13-E13)/(1/10*100))))),IF(LEFT(C13,5)="month",IF(C13="month1",IF((112%-IF(F13="W1",0,IF(F13="W2",1,MATCH(F13,Sheet1!$A$2:$A$13,0)-MATCH(E13,Sheet1!$A$2:$A$13,0)+1))/(1/10*100))&lt;70%,70%,IF(112%-IF(F13="W1",0,IF(F13="W2",1,MATCH(F13,Sheet1!$A$2:$A$13,0)-MATCH(E13,Sheet1!$A$2:$A$13,0)+1))/(1/10*100)&gt;105%,105%,112%-IF(F13="W1",0,IF(F13="W2",1,MATCH(F13,Sheet1!$A$2:$A$13,0)-MATCH(E13,Sheet1!$A$2:$A$13,0)+1))/(1/10*100))),IF((92%-(IF(OR(F13="w1",F13="w2"),1,MATCH(F13,Sheet1!$A$2:$A$13,0))-MATCH(E13,Sheet1!$A$2:$A$13,0))/(1/10*100))&lt;70%,70%,IF(92%-(IF(OR(F13="w1",F13="w2"),1,MATCH(F13,Sheet1!$A$2:$A$13,0))-MATCH(E13,Sheet1!$A$2:$A$13,0))/(1/10*100)&gt;105%,105%,92%-(IF(OR(F13="w1",F13="w2"),1,MATCH(F13,Sheet1!$A$2:$A$13,0))-MATCH(E13,Sheet1!$A$2:$A$13,0))/(1/10*100)))),IF(MID(D13,3,1)="+",IF(E13&lt;100,IF(112%-(E13-F13)/(1/IF(E13&lt;4,(40/E13),10)*100)&gt;105%,105%,IF(112%-(E13-F13)/(1/IF(E13&lt;4,(40/E13),10)*100)&lt;=72%,72%,112%-(E13-F13)/(1/IF(E13&lt;4,(40/E13),10)*100))),IF(112%-(E13-F13)/E13*10&gt;105%,105%,IF(112%-(E13-F13)/E13*10&lt;72%,72%,112%-(E13-F13)/E13*10))),IF(MID(D13,3,1)="-",IF(92%+((E13-F13)/(E13))*0.4&gt;105%,105%,IF(92%+((E13-F13)/(E13))*0.4&lt;72%,72%,92%+((E13-F13)/(E13))*0.4)),IF(OR(B13="BOTO",B13="NPI",B13="FF"),IF(102%+((E13-F13)/(E13))*0.4&gt;105%,105%,IF(102%+((E13-F13)/(E13))*0.4&lt;72%,72%,102%+((E13-F13)/(E13))*0.4)),""))))))</f>
        <v/>
      </c>
      <c r="I13" s="11"/>
      <c r="J13" s="11"/>
      <c r="K13" s="11"/>
      <c r="M13" s="11"/>
      <c r="N13" s="11"/>
      <c r="O13" s="11"/>
      <c r="Q13" s="11"/>
      <c r="R13" s="11"/>
      <c r="S13" s="11"/>
      <c r="U13" s="11"/>
      <c r="V13" s="11"/>
      <c r="W13" s="11"/>
      <c r="Y13" s="11"/>
      <c r="Z13" s="11"/>
      <c r="AA13" s="11"/>
      <c r="AC13" s="11"/>
      <c r="AD13" s="11"/>
      <c r="AE13" s="11"/>
      <c r="AG13" s="11"/>
      <c r="AH13" s="11"/>
      <c r="AI13" s="11"/>
      <c r="AK13" s="11"/>
      <c r="AL13" s="11"/>
      <c r="AM13" s="11"/>
      <c r="AO13" s="11"/>
      <c r="AP13" s="11"/>
      <c r="AQ13" s="11"/>
      <c r="AS13" s="11"/>
      <c r="AT13" s="11"/>
      <c r="AU13" s="11"/>
      <c r="AW13" s="11"/>
      <c r="AX13" s="11"/>
      <c r="AY13" s="11"/>
      <c r="BA13" s="11"/>
      <c r="BB13" s="11"/>
      <c r="BC13" s="11"/>
    </row>
    <row r="14" spans="1:55" ht="30" x14ac:dyDescent="0.25">
      <c r="A14" s="214" t="s">
        <v>54</v>
      </c>
      <c r="B14" s="7" t="s">
        <v>86</v>
      </c>
      <c r="C14" s="8" t="s">
        <v>165</v>
      </c>
      <c r="D14" s="9" t="s">
        <v>142</v>
      </c>
      <c r="E14" s="16">
        <v>12</v>
      </c>
      <c r="F14" s="16" t="str">
        <f t="shared" si="0"/>
        <v/>
      </c>
      <c r="G14" s="10" t="str">
        <f>IF(OR(F14="",F14="NA"),"",IF(OR(C14="time",LEFT(C14,3)="DAY"),IF(OR(C14="DAY2",C14="time"),IF((92%-(F14-E14)/(1/10*100))&lt;70%,70%,IF(92%-(F14-E14)/(1/10*100)&gt;105%,105%,92%-(F14-E14)/(1/10*100))),IF(COUNT(E14)=1,IF((112%-(F14-E14)/(1/10*100))&lt;70%,70%,IF(112%-(F14-E14)/(1/10*100)&gt;105%,105%,112%-(F14-E14)/(1/10*100))))),IF(LEFT(C14,5)="month",IF(C14="month1",IF((112%-IF(F14="W1",0,IF(F14="W2",1,MATCH(F14,Sheet1!$A$2:$A$13,0)-MATCH(E14,Sheet1!$A$2:$A$13,0)+1))/(1/10*100))&lt;70%,70%,IF(112%-IF(F14="W1",0,IF(F14="W2",1,MATCH(F14,Sheet1!$A$2:$A$13,0)-MATCH(E14,Sheet1!$A$2:$A$13,0)+1))/(1/10*100)&gt;105%,105%,112%-IF(F14="W1",0,IF(F14="W2",1,MATCH(F14,Sheet1!$A$2:$A$13,0)-MATCH(E14,Sheet1!$A$2:$A$13,0)+1))/(1/10*100))),IF((92%-(IF(OR(F14="w1",F14="w2"),1,MATCH(F14,Sheet1!$A$2:$A$13,0))-MATCH(E14,Sheet1!$A$2:$A$13,0))/(1/10*100))&lt;70%,70%,IF(92%-(IF(OR(F14="w1",F14="w2"),1,MATCH(F14,Sheet1!$A$2:$A$13,0))-MATCH(E14,Sheet1!$A$2:$A$13,0))/(1/10*100)&gt;105%,105%,92%-(IF(OR(F14="w1",F14="w2"),1,MATCH(F14,Sheet1!$A$2:$A$13,0))-MATCH(E14,Sheet1!$A$2:$A$13,0))/(1/10*100)))),IF(MID(D14,3,1)="+",IF(E14&lt;100,IF(112%-(E14-F14)/(1/IF(E14&lt;4,(40/E14),10)*100)&gt;105%,105%,IF(112%-(E14-F14)/(1/IF(E14&lt;4,(40/E14),10)*100)&lt;=72%,72%,112%-(E14-F14)/(1/IF(E14&lt;4,(40/E14),10)*100))),IF(112%-(E14-F14)/E14*10&gt;105%,105%,IF(112%-(E14-F14)/E14*10&lt;72%,72%,112%-(E14-F14)/E14*10))),IF(MID(D14,3,1)="-",IF(92%+((E14-F14)/(E14))*0.4&gt;105%,105%,IF(92%+((E14-F14)/(E14))*0.4&lt;72%,72%,92%+((E14-F14)/(E14))*0.4)),IF(OR(B14="BOTO",B14="NPI",B14="FF"),IF(102%+((E14-F14)/(E14))*0.4&gt;105%,105%,IF(102%+((E14-F14)/(E14))*0.4&lt;72%,72%,102%+((E14-F14)/(E14))*0.4)),""))))))</f>
        <v/>
      </c>
      <c r="I14" s="11"/>
      <c r="J14" s="11"/>
      <c r="K14" s="11"/>
      <c r="M14" s="11"/>
      <c r="N14" s="11"/>
      <c r="O14" s="11"/>
      <c r="Q14" s="11"/>
      <c r="R14" s="11"/>
      <c r="S14" s="11"/>
      <c r="U14" s="11"/>
      <c r="V14" s="11"/>
      <c r="W14" s="11"/>
      <c r="Y14" s="11"/>
      <c r="Z14" s="11"/>
      <c r="AA14" s="11"/>
      <c r="AC14" s="11"/>
      <c r="AD14" s="11"/>
      <c r="AE14" s="11"/>
      <c r="AG14" s="11"/>
      <c r="AH14" s="11"/>
      <c r="AI14" s="11"/>
      <c r="AK14" s="11"/>
      <c r="AL14" s="11"/>
      <c r="AM14" s="11"/>
      <c r="AO14" s="11"/>
      <c r="AP14" s="11"/>
      <c r="AQ14" s="11"/>
      <c r="AS14" s="11"/>
      <c r="AT14" s="11"/>
      <c r="AU14" s="11"/>
      <c r="AW14" s="11"/>
      <c r="AX14" s="11"/>
      <c r="AY14" s="11"/>
      <c r="BA14" s="11"/>
      <c r="BB14" s="11"/>
      <c r="BC14" s="11"/>
    </row>
    <row r="15" spans="1:55" ht="30" x14ac:dyDescent="0.25">
      <c r="A15" s="215"/>
      <c r="B15" s="65" t="s">
        <v>87</v>
      </c>
      <c r="C15" s="13" t="s">
        <v>165</v>
      </c>
      <c r="D15" s="131" t="s">
        <v>142</v>
      </c>
      <c r="E15" s="15">
        <v>2</v>
      </c>
      <c r="F15" s="15" t="str">
        <f t="shared" si="0"/>
        <v/>
      </c>
      <c r="G15" s="14" t="str">
        <f>IF(OR(F15="",F15="NA"),"",IF(OR(C15="time",LEFT(C15,3)="DAY"),IF(OR(C15="DAY2",C15="time"),IF((92%-(F15-E15)/(1/10*100))&lt;70%,70%,IF(92%-(F15-E15)/(1/10*100)&gt;105%,105%,92%-(F15-E15)/(1/10*100))),IF(COUNT(E15)=1,IF((112%-(F15-E15)/(1/10*100))&lt;70%,70%,IF(112%-(F15-E15)/(1/10*100)&gt;105%,105%,112%-(F15-E15)/(1/10*100))))),IF(LEFT(C15,5)="month",IF(C15="month1",IF((112%-IF(F15="W1",0,IF(F15="W2",1,MATCH(F15,Sheet1!$A$2:$A$13,0)-MATCH(E15,Sheet1!$A$2:$A$13,0)+1))/(1/10*100))&lt;70%,70%,IF(112%-IF(F15="W1",0,IF(F15="W2",1,MATCH(F15,Sheet1!$A$2:$A$13,0)-MATCH(E15,Sheet1!$A$2:$A$13,0)+1))/(1/10*100)&gt;105%,105%,112%-IF(F15="W1",0,IF(F15="W2",1,MATCH(F15,Sheet1!$A$2:$A$13,0)-MATCH(E15,Sheet1!$A$2:$A$13,0)+1))/(1/10*100))),IF((92%-(IF(OR(F15="w1",F15="w2"),1,MATCH(F15,Sheet1!$A$2:$A$13,0))-MATCH(E15,Sheet1!$A$2:$A$13,0))/(1/10*100))&lt;70%,70%,IF(92%-(IF(OR(F15="w1",F15="w2"),1,MATCH(F15,Sheet1!$A$2:$A$13,0))-MATCH(E15,Sheet1!$A$2:$A$13,0))/(1/10*100)&gt;105%,105%,92%-(IF(OR(F15="w1",F15="w2"),1,MATCH(F15,Sheet1!$A$2:$A$13,0))-MATCH(E15,Sheet1!$A$2:$A$13,0))/(1/10*100)))),IF(MID(D15,3,1)="+",IF(E15&lt;100,IF(112%-(E15-F15)/(1/IF(E15&lt;4,(40/E15),10)*100)&gt;105%,105%,IF(112%-(E15-F15)/(1/IF(E15&lt;4,(40/E15),10)*100)&lt;=72%,72%,112%-(E15-F15)/(1/IF(E15&lt;4,(40/E15),10)*100))),IF(112%-(E15-F15)/E15*10&gt;105%,105%,IF(112%-(E15-F15)/E15*10&lt;72%,72%,112%-(E15-F15)/E15*10))),IF(MID(D15,3,1)="-",IF(92%+((E15-F15)/(E15))*0.4&gt;105%,105%,IF(92%+((E15-F15)/(E15))*0.4&lt;72%,72%,92%+((E15-F15)/(E15))*0.4)),IF(OR(B15="BOTO",B15="NPI",B15="FF"),IF(102%+((E15-F15)/(E15))*0.4&gt;105%,105%,IF(102%+((E15-F15)/(E15))*0.4&lt;72%,72%,102%+((E15-F15)/(E15))*0.4)),""))))))</f>
        <v/>
      </c>
      <c r="I15" s="11"/>
      <c r="J15" s="11"/>
      <c r="K15" s="11"/>
      <c r="M15" s="11"/>
      <c r="N15" s="11"/>
      <c r="O15" s="11"/>
      <c r="Q15" s="11"/>
      <c r="R15" s="11"/>
      <c r="S15" s="11"/>
      <c r="U15" s="11"/>
      <c r="V15" s="11"/>
      <c r="W15" s="11"/>
      <c r="Y15" s="11"/>
      <c r="Z15" s="11"/>
      <c r="AA15" s="11"/>
      <c r="AC15" s="11"/>
      <c r="AD15" s="11"/>
      <c r="AE15" s="11"/>
      <c r="AG15" s="11"/>
      <c r="AH15" s="11"/>
      <c r="AI15" s="11"/>
      <c r="AK15" s="11"/>
      <c r="AL15" s="11"/>
      <c r="AM15" s="11"/>
      <c r="AO15" s="11"/>
      <c r="AP15" s="11"/>
      <c r="AQ15" s="11"/>
      <c r="AS15" s="11"/>
      <c r="AT15" s="11"/>
      <c r="AU15" s="11"/>
      <c r="AW15" s="11"/>
      <c r="AX15" s="11"/>
      <c r="AY15" s="11"/>
      <c r="BA15" s="11"/>
      <c r="BB15" s="11"/>
      <c r="BC15" s="11"/>
    </row>
    <row r="16" spans="1:55" x14ac:dyDescent="0.25">
      <c r="A16" s="215"/>
      <c r="B16" s="65" t="s">
        <v>88</v>
      </c>
      <c r="C16" s="13" t="s">
        <v>165</v>
      </c>
      <c r="D16" s="131" t="s">
        <v>142</v>
      </c>
      <c r="E16" s="15">
        <v>1</v>
      </c>
      <c r="F16" s="15" t="str">
        <f t="shared" si="0"/>
        <v/>
      </c>
      <c r="G16" s="14" t="str">
        <f>IF(OR(F16="",F16="NA"),"",IF(OR(C16="time",LEFT(C16,3)="DAY"),IF(OR(C16="DAY2",C16="time"),IF((92%-(F16-E16)/(1/10*100))&lt;70%,70%,IF(92%-(F16-E16)/(1/10*100)&gt;105%,105%,92%-(F16-E16)/(1/10*100))),IF(COUNT(E16)=1,IF((112%-(F16-E16)/(1/10*100))&lt;70%,70%,IF(112%-(F16-E16)/(1/10*100)&gt;105%,105%,112%-(F16-E16)/(1/10*100))))),IF(LEFT(C16,5)="month",IF(C16="month1",IF((112%-IF(F16="W1",0,IF(F16="W2",1,MATCH(F16,Sheet1!$A$2:$A$13,0)-MATCH(E16,Sheet1!$A$2:$A$13,0)+1))/(1/10*100))&lt;70%,70%,IF(112%-IF(F16="W1",0,IF(F16="W2",1,MATCH(F16,Sheet1!$A$2:$A$13,0)-MATCH(E16,Sheet1!$A$2:$A$13,0)+1))/(1/10*100)&gt;105%,105%,112%-IF(F16="W1",0,IF(F16="W2",1,MATCH(F16,Sheet1!$A$2:$A$13,0)-MATCH(E16,Sheet1!$A$2:$A$13,0)+1))/(1/10*100))),IF((92%-(IF(OR(F16="w1",F16="w2"),1,MATCH(F16,Sheet1!$A$2:$A$13,0))-MATCH(E16,Sheet1!$A$2:$A$13,0))/(1/10*100))&lt;70%,70%,IF(92%-(IF(OR(F16="w1",F16="w2"),1,MATCH(F16,Sheet1!$A$2:$A$13,0))-MATCH(E16,Sheet1!$A$2:$A$13,0))/(1/10*100)&gt;105%,105%,92%-(IF(OR(F16="w1",F16="w2"),1,MATCH(F16,Sheet1!$A$2:$A$13,0))-MATCH(E16,Sheet1!$A$2:$A$13,0))/(1/10*100)))),IF(MID(D16,3,1)="+",IF(E16&lt;100,IF(112%-(E16-F16)/(1/IF(E16&lt;4,(40/E16),10)*100)&gt;105%,105%,IF(112%-(E16-F16)/(1/IF(E16&lt;4,(40/E16),10)*100)&lt;=72%,72%,112%-(E16-F16)/(1/IF(E16&lt;4,(40/E16),10)*100))),IF(112%-(E16-F16)/E16*10&gt;105%,105%,IF(112%-(E16-F16)/E16*10&lt;72%,72%,112%-(E16-F16)/E16*10))),IF(MID(D16,3,1)="-",IF(92%+((E16-F16)/(E16))*0.4&gt;105%,105%,IF(92%+((E16-F16)/(E16))*0.4&lt;72%,72%,92%+((E16-F16)/(E16))*0.4)),IF(OR(B16="BOTO",B16="NPI",B16="FF"),IF(102%+((E16-F16)/(E16))*0.4&gt;105%,105%,IF(102%+((E16-F16)/(E16))*0.4&lt;72%,72%,102%+((E16-F16)/(E16))*0.4)),""))))))</f>
        <v/>
      </c>
      <c r="I16" s="11"/>
      <c r="J16" s="11"/>
      <c r="K16" s="11"/>
      <c r="M16" s="11"/>
      <c r="N16" s="11"/>
      <c r="O16" s="11"/>
      <c r="Q16" s="11"/>
      <c r="R16" s="11"/>
      <c r="S16" s="11"/>
      <c r="U16" s="11"/>
      <c r="V16" s="11"/>
      <c r="W16" s="11"/>
      <c r="Y16" s="11"/>
      <c r="Z16" s="11"/>
      <c r="AA16" s="11"/>
      <c r="AC16" s="11"/>
      <c r="AD16" s="11"/>
      <c r="AE16" s="11"/>
      <c r="AG16" s="11"/>
      <c r="AH16" s="11"/>
      <c r="AI16" s="11"/>
      <c r="AK16" s="11"/>
      <c r="AL16" s="11"/>
      <c r="AM16" s="11"/>
      <c r="AO16" s="11"/>
      <c r="AP16" s="11"/>
      <c r="AQ16" s="11"/>
      <c r="AS16" s="11"/>
      <c r="AT16" s="11"/>
      <c r="AU16" s="11"/>
      <c r="AW16" s="11"/>
      <c r="AX16" s="11"/>
      <c r="AY16" s="11"/>
      <c r="BA16" s="11"/>
      <c r="BB16" s="11"/>
      <c r="BC16" s="11"/>
    </row>
    <row r="17" spans="1:55" x14ac:dyDescent="0.25">
      <c r="A17" s="215"/>
      <c r="B17" s="65" t="s">
        <v>78</v>
      </c>
      <c r="C17" s="13" t="s">
        <v>165</v>
      </c>
      <c r="D17" s="131" t="s">
        <v>142</v>
      </c>
      <c r="E17" s="15">
        <v>1</v>
      </c>
      <c r="F17" s="15" t="str">
        <f t="shared" si="0"/>
        <v/>
      </c>
      <c r="G17" s="14" t="str">
        <f>IF(OR(F17="",F17="NA"),"",IF(OR(C17="time",LEFT(C17,3)="DAY"),IF(OR(C17="DAY2",C17="time"),IF((92%-(F17-E17)/(1/10*100))&lt;70%,70%,IF(92%-(F17-E17)/(1/10*100)&gt;105%,105%,92%-(F17-E17)/(1/10*100))),IF(COUNT(E17)=1,IF((112%-(F17-E17)/(1/10*100))&lt;70%,70%,IF(112%-(F17-E17)/(1/10*100)&gt;105%,105%,112%-(F17-E17)/(1/10*100))))),IF(LEFT(C17,5)="month",IF(C17="month1",IF((112%-IF(F17="W1",0,IF(F17="W2",1,MATCH(F17,Sheet1!$A$2:$A$13,0)-MATCH(E17,Sheet1!$A$2:$A$13,0)+1))/(1/10*100))&lt;70%,70%,IF(112%-IF(F17="W1",0,IF(F17="W2",1,MATCH(F17,Sheet1!$A$2:$A$13,0)-MATCH(E17,Sheet1!$A$2:$A$13,0)+1))/(1/10*100)&gt;105%,105%,112%-IF(F17="W1",0,IF(F17="W2",1,MATCH(F17,Sheet1!$A$2:$A$13,0)-MATCH(E17,Sheet1!$A$2:$A$13,0)+1))/(1/10*100))),IF((92%-(IF(OR(F17="w1",F17="w2"),1,MATCH(F17,Sheet1!$A$2:$A$13,0))-MATCH(E17,Sheet1!$A$2:$A$13,0))/(1/10*100))&lt;70%,70%,IF(92%-(IF(OR(F17="w1",F17="w2"),1,MATCH(F17,Sheet1!$A$2:$A$13,0))-MATCH(E17,Sheet1!$A$2:$A$13,0))/(1/10*100)&gt;105%,105%,92%-(IF(OR(F17="w1",F17="w2"),1,MATCH(F17,Sheet1!$A$2:$A$13,0))-MATCH(E17,Sheet1!$A$2:$A$13,0))/(1/10*100)))),IF(MID(D17,3,1)="+",IF(E17&lt;100,IF(112%-(E17-F17)/(1/IF(E17&lt;4,(40/E17),10)*100)&gt;105%,105%,IF(112%-(E17-F17)/(1/IF(E17&lt;4,(40/E17),10)*100)&lt;=72%,72%,112%-(E17-F17)/(1/IF(E17&lt;4,(40/E17),10)*100))),IF(112%-(E17-F17)/E17*10&gt;105%,105%,IF(112%-(E17-F17)/E17*10&lt;72%,72%,112%-(E17-F17)/E17*10))),IF(MID(D17,3,1)="-",IF(92%+((E17-F17)/(E17))*0.4&gt;105%,105%,IF(92%+((E17-F17)/(E17))*0.4&lt;72%,72%,92%+((E17-F17)/(E17))*0.4)),IF(OR(B17="BOTO",B17="NPI",B17="FF"),IF(102%+((E17-F17)/(E17))*0.4&gt;105%,105%,IF(102%+((E17-F17)/(E17))*0.4&lt;72%,72%,102%+((E17-F17)/(E17))*0.4)),""))))))</f>
        <v/>
      </c>
      <c r="I17" s="11"/>
      <c r="J17" s="11"/>
      <c r="K17" s="11"/>
      <c r="M17" s="11"/>
      <c r="N17" s="11"/>
      <c r="O17" s="11"/>
      <c r="Q17" s="11"/>
      <c r="R17" s="11"/>
      <c r="S17" s="11"/>
      <c r="U17" s="11"/>
      <c r="V17" s="11"/>
      <c r="W17" s="11"/>
      <c r="Y17" s="11"/>
      <c r="Z17" s="11"/>
      <c r="AA17" s="11"/>
      <c r="AC17" s="11"/>
      <c r="AD17" s="11"/>
      <c r="AE17" s="11"/>
      <c r="AG17" s="11"/>
      <c r="AH17" s="11"/>
      <c r="AI17" s="11"/>
      <c r="AK17" s="11"/>
      <c r="AL17" s="11"/>
      <c r="AM17" s="11"/>
      <c r="AO17" s="11"/>
      <c r="AP17" s="11"/>
      <c r="AQ17" s="11"/>
      <c r="AS17" s="11"/>
      <c r="AT17" s="11"/>
      <c r="AU17" s="11"/>
      <c r="AW17" s="11"/>
      <c r="AX17" s="11"/>
      <c r="AY17" s="11"/>
      <c r="BA17" s="11"/>
      <c r="BB17" s="11"/>
      <c r="BC17" s="11"/>
    </row>
    <row r="18" spans="1:55" x14ac:dyDescent="0.25">
      <c r="A18" s="215"/>
      <c r="B18" s="65" t="s">
        <v>89</v>
      </c>
      <c r="C18" s="13" t="s">
        <v>24</v>
      </c>
      <c r="D18" s="131" t="s">
        <v>164</v>
      </c>
      <c r="E18" s="15">
        <v>26</v>
      </c>
      <c r="F18" s="15" t="str">
        <f t="shared" si="0"/>
        <v/>
      </c>
      <c r="G18" s="14" t="str">
        <f>IF(OR(F18="",F18="NA"),"",IF(OR(C18="time",LEFT(C18,3)="DAY"),IF(OR(C18="DAY2",C18="time"),IF((92%-(F18-E18)/(1/10*100))&lt;70%,70%,IF(92%-(F18-E18)/(1/10*100)&gt;105%,105%,92%-(F18-E18)/(1/10*100))),IF(COUNT(E18)=1,IF((112%-(F18-E18)/(1/10*100))&lt;70%,70%,IF(112%-(F18-E18)/(1/10*100)&gt;105%,105%,112%-(F18-E18)/(1/10*100))))),IF(LEFT(C18,5)="month",IF(C18="month1",IF((112%-IF(F18="W1",0,IF(F18="W2",1,MATCH(F18,Sheet1!$A$2:$A$13,0)-MATCH(E18,Sheet1!$A$2:$A$13,0)+1))/(1/10*100))&lt;70%,70%,IF(112%-IF(F18="W1",0,IF(F18="W2",1,MATCH(F18,Sheet1!$A$2:$A$13,0)-MATCH(E18,Sheet1!$A$2:$A$13,0)+1))/(1/10*100)&gt;105%,105%,112%-IF(F18="W1",0,IF(F18="W2",1,MATCH(F18,Sheet1!$A$2:$A$13,0)-MATCH(E18,Sheet1!$A$2:$A$13,0)+1))/(1/10*100))),IF((92%-(IF(OR(F18="w1",F18="w2"),1,MATCH(F18,Sheet1!$A$2:$A$13,0))-MATCH(E18,Sheet1!$A$2:$A$13,0))/(1/10*100))&lt;70%,70%,IF(92%-(IF(OR(F18="w1",F18="w2"),1,MATCH(F18,Sheet1!$A$2:$A$13,0))-MATCH(E18,Sheet1!$A$2:$A$13,0))/(1/10*100)&gt;105%,105%,92%-(IF(OR(F18="w1",F18="w2"),1,MATCH(F18,Sheet1!$A$2:$A$13,0))-MATCH(E18,Sheet1!$A$2:$A$13,0))/(1/10*100)))),IF(MID(D18,3,1)="+",IF(E18&lt;100,IF(112%-(E18-F18)/(1/IF(E18&lt;4,(40/E18),10)*100)&gt;105%,105%,IF(112%-(E18-F18)/(1/IF(E18&lt;4,(40/E18),10)*100)&lt;=72%,72%,112%-(E18-F18)/(1/IF(E18&lt;4,(40/E18),10)*100))),IF(112%-(E18-F18)/E18*10&gt;105%,105%,IF(112%-(E18-F18)/E18*10&lt;72%,72%,112%-(E18-F18)/E18*10))),IF(MID(D18,3,1)="-",IF(92%+((E18-F18)/(E18))*0.4&gt;105%,105%,IF(92%+((E18-F18)/(E18))*0.4&lt;72%,72%,92%+((E18-F18)/(E18))*0.4)),IF(OR(B18="BOTO",B18="NPI",B18="FF"),IF(102%+((E18-F18)/(E18))*0.4&gt;105%,105%,IF(102%+((E18-F18)/(E18))*0.4&lt;72%,72%,102%+((E18-F18)/(E18))*0.4)),""))))))</f>
        <v/>
      </c>
      <c r="I18" s="11"/>
      <c r="J18" s="11"/>
      <c r="K18" s="11"/>
      <c r="M18" s="11"/>
      <c r="N18" s="11"/>
      <c r="O18" s="11"/>
      <c r="Q18" s="11"/>
      <c r="R18" s="11"/>
      <c r="S18" s="11"/>
      <c r="U18" s="11"/>
      <c r="V18" s="11"/>
      <c r="W18" s="11"/>
      <c r="Y18" s="11"/>
      <c r="Z18" s="11"/>
      <c r="AA18" s="11"/>
      <c r="AC18" s="11"/>
      <c r="AD18" s="11"/>
      <c r="AE18" s="11"/>
      <c r="AG18" s="11"/>
      <c r="AH18" s="11"/>
      <c r="AI18" s="11"/>
      <c r="AK18" s="11"/>
      <c r="AL18" s="11"/>
      <c r="AM18" s="11"/>
      <c r="AO18" s="11"/>
      <c r="AP18" s="11"/>
      <c r="AQ18" s="11"/>
      <c r="AS18" s="11"/>
      <c r="AT18" s="11"/>
      <c r="AU18" s="11"/>
      <c r="AW18" s="11"/>
      <c r="AX18" s="11"/>
      <c r="AY18" s="11"/>
      <c r="BA18" s="11"/>
      <c r="BB18" s="11"/>
      <c r="BC18" s="11"/>
    </row>
    <row r="19" spans="1:55" ht="30" x14ac:dyDescent="0.25">
      <c r="A19" s="215"/>
      <c r="B19" s="65" t="s">
        <v>90</v>
      </c>
      <c r="C19" s="13" t="s">
        <v>23</v>
      </c>
      <c r="D19" s="131" t="s">
        <v>164</v>
      </c>
      <c r="E19" s="15">
        <v>95</v>
      </c>
      <c r="F19" s="15" t="str">
        <f t="shared" si="0"/>
        <v/>
      </c>
      <c r="G19" s="14" t="str">
        <f>IF(OR(F19="",F19="NA"),"",IF(OR(C19="time",LEFT(C19,3)="DAY"),IF(OR(C19="DAY2",C19="time"),IF((92%-(F19-E19)/(1/10*100))&lt;70%,70%,IF(92%-(F19-E19)/(1/10*100)&gt;105%,105%,92%-(F19-E19)/(1/10*100))),IF(COUNT(E19)=1,IF((112%-(F19-E19)/(1/10*100))&lt;70%,70%,IF(112%-(F19-E19)/(1/10*100)&gt;105%,105%,112%-(F19-E19)/(1/10*100))))),IF(LEFT(C19,5)="month",IF(C19="month1",IF((112%-IF(F19="W1",0,IF(F19="W2",1,MATCH(F19,Sheet1!$A$2:$A$13,0)-MATCH(E19,Sheet1!$A$2:$A$13,0)+1))/(1/10*100))&lt;70%,70%,IF(112%-IF(F19="W1",0,IF(F19="W2",1,MATCH(F19,Sheet1!$A$2:$A$13,0)-MATCH(E19,Sheet1!$A$2:$A$13,0)+1))/(1/10*100)&gt;105%,105%,112%-IF(F19="W1",0,IF(F19="W2",1,MATCH(F19,Sheet1!$A$2:$A$13,0)-MATCH(E19,Sheet1!$A$2:$A$13,0)+1))/(1/10*100))),IF((92%-(IF(OR(F19="w1",F19="w2"),1,MATCH(F19,Sheet1!$A$2:$A$13,0))-MATCH(E19,Sheet1!$A$2:$A$13,0))/(1/10*100))&lt;70%,70%,IF(92%-(IF(OR(F19="w1",F19="w2"),1,MATCH(F19,Sheet1!$A$2:$A$13,0))-MATCH(E19,Sheet1!$A$2:$A$13,0))/(1/10*100)&gt;105%,105%,92%-(IF(OR(F19="w1",F19="w2"),1,MATCH(F19,Sheet1!$A$2:$A$13,0))-MATCH(E19,Sheet1!$A$2:$A$13,0))/(1/10*100)))),IF(MID(D19,3,1)="+",IF(E19&lt;100,IF(112%-(E19-F19)/(1/IF(E19&lt;4,(40/E19),10)*100)&gt;105%,105%,IF(112%-(E19-F19)/(1/IF(E19&lt;4,(40/E19),10)*100)&lt;=72%,72%,112%-(E19-F19)/(1/IF(E19&lt;4,(40/E19),10)*100))),IF(112%-(E19-F19)/E19*10&gt;105%,105%,IF(112%-(E19-F19)/E19*10&lt;72%,72%,112%-(E19-F19)/E19*10))),IF(MID(D19,3,1)="-",IF(92%+((E19-F19)/(E19))*0.4&gt;105%,105%,IF(92%+((E19-F19)/(E19))*0.4&lt;72%,72%,92%+((E19-F19)/(E19))*0.4)),IF(OR(B19="BOTO",B19="NPI",B19="FF"),IF(102%+((E19-F19)/(E19))*0.4&gt;105%,105%,IF(102%+((E19-F19)/(E19))*0.4&lt;72%,72%,102%+((E19-F19)/(E19))*0.4)),""))))))</f>
        <v/>
      </c>
      <c r="I19" s="11"/>
      <c r="J19" s="11"/>
      <c r="K19" s="11"/>
      <c r="M19" s="11"/>
      <c r="N19" s="11"/>
      <c r="O19" s="11"/>
      <c r="Q19" s="11"/>
      <c r="R19" s="11"/>
      <c r="S19" s="11"/>
      <c r="U19" s="11"/>
      <c r="V19" s="11"/>
      <c r="W19" s="11"/>
      <c r="Y19" s="11"/>
      <c r="Z19" s="11"/>
      <c r="AA19" s="11"/>
      <c r="AC19" s="11"/>
      <c r="AD19" s="11"/>
      <c r="AE19" s="11"/>
      <c r="AG19" s="11"/>
      <c r="AH19" s="11"/>
      <c r="AI19" s="11"/>
      <c r="AK19" s="11"/>
      <c r="AL19" s="11"/>
      <c r="AM19" s="11"/>
      <c r="AO19" s="11"/>
      <c r="AP19" s="11"/>
      <c r="AQ19" s="11"/>
      <c r="AS19" s="11"/>
      <c r="AT19" s="11"/>
      <c r="AU19" s="11"/>
      <c r="AW19" s="11"/>
      <c r="AX19" s="11"/>
      <c r="AY19" s="11"/>
      <c r="BA19" s="11"/>
      <c r="BB19" s="11"/>
      <c r="BC19" s="11"/>
    </row>
    <row r="20" spans="1:55" x14ac:dyDescent="0.25">
      <c r="A20" s="215"/>
      <c r="B20" s="65" t="s">
        <v>91</v>
      </c>
      <c r="C20" s="13" t="s">
        <v>23</v>
      </c>
      <c r="D20" s="131" t="s">
        <v>164</v>
      </c>
      <c r="E20" s="15">
        <v>95</v>
      </c>
      <c r="F20" s="15" t="str">
        <f t="shared" si="0"/>
        <v/>
      </c>
      <c r="G20" s="14" t="str">
        <f>IF(OR(F20="",F20="NA"),"",IF(OR(C20="time",LEFT(C20,3)="DAY"),IF(OR(C20="DAY2",C20="time"),IF((92%-(F20-E20)/(1/10*100))&lt;70%,70%,IF(92%-(F20-E20)/(1/10*100)&gt;105%,105%,92%-(F20-E20)/(1/10*100))),IF(COUNT(E20)=1,IF((112%-(F20-E20)/(1/10*100))&lt;70%,70%,IF(112%-(F20-E20)/(1/10*100)&gt;105%,105%,112%-(F20-E20)/(1/10*100))))),IF(LEFT(C20,5)="month",IF(C20="month1",IF((112%-IF(F20="W1",0,IF(F20="W2",1,MATCH(F20,Sheet1!$A$2:$A$13,0)-MATCH(E20,Sheet1!$A$2:$A$13,0)+1))/(1/10*100))&lt;70%,70%,IF(112%-IF(F20="W1",0,IF(F20="W2",1,MATCH(F20,Sheet1!$A$2:$A$13,0)-MATCH(E20,Sheet1!$A$2:$A$13,0)+1))/(1/10*100)&gt;105%,105%,112%-IF(F20="W1",0,IF(F20="W2",1,MATCH(F20,Sheet1!$A$2:$A$13,0)-MATCH(E20,Sheet1!$A$2:$A$13,0)+1))/(1/10*100))),IF((92%-(IF(OR(F20="w1",F20="w2"),1,MATCH(F20,Sheet1!$A$2:$A$13,0))-MATCH(E20,Sheet1!$A$2:$A$13,0))/(1/10*100))&lt;70%,70%,IF(92%-(IF(OR(F20="w1",F20="w2"),1,MATCH(F20,Sheet1!$A$2:$A$13,0))-MATCH(E20,Sheet1!$A$2:$A$13,0))/(1/10*100)&gt;105%,105%,92%-(IF(OR(F20="w1",F20="w2"),1,MATCH(F20,Sheet1!$A$2:$A$13,0))-MATCH(E20,Sheet1!$A$2:$A$13,0))/(1/10*100)))),IF(MID(D20,3,1)="+",IF(E20&lt;100,IF(112%-(E20-F20)/(1/IF(E20&lt;4,(40/E20),10)*100)&gt;105%,105%,IF(112%-(E20-F20)/(1/IF(E20&lt;4,(40/E20),10)*100)&lt;=72%,72%,112%-(E20-F20)/(1/IF(E20&lt;4,(40/E20),10)*100))),IF(112%-(E20-F20)/E20*10&gt;105%,105%,IF(112%-(E20-F20)/E20*10&lt;72%,72%,112%-(E20-F20)/E20*10))),IF(MID(D20,3,1)="-",IF(92%+((E20-F20)/(E20))*0.4&gt;105%,105%,IF(92%+((E20-F20)/(E20))*0.4&lt;72%,72%,92%+((E20-F20)/(E20))*0.4)),IF(OR(B20="BOTO",B20="NPI",B20="FF"),IF(102%+((E20-F20)/(E20))*0.4&gt;105%,105%,IF(102%+((E20-F20)/(E20))*0.4&lt;72%,72%,102%+((E20-F20)/(E20))*0.4)),""))))))</f>
        <v/>
      </c>
      <c r="I20" s="11"/>
      <c r="J20" s="11"/>
      <c r="K20" s="11"/>
      <c r="M20" s="11"/>
      <c r="N20" s="11"/>
      <c r="O20" s="11"/>
      <c r="Q20" s="11"/>
      <c r="R20" s="11"/>
      <c r="S20" s="11"/>
      <c r="U20" s="11"/>
      <c r="V20" s="11"/>
      <c r="W20" s="11"/>
      <c r="Y20" s="11"/>
      <c r="Z20" s="11"/>
      <c r="AA20" s="11"/>
      <c r="AC20" s="11"/>
      <c r="AD20" s="11"/>
      <c r="AE20" s="11"/>
      <c r="AG20" s="11"/>
      <c r="AH20" s="11"/>
      <c r="AI20" s="11"/>
      <c r="AK20" s="11"/>
      <c r="AL20" s="11"/>
      <c r="AM20" s="11"/>
      <c r="AO20" s="11"/>
      <c r="AP20" s="11"/>
      <c r="AQ20" s="11"/>
      <c r="AS20" s="11"/>
      <c r="AT20" s="11"/>
      <c r="AU20" s="11"/>
      <c r="AW20" s="11"/>
      <c r="AX20" s="11"/>
      <c r="AY20" s="11"/>
      <c r="BA20" s="11"/>
      <c r="BB20" s="11"/>
      <c r="BC20" s="11"/>
    </row>
    <row r="21" spans="1:55" ht="30" x14ac:dyDescent="0.25">
      <c r="A21" s="222"/>
      <c r="B21" s="12" t="s">
        <v>92</v>
      </c>
      <c r="C21" s="13" t="s">
        <v>24</v>
      </c>
      <c r="D21" s="131" t="s">
        <v>144</v>
      </c>
      <c r="E21" s="15">
        <v>2</v>
      </c>
      <c r="F21" s="15" t="str">
        <f t="shared" si="0"/>
        <v/>
      </c>
      <c r="G21" s="14" t="str">
        <f>IF(OR(F21="",F21="NA"),"",IF(OR(C21="time",LEFT(C21,3)="DAY"),IF(OR(C21="DAY2",C21="time"),IF((92%-(F21-E21)/(1/10*100))&lt;70%,70%,IF(92%-(F21-E21)/(1/10*100)&gt;105%,105%,92%-(F21-E21)/(1/10*100))),IF(COUNT(E21)=1,IF((112%-(F21-E21)/(1/10*100))&lt;70%,70%,IF(112%-(F21-E21)/(1/10*100)&gt;105%,105%,112%-(F21-E21)/(1/10*100))))),IF(LEFT(C21,5)="month",IF(C21="month1",IF((112%-IF(F21="W1",0,IF(F21="W2",1,MATCH(F21,Sheet1!$A$2:$A$13,0)-MATCH(E21,Sheet1!$A$2:$A$13,0)+1))/(1/10*100))&lt;70%,70%,IF(112%-IF(F21="W1",0,IF(F21="W2",1,MATCH(F21,Sheet1!$A$2:$A$13,0)-MATCH(E21,Sheet1!$A$2:$A$13,0)+1))/(1/10*100)&gt;105%,105%,112%-IF(F21="W1",0,IF(F21="W2",1,MATCH(F21,Sheet1!$A$2:$A$13,0)-MATCH(E21,Sheet1!$A$2:$A$13,0)+1))/(1/10*100))),IF((92%-(IF(OR(F21="w1",F21="w2"),1,MATCH(F21,Sheet1!$A$2:$A$13,0))-MATCH(E21,Sheet1!$A$2:$A$13,0))/(1/10*100))&lt;70%,70%,IF(92%-(IF(OR(F21="w1",F21="w2"),1,MATCH(F21,Sheet1!$A$2:$A$13,0))-MATCH(E21,Sheet1!$A$2:$A$13,0))/(1/10*100)&gt;105%,105%,92%-(IF(OR(F21="w1",F21="w2"),1,MATCH(F21,Sheet1!$A$2:$A$13,0))-MATCH(E21,Sheet1!$A$2:$A$13,0))/(1/10*100)))),IF(MID(D21,3,1)="+",IF(E21&lt;100,IF(112%-(E21-F21)/(1/IF(E21&lt;4,(40/E21),10)*100)&gt;105%,105%,IF(112%-(E21-F21)/(1/IF(E21&lt;4,(40/E21),10)*100)&lt;=72%,72%,112%-(E21-F21)/(1/IF(E21&lt;4,(40/E21),10)*100))),IF(112%-(E21-F21)/E21*10&gt;105%,105%,IF(112%-(E21-F21)/E21*10&lt;72%,72%,112%-(E21-F21)/E21*10))),IF(MID(D21,3,1)="-",IF(92%+((E21-F21)/(E21))*0.4&gt;105%,105%,IF(92%+((E21-F21)/(E21))*0.4&lt;72%,72%,92%+((E21-F21)/(E21))*0.4)),IF(OR(B21="BOTO",B21="NPI",B21="FF"),IF(102%+((E21-F21)/(E21))*0.4&gt;105%,105%,IF(102%+((E21-F21)/(E21))*0.4&lt;72%,72%,102%+((E21-F21)/(E21))*0.4)),""))))))</f>
        <v/>
      </c>
      <c r="I21" s="11"/>
      <c r="J21" s="11"/>
      <c r="K21" s="11"/>
      <c r="M21" s="11"/>
      <c r="N21" s="11"/>
      <c r="O21" s="11"/>
      <c r="Q21" s="11"/>
      <c r="R21" s="11"/>
      <c r="S21" s="11"/>
      <c r="U21" s="11"/>
      <c r="V21" s="11"/>
      <c r="W21" s="11"/>
      <c r="Y21" s="11"/>
      <c r="Z21" s="11"/>
      <c r="AA21" s="11"/>
      <c r="AC21" s="11"/>
      <c r="AD21" s="11"/>
      <c r="AE21" s="11"/>
      <c r="AG21" s="11"/>
      <c r="AH21" s="11"/>
      <c r="AI21" s="11"/>
      <c r="AK21" s="11"/>
      <c r="AL21" s="11"/>
      <c r="AM21" s="11"/>
      <c r="AO21" s="11"/>
      <c r="AP21" s="11"/>
      <c r="AQ21" s="11"/>
      <c r="AS21" s="11"/>
      <c r="AT21" s="11"/>
      <c r="AU21" s="11"/>
      <c r="AW21" s="11"/>
      <c r="AX21" s="11"/>
      <c r="AY21" s="11"/>
      <c r="BA21" s="11"/>
      <c r="BB21" s="11"/>
      <c r="BC21" s="11"/>
    </row>
    <row r="22" spans="1:55" ht="15.75" thickBot="1" x14ac:dyDescent="0.3">
      <c r="A22" s="223"/>
      <c r="B22" s="31" t="s">
        <v>81</v>
      </c>
      <c r="C22" s="113" t="s">
        <v>165</v>
      </c>
      <c r="D22" s="110" t="s">
        <v>142</v>
      </c>
      <c r="E22" s="111">
        <v>3</v>
      </c>
      <c r="F22" s="34" t="str">
        <f t="shared" si="0"/>
        <v/>
      </c>
      <c r="G22" s="35" t="str">
        <f>IF(OR(F22="",F22="NA"),"",IF(OR(C22="time",LEFT(C22,3)="DAY"),IF(OR(C22="DAY2",C22="time"),IF((92%-(F22-E22)/(1/10*100))&lt;70%,70%,IF(92%-(F22-E22)/(1/10*100)&gt;105%,105%,92%-(F22-E22)/(1/10*100))),IF(COUNT(E22)=1,IF((112%-(F22-E22)/(1/10*100))&lt;70%,70%,IF(112%-(F22-E22)/(1/10*100)&gt;105%,105%,112%-(F22-E22)/(1/10*100))))),IF(LEFT(C22,5)="month",IF(C22="month1",IF((112%-IF(F22="W1",0,IF(F22="W2",1,MATCH(F22,Sheet1!$A$2:$A$13,0)-MATCH(E22,Sheet1!$A$2:$A$13,0)+1))/(1/10*100))&lt;70%,70%,IF(112%-IF(F22="W1",0,IF(F22="W2",1,MATCH(F22,Sheet1!$A$2:$A$13,0)-MATCH(E22,Sheet1!$A$2:$A$13,0)+1))/(1/10*100)&gt;105%,105%,112%-IF(F22="W1",0,IF(F22="W2",1,MATCH(F22,Sheet1!$A$2:$A$13,0)-MATCH(E22,Sheet1!$A$2:$A$13,0)+1))/(1/10*100))),IF((92%-(IF(OR(F22="w1",F22="w2"),1,MATCH(F22,Sheet1!$A$2:$A$13,0))-MATCH(E22,Sheet1!$A$2:$A$13,0))/(1/10*100))&lt;70%,70%,IF(92%-(IF(OR(F22="w1",F22="w2"),1,MATCH(F22,Sheet1!$A$2:$A$13,0))-MATCH(E22,Sheet1!$A$2:$A$13,0))/(1/10*100)&gt;105%,105%,92%-(IF(OR(F22="w1",F22="w2"),1,MATCH(F22,Sheet1!$A$2:$A$13,0))-MATCH(E22,Sheet1!$A$2:$A$13,0))/(1/10*100)))),IF(MID(D22,3,1)="+",IF(E22&lt;100,IF(112%-(E22-F22)/(1/IF(E22&lt;4,(40/E22),10)*100)&gt;105%,105%,IF(112%-(E22-F22)/(1/IF(E22&lt;4,(40/E22),10)*100)&lt;=72%,72%,112%-(E22-F22)/(1/IF(E22&lt;4,(40/E22),10)*100))),IF(112%-(E22-F22)/E22*10&gt;105%,105%,IF(112%-(E22-F22)/E22*10&lt;72%,72%,112%-(E22-F22)/E22*10))),IF(MID(D22,3,1)="-",IF(92%+((E22-F22)/(E22))*0.4&gt;105%,105%,IF(92%+((E22-F22)/(E22))*0.4&lt;72%,72%,92%+((E22-F22)/(E22))*0.4)),IF(OR(B22="BOTO",B22="NPI",B22="FF"),IF(102%+((E22-F22)/(E22))*0.4&gt;105%,105%,IF(102%+((E22-F22)/(E22))*0.4&lt;72%,72%,102%+((E22-F22)/(E22))*0.4)),""))))))</f>
        <v/>
      </c>
      <c r="I22" s="11"/>
      <c r="J22" s="11"/>
      <c r="K22" s="11"/>
      <c r="M22" s="11"/>
      <c r="N22" s="11"/>
      <c r="O22" s="11"/>
      <c r="Q22" s="11"/>
      <c r="R22" s="11"/>
      <c r="S22" s="11"/>
      <c r="U22" s="11"/>
      <c r="V22" s="11"/>
      <c r="W22" s="11"/>
      <c r="Y22" s="11"/>
      <c r="Z22" s="11"/>
      <c r="AA22" s="11"/>
      <c r="AC22" s="11"/>
      <c r="AD22" s="11"/>
      <c r="AE22" s="11"/>
      <c r="AG22" s="11"/>
      <c r="AH22" s="11"/>
      <c r="AI22" s="11"/>
      <c r="AK22" s="11"/>
      <c r="AL22" s="11"/>
      <c r="AM22" s="11"/>
      <c r="AO22" s="11"/>
      <c r="AP22" s="11"/>
      <c r="AQ22" s="11"/>
      <c r="AS22" s="11"/>
      <c r="AT22" s="11"/>
      <c r="AU22" s="11"/>
      <c r="AW22" s="11"/>
      <c r="AX22" s="11"/>
      <c r="AY22" s="11"/>
      <c r="BA22" s="11"/>
      <c r="BB22" s="11"/>
      <c r="BC22" s="11"/>
    </row>
    <row r="23" spans="1:55" x14ac:dyDescent="0.25">
      <c r="A23" s="224" t="s">
        <v>55</v>
      </c>
      <c r="B23" s="38" t="s">
        <v>82</v>
      </c>
      <c r="C23" s="8" t="s">
        <v>24</v>
      </c>
      <c r="D23" s="9" t="s">
        <v>144</v>
      </c>
      <c r="E23" s="16">
        <v>5</v>
      </c>
      <c r="F23" s="16" t="str">
        <f t="shared" si="0"/>
        <v/>
      </c>
      <c r="G23" s="107" t="str">
        <f>IF(OR(F23="",F23="NA"),"",IF(OR(C23="time",LEFT(C23,3)="DAY"),IF(OR(C23="DAY2",C23="time"),IF((92%-(F23-E23)/(1/10*100))&lt;70%,70%,IF(92%-(F23-E23)/(1/10*100)&gt;105%,105%,92%-(F23-E23)/(1/10*100))),IF(COUNT(E23)=1,IF((112%-(F23-E23)/(1/10*100))&lt;70%,70%,IF(112%-(F23-E23)/(1/10*100)&gt;105%,105%,112%-(F23-E23)/(1/10*100))))),IF(LEFT(C23,5)="month",IF(C23="month1",IF((112%-IF(F23="W1",0,IF(F23="W2",1,MATCH(F23,Sheet1!$A$2:$A$13,0)-MATCH(E23,Sheet1!$A$2:$A$13,0)+1))/(1/10*100))&lt;70%,70%,IF(112%-IF(F23="W1",0,IF(F23="W2",1,MATCH(F23,Sheet1!$A$2:$A$13,0)-MATCH(E23,Sheet1!$A$2:$A$13,0)+1))/(1/10*100)&gt;105%,105%,112%-IF(F23="W1",0,IF(F23="W2",1,MATCH(F23,Sheet1!$A$2:$A$13,0)-MATCH(E23,Sheet1!$A$2:$A$13,0)+1))/(1/10*100))),IF((92%-(IF(OR(F23="w1",F23="w2"),1,MATCH(F23,Sheet1!$A$2:$A$13,0))-MATCH(E23,Sheet1!$A$2:$A$13,0))/(1/10*100))&lt;70%,70%,IF(92%-(IF(OR(F23="w1",F23="w2"),1,MATCH(F23,Sheet1!$A$2:$A$13,0))-MATCH(E23,Sheet1!$A$2:$A$13,0))/(1/10*100)&gt;105%,105%,92%-(IF(OR(F23="w1",F23="w2"),1,MATCH(F23,Sheet1!$A$2:$A$13,0))-MATCH(E23,Sheet1!$A$2:$A$13,0))/(1/10*100)))),IF(MID(D23,3,1)="+",IF(E23&lt;100,IF(112%-(E23-F23)/(1/IF(E23&lt;4,(40/E23),10)*100)&gt;105%,105%,IF(112%-(E23-F23)/(1/IF(E23&lt;4,(40/E23),10)*100)&lt;=72%,72%,112%-(E23-F23)/(1/IF(E23&lt;4,(40/E23),10)*100))),IF(112%-(E23-F23)/E23*10&gt;105%,105%,IF(112%-(E23-F23)/E23*10&lt;72%,72%,112%-(E23-F23)/E23*10))),IF(MID(D23,3,1)="-",IF(92%+((E23-F23)/(E23))*0.4&gt;105%,105%,IF(92%+((E23-F23)/(E23))*0.4&lt;72%,72%,92%+((E23-F23)/(E23))*0.4)),IF(OR(B23="BOTO",B23="NPI",B23="FF"),IF(102%+((E23-F23)/(E23))*0.4&gt;105%,105%,IF(102%+((E23-F23)/(E23))*0.4&lt;72%,72%,102%+((E23-F23)/(E23))*0.4)),""))))))</f>
        <v/>
      </c>
      <c r="I23" s="11"/>
      <c r="J23" s="11"/>
      <c r="K23" s="11"/>
      <c r="M23" s="11"/>
      <c r="N23" s="11"/>
      <c r="O23" s="11"/>
      <c r="Q23" s="11"/>
      <c r="R23" s="11"/>
      <c r="S23" s="11"/>
      <c r="U23" s="11"/>
      <c r="V23" s="11"/>
      <c r="W23" s="11"/>
      <c r="Y23" s="11"/>
      <c r="Z23" s="11"/>
      <c r="AA23" s="11"/>
      <c r="AC23" s="11"/>
      <c r="AD23" s="11"/>
      <c r="AE23" s="11"/>
      <c r="AG23" s="11"/>
      <c r="AH23" s="11"/>
      <c r="AI23" s="11"/>
      <c r="AK23" s="11"/>
      <c r="AL23" s="11"/>
      <c r="AM23" s="11"/>
      <c r="AO23" s="11"/>
      <c r="AP23" s="11"/>
      <c r="AQ23" s="11"/>
      <c r="AS23" s="11"/>
      <c r="AT23" s="11"/>
      <c r="AU23" s="11"/>
      <c r="AW23" s="11"/>
      <c r="AX23" s="11"/>
      <c r="AY23" s="11"/>
      <c r="BA23" s="11"/>
      <c r="BB23" s="11"/>
      <c r="BC23" s="11"/>
    </row>
    <row r="24" spans="1:55" ht="15.75" thickBot="1" x14ac:dyDescent="0.3">
      <c r="A24" s="225"/>
      <c r="B24" s="108" t="s">
        <v>83</v>
      </c>
      <c r="C24" s="113" t="s">
        <v>24</v>
      </c>
      <c r="D24" s="110" t="s">
        <v>144</v>
      </c>
      <c r="E24" s="111">
        <v>1</v>
      </c>
      <c r="F24" s="111" t="str">
        <f t="shared" si="0"/>
        <v/>
      </c>
      <c r="G24" s="112" t="str">
        <f>IF(OR(F24="",F24="NA"),"",IF(OR(C24="time",LEFT(C24,3)="DAY"),IF(OR(C24="DAY2",C24="time"),IF((92%-(F24-E24)/(1/10*100))&lt;70%,70%,IF(92%-(F24-E24)/(1/10*100)&gt;105%,105%,92%-(F24-E24)/(1/10*100))),IF(COUNT(E24)=1,IF((112%-(F24-E24)/(1/10*100))&lt;70%,70%,IF(112%-(F24-E24)/(1/10*100)&gt;105%,105%,112%-(F24-E24)/(1/10*100))))),IF(LEFT(C24,5)="month",IF(C24="month1",IF((112%-IF(F24="W1",0,IF(F24="W2",1,MATCH(F24,Sheet1!$A$2:$A$13,0)-MATCH(E24,Sheet1!$A$2:$A$13,0)+1))/(1/10*100))&lt;70%,70%,IF(112%-IF(F24="W1",0,IF(F24="W2",1,MATCH(F24,Sheet1!$A$2:$A$13,0)-MATCH(E24,Sheet1!$A$2:$A$13,0)+1))/(1/10*100)&gt;105%,105%,112%-IF(F24="W1",0,IF(F24="W2",1,MATCH(F24,Sheet1!$A$2:$A$13,0)-MATCH(E24,Sheet1!$A$2:$A$13,0)+1))/(1/10*100))),IF((92%-(IF(OR(F24="w1",F24="w2"),1,MATCH(F24,Sheet1!$A$2:$A$13,0))-MATCH(E24,Sheet1!$A$2:$A$13,0))/(1/10*100))&lt;70%,70%,IF(92%-(IF(OR(F24="w1",F24="w2"),1,MATCH(F24,Sheet1!$A$2:$A$13,0))-MATCH(E24,Sheet1!$A$2:$A$13,0))/(1/10*100)&gt;105%,105%,92%-(IF(OR(F24="w1",F24="w2"),1,MATCH(F24,Sheet1!$A$2:$A$13,0))-MATCH(E24,Sheet1!$A$2:$A$13,0))/(1/10*100)))),IF(MID(D24,3,1)="+",IF(E24&lt;100,IF(112%-(E24-F24)/(1/IF(E24&lt;4,(40/E24),10)*100)&gt;105%,105%,IF(112%-(E24-F24)/(1/IF(E24&lt;4,(40/E24),10)*100)&lt;=72%,72%,112%-(E24-F24)/(1/IF(E24&lt;4,(40/E24),10)*100))),IF(112%-(E24-F24)/E24*10&gt;105%,105%,IF(112%-(E24-F24)/E24*10&lt;72%,72%,112%-(E24-F24)/E24*10))),IF(MID(D24,3,1)="-",IF(92%+((E24-F24)/(E24))*0.4&gt;105%,105%,IF(92%+((E24-F24)/(E24))*0.4&lt;72%,72%,92%+((E24-F24)/(E24))*0.4)),IF(OR(B24="BOTO",B24="NPI",B24="FF"),IF(102%+((E24-F24)/(E24))*0.4&gt;105%,105%,IF(102%+((E24-F24)/(E24))*0.4&lt;72%,72%,102%+((E24-F24)/(E24))*0.4)),""))))))</f>
        <v/>
      </c>
      <c r="I24" s="11"/>
      <c r="J24" s="11"/>
      <c r="K24" s="11"/>
      <c r="M24" s="11"/>
      <c r="N24" s="11"/>
      <c r="O24" s="11"/>
      <c r="Q24" s="11"/>
      <c r="R24" s="11"/>
      <c r="S24" s="11"/>
      <c r="U24" s="11"/>
      <c r="V24" s="11"/>
      <c r="W24" s="11"/>
      <c r="Y24" s="11"/>
      <c r="Z24" s="11"/>
      <c r="AA24" s="11"/>
      <c r="AC24" s="11"/>
      <c r="AD24" s="11"/>
      <c r="AE24" s="11"/>
      <c r="AG24" s="11"/>
      <c r="AH24" s="11"/>
      <c r="AI24" s="11"/>
      <c r="AK24" s="11"/>
      <c r="AL24" s="11"/>
      <c r="AM24" s="11"/>
      <c r="AO24" s="11"/>
      <c r="AP24" s="11"/>
      <c r="AQ24" s="11"/>
      <c r="AS24" s="11"/>
      <c r="AT24" s="11"/>
      <c r="AU24" s="11"/>
      <c r="AW24" s="11"/>
      <c r="AX24" s="11"/>
      <c r="AY24" s="11"/>
      <c r="BA24" s="11"/>
      <c r="BB24" s="11"/>
      <c r="BC24" s="11"/>
    </row>
    <row r="25" spans="1:55" x14ac:dyDescent="0.25">
      <c r="A25" s="1"/>
      <c r="B25" s="2"/>
      <c r="C25" s="2"/>
      <c r="D25" s="2"/>
      <c r="E25" s="2"/>
      <c r="F25" s="2"/>
      <c r="G25" s="3"/>
    </row>
    <row r="26" spans="1:55" ht="15.75" thickBot="1" x14ac:dyDescent="0.3">
      <c r="A26" s="1"/>
      <c r="B26" s="2"/>
      <c r="C26" s="2"/>
      <c r="D26" s="2"/>
      <c r="E26" s="2"/>
      <c r="F26" s="2"/>
      <c r="G26" s="3"/>
    </row>
    <row r="27" spans="1:55" ht="15.75" thickBot="1" x14ac:dyDescent="0.3">
      <c r="A27" s="210" t="s">
        <v>25</v>
      </c>
      <c r="B27" s="211"/>
      <c r="C27" s="211"/>
      <c r="D27" s="211"/>
      <c r="E27" s="211"/>
      <c r="F27" s="212"/>
      <c r="G27" s="3"/>
    </row>
    <row r="28" spans="1:55" ht="30" customHeight="1" thickBot="1" x14ac:dyDescent="0.3">
      <c r="A28" s="4" t="s">
        <v>15</v>
      </c>
      <c r="B28" s="40" t="s">
        <v>52</v>
      </c>
      <c r="C28" s="104" t="s">
        <v>53</v>
      </c>
      <c r="D28" s="104" t="s">
        <v>54</v>
      </c>
      <c r="E28" s="192" t="s">
        <v>55</v>
      </c>
      <c r="F28" s="193"/>
      <c r="G28" s="3"/>
    </row>
    <row r="29" spans="1:55" x14ac:dyDescent="0.25">
      <c r="A29" s="21" t="s">
        <v>26</v>
      </c>
      <c r="B29" s="72" t="str">
        <f>IFERROR(AVERAGE(G11:G12),"")</f>
        <v/>
      </c>
      <c r="C29" s="73" t="str">
        <f>IFERROR(AVERAGE(G13:G13),"")</f>
        <v/>
      </c>
      <c r="D29" s="73" t="str">
        <f>IFERROR(AVERAGE(G14:G22),"")</f>
        <v/>
      </c>
      <c r="E29" s="206" t="str">
        <f>IFERROR(AVERAGE(G23:G24),"")</f>
        <v/>
      </c>
      <c r="F29" s="207"/>
      <c r="G29" s="3"/>
    </row>
    <row r="30" spans="1:55" x14ac:dyDescent="0.25">
      <c r="A30" s="74" t="s">
        <v>19</v>
      </c>
      <c r="B30" s="42">
        <f>IF(F5="Foreman/Officer",30%,20%)</f>
        <v>0.3</v>
      </c>
      <c r="C30" s="43">
        <f>IF(F5="MANAGER",30%,20%)</f>
        <v>0.2</v>
      </c>
      <c r="D30" s="43">
        <f>IF(F5="Foreman/Officer",20%,30%)</f>
        <v>0.2</v>
      </c>
      <c r="E30" s="202">
        <f>IF(F5="MANAGER",20%,30%)</f>
        <v>0.3</v>
      </c>
      <c r="F30" s="203"/>
      <c r="G30" s="3"/>
    </row>
    <row r="31" spans="1:55" ht="15.75" thickBot="1" x14ac:dyDescent="0.3">
      <c r="A31" s="75" t="s">
        <v>27</v>
      </c>
      <c r="B31" s="70" t="str">
        <f>IFERROR(B30*B29,"")</f>
        <v/>
      </c>
      <c r="C31" s="71" t="str">
        <f t="shared" ref="C31" si="1">IFERROR(C30*C29,"")</f>
        <v/>
      </c>
      <c r="D31" s="71" t="str">
        <f>IFERROR(D30*D29,"")</f>
        <v/>
      </c>
      <c r="E31" s="204" t="str">
        <f>IFERROR(E30*E29,"")</f>
        <v/>
      </c>
      <c r="F31" s="205"/>
      <c r="G31" s="3"/>
    </row>
    <row r="32" spans="1:55" x14ac:dyDescent="0.25">
      <c r="A32" s="76" t="s">
        <v>28</v>
      </c>
      <c r="B32" s="180">
        <f>SUM(B31:F31)</f>
        <v>0</v>
      </c>
      <c r="C32" s="181"/>
      <c r="D32" s="181"/>
      <c r="E32" s="181"/>
      <c r="F32" s="182"/>
      <c r="G32" s="3"/>
    </row>
    <row r="33" spans="1:7" ht="15.75" thickBot="1" x14ac:dyDescent="0.3">
      <c r="A33" s="25" t="s">
        <v>29</v>
      </c>
      <c r="B33" s="183" t="str">
        <f>IF(B32&gt;105%,"OUTSTANDING",IF(AND(B32&gt;100%,B32&lt;=105%),"EXCEED",IF(AND(B32&gt;90%,B32&lt;=100%),"MEET EXPECTATION",IF(AND(B32&gt;=75%,B32&lt;=89%),"NEED IMPROVEMENT",IF(B32&lt;75%,"FAILED","")))))</f>
        <v>FAILED</v>
      </c>
      <c r="C33" s="184"/>
      <c r="D33" s="184"/>
      <c r="E33" s="184"/>
      <c r="F33" s="185"/>
      <c r="G33" s="3"/>
    </row>
    <row r="34" spans="1:7" ht="15.75" thickBot="1" x14ac:dyDescent="0.3">
      <c r="A34" s="1"/>
      <c r="B34" s="2"/>
      <c r="C34" s="2"/>
      <c r="D34" s="2"/>
      <c r="E34" s="2"/>
      <c r="F34" s="2"/>
      <c r="G34" s="3"/>
    </row>
    <row r="35" spans="1:7" ht="15.75" thickBot="1" x14ac:dyDescent="0.3">
      <c r="A35" s="159" t="s">
        <v>56</v>
      </c>
      <c r="B35" s="160"/>
      <c r="C35" s="160"/>
      <c r="D35" s="160"/>
      <c r="E35" s="160"/>
      <c r="F35" s="191"/>
      <c r="G35" s="3"/>
    </row>
    <row r="36" spans="1:7" ht="15.75" thickBot="1" x14ac:dyDescent="0.3">
      <c r="A36" s="77" t="s">
        <v>15</v>
      </c>
      <c r="B36" s="40" t="s">
        <v>57</v>
      </c>
      <c r="C36" s="104" t="s">
        <v>17</v>
      </c>
      <c r="D36" s="104" t="s">
        <v>19</v>
      </c>
      <c r="E36" s="192" t="s">
        <v>29</v>
      </c>
      <c r="F36" s="193"/>
      <c r="G36" s="3"/>
    </row>
    <row r="37" spans="1:7" ht="26.25" customHeight="1" thickBot="1" x14ac:dyDescent="0.3">
      <c r="A37" s="78" t="s">
        <v>58</v>
      </c>
      <c r="B37" s="45" t="s">
        <v>59</v>
      </c>
      <c r="C37" s="46" t="s">
        <v>23</v>
      </c>
      <c r="D37" s="47">
        <v>1</v>
      </c>
      <c r="E37" s="194" t="str">
        <f>IF(D37&gt;105%,"OUTSTANDING",IF(AND(D37&gt;100%,D37&lt;=105%),"EXCEED",IF(AND(D37&gt;=90%,D37&lt;=100%),"MEET EXPECTATION",IF(AND(D37&gt;=75%,D37&lt;90%),"NEED IMPROVEMENT",IF(D37&lt;75%,"FAILED","")))))</f>
        <v>MEET EXPECTATION</v>
      </c>
      <c r="F37" s="195"/>
      <c r="G37" s="3"/>
    </row>
    <row r="38" spans="1:7" ht="15.75" thickBot="1" x14ac:dyDescent="0.3">
      <c r="A38" s="1"/>
      <c r="B38" s="2"/>
      <c r="C38" s="2"/>
      <c r="D38" s="2"/>
      <c r="E38" s="2"/>
      <c r="F38" s="2"/>
      <c r="G38" s="3"/>
    </row>
    <row r="39" spans="1:7" ht="15.75" thickBot="1" x14ac:dyDescent="0.3">
      <c r="A39" s="196" t="s">
        <v>60</v>
      </c>
      <c r="B39" s="197"/>
      <c r="C39" s="197"/>
      <c r="D39" s="197"/>
      <c r="E39" s="198"/>
      <c r="F39" s="2"/>
      <c r="G39" s="3"/>
    </row>
    <row r="40" spans="1:7" x14ac:dyDescent="0.25">
      <c r="A40" s="79" t="s">
        <v>15</v>
      </c>
      <c r="B40" s="44" t="s">
        <v>57</v>
      </c>
      <c r="C40" s="48" t="s">
        <v>61</v>
      </c>
      <c r="D40" s="44" t="s">
        <v>26</v>
      </c>
      <c r="E40" s="52" t="s">
        <v>62</v>
      </c>
      <c r="F40" s="2"/>
      <c r="G40" s="3"/>
    </row>
    <row r="41" spans="1:7" ht="15.75" thickBot="1" x14ac:dyDescent="0.3">
      <c r="A41" s="80" t="s">
        <v>63</v>
      </c>
      <c r="B41" s="49" t="s">
        <v>64</v>
      </c>
      <c r="C41" s="50">
        <v>1</v>
      </c>
      <c r="D41" s="51">
        <f>IF(F5="Foreman/Officer",30%,IF(F5="Section Head/SPV",40%,IF(F5="Dept. Head",60%,IF(F5="MANAGER",70%,""))))</f>
        <v>0.3</v>
      </c>
      <c r="E41" s="53">
        <f>C41*D41</f>
        <v>0.3</v>
      </c>
      <c r="F41" s="2"/>
      <c r="G41" s="3"/>
    </row>
    <row r="42" spans="1:7" ht="15.75" thickBot="1" x14ac:dyDescent="0.3">
      <c r="A42" s="1"/>
      <c r="B42" s="2"/>
      <c r="C42" s="2"/>
      <c r="D42" s="2"/>
      <c r="E42" s="2"/>
      <c r="F42" s="2"/>
      <c r="G42" s="3"/>
    </row>
    <row r="43" spans="1:7" ht="15.75" thickBot="1" x14ac:dyDescent="0.3">
      <c r="A43" s="190" t="s">
        <v>65</v>
      </c>
      <c r="B43" s="160"/>
      <c r="C43" s="160"/>
      <c r="D43" s="160"/>
      <c r="E43" s="160"/>
      <c r="F43" s="160"/>
      <c r="G43" s="191"/>
    </row>
    <row r="44" spans="1:7" ht="15.75" thickBot="1" x14ac:dyDescent="0.3">
      <c r="A44" s="190" t="s">
        <v>66</v>
      </c>
      <c r="B44" s="160"/>
      <c r="C44" s="160"/>
      <c r="D44" s="160"/>
      <c r="E44" s="160"/>
      <c r="F44" s="160"/>
      <c r="G44" s="191"/>
    </row>
    <row r="45" spans="1:7" ht="15.75" thickBot="1" x14ac:dyDescent="0.3">
      <c r="A45" s="186" t="s">
        <v>67</v>
      </c>
      <c r="B45" s="187"/>
      <c r="C45" s="88" t="s">
        <v>19</v>
      </c>
      <c r="D45" s="89" t="s">
        <v>26</v>
      </c>
      <c r="E45" s="90" t="s">
        <v>68</v>
      </c>
      <c r="F45" s="188" t="s">
        <v>69</v>
      </c>
      <c r="G45" s="189"/>
    </row>
    <row r="46" spans="1:7" x14ac:dyDescent="0.25">
      <c r="A46" s="162" t="s">
        <v>52</v>
      </c>
      <c r="B46" s="163"/>
      <c r="C46" s="85">
        <f>B32</f>
        <v>0</v>
      </c>
      <c r="D46" s="86">
        <f>IF(F5="Foreman/Officer",70%,IF(F5="Section Head/SPV",60%,IF(F5="Dept. Head",40%,IF(F5="MANAGER",30%,""))))</f>
        <v>0.7</v>
      </c>
      <c r="E46" s="87">
        <f>C46*D46</f>
        <v>0</v>
      </c>
      <c r="F46" s="166">
        <f>E46+E47</f>
        <v>0.3</v>
      </c>
      <c r="G46" s="167"/>
    </row>
    <row r="47" spans="1:7" ht="15.75" thickBot="1" x14ac:dyDescent="0.3">
      <c r="A47" s="164" t="s">
        <v>70</v>
      </c>
      <c r="B47" s="165"/>
      <c r="C47" s="84">
        <f>C41</f>
        <v>1</v>
      </c>
      <c r="D47" s="54">
        <f>IF(F5="Foreman/Officer",30%,IF(F5="Section Head/SPV",40%,IF(F5="Dept. Head",60%,IF(F5="MANAGER",70%,""))))</f>
        <v>0.3</v>
      </c>
      <c r="E47" s="55">
        <f>C47*D47</f>
        <v>0.3</v>
      </c>
      <c r="F47" s="168"/>
      <c r="G47" s="169"/>
    </row>
    <row r="48" spans="1:7" ht="15.75" thickBot="1" x14ac:dyDescent="0.3">
      <c r="A48" s="1"/>
      <c r="B48" s="2"/>
      <c r="C48" s="2"/>
      <c r="D48" s="2"/>
      <c r="E48" s="2"/>
      <c r="F48" s="2"/>
      <c r="G48" s="3"/>
    </row>
    <row r="49" spans="1:7" ht="15.75" thickBot="1" x14ac:dyDescent="0.3">
      <c r="A49" s="159" t="s">
        <v>71</v>
      </c>
      <c r="B49" s="160"/>
      <c r="C49" s="160"/>
      <c r="D49" s="160"/>
      <c r="E49" s="160"/>
      <c r="F49" s="160"/>
      <c r="G49" s="161"/>
    </row>
    <row r="50" spans="1:7" ht="15.75" thickBot="1" x14ac:dyDescent="0.3">
      <c r="A50" s="81" t="s">
        <v>67</v>
      </c>
      <c r="B50" s="62" t="s">
        <v>19</v>
      </c>
      <c r="C50" s="63" t="s">
        <v>26</v>
      </c>
      <c r="D50" s="64" t="s">
        <v>62</v>
      </c>
      <c r="E50" s="91" t="s">
        <v>71</v>
      </c>
      <c r="F50" s="157" t="s">
        <v>29</v>
      </c>
      <c r="G50" s="158"/>
    </row>
    <row r="51" spans="1:7" ht="15" customHeight="1" x14ac:dyDescent="0.25">
      <c r="A51" s="82" t="s">
        <v>66</v>
      </c>
      <c r="B51" s="59">
        <f>F46</f>
        <v>0.3</v>
      </c>
      <c r="C51" s="60">
        <v>0.8</v>
      </c>
      <c r="D51" s="61">
        <f>B51*C51</f>
        <v>0.24</v>
      </c>
      <c r="E51" s="174">
        <f>D51+D52</f>
        <v>0.44</v>
      </c>
      <c r="F51" s="176" t="str">
        <f>IF(E51&gt;105%,"OUTSTANDING",IF(AND(E51&gt;100%,E51&lt;=105%),"EXCEED",IF(AND(E51&gt;=90%,E51&lt;=100%),"MEET EXPECTATION",IF(AND(E51&gt;=75%,E51&lt;90%),"NEED IMPROVEMENT",IF(E51&lt;75%,"FAILED","")))))</f>
        <v>FAILED</v>
      </c>
      <c r="G51" s="177"/>
    </row>
    <row r="52" spans="1:7" ht="15.75" thickBot="1" x14ac:dyDescent="0.3">
      <c r="A52" s="83" t="s">
        <v>58</v>
      </c>
      <c r="B52" s="58">
        <f>D37</f>
        <v>1</v>
      </c>
      <c r="C52" s="56">
        <v>0.2</v>
      </c>
      <c r="D52" s="57">
        <f>B52*C52</f>
        <v>0.2</v>
      </c>
      <c r="E52" s="175"/>
      <c r="F52" s="178"/>
      <c r="G52" s="179"/>
    </row>
    <row r="53" spans="1:7" ht="15.75" thickBot="1" x14ac:dyDescent="0.3">
      <c r="A53" s="1"/>
      <c r="B53" s="2"/>
      <c r="C53" s="2"/>
      <c r="D53" s="2"/>
      <c r="E53" s="2"/>
      <c r="F53" s="2"/>
      <c r="G53" s="3"/>
    </row>
    <row r="54" spans="1:7" ht="30.75" thickBot="1" x14ac:dyDescent="0.3">
      <c r="A54" s="4" t="s">
        <v>29</v>
      </c>
      <c r="B54" s="17" t="s">
        <v>30</v>
      </c>
      <c r="C54" s="18" t="s">
        <v>31</v>
      </c>
      <c r="D54" s="19" t="s">
        <v>32</v>
      </c>
      <c r="E54" s="19" t="s">
        <v>33</v>
      </c>
      <c r="F54" s="20" t="s">
        <v>34</v>
      </c>
      <c r="G54" s="3"/>
    </row>
    <row r="55" spans="1:7" x14ac:dyDescent="0.25">
      <c r="A55" s="21" t="s">
        <v>35</v>
      </c>
      <c r="B55" s="22" t="s">
        <v>36</v>
      </c>
      <c r="C55" s="23" t="s">
        <v>37</v>
      </c>
      <c r="D55" s="23" t="s">
        <v>38</v>
      </c>
      <c r="E55" s="23" t="s">
        <v>39</v>
      </c>
      <c r="F55" s="24" t="s">
        <v>40</v>
      </c>
      <c r="G55" s="3"/>
    </row>
    <row r="56" spans="1:7" ht="15.75" thickBot="1" x14ac:dyDescent="0.3">
      <c r="A56" s="25" t="s">
        <v>41</v>
      </c>
      <c r="B56" s="26">
        <f>COUNTIF(G11:G24,"&gt;=105%")</f>
        <v>0</v>
      </c>
      <c r="C56" s="27">
        <f>COUNTIFS(G11:G24,"&gt;=99%",G11:G24,"&lt;105%")</f>
        <v>0</v>
      </c>
      <c r="D56" s="27">
        <f>COUNTIFS(G11:G24,"&gt;=88%",G11:G24,"&lt;99%")</f>
        <v>0</v>
      </c>
      <c r="E56" s="27">
        <f>COUNTIFS(G11:G24,"&gt;=75%",G11:G24,"&lt;88%")</f>
        <v>0</v>
      </c>
      <c r="F56" s="28">
        <f>COUNTIF(G11:G24,"&lt;75%")</f>
        <v>0</v>
      </c>
      <c r="G56" s="3"/>
    </row>
    <row r="57" spans="1:7" x14ac:dyDescent="0.25">
      <c r="A57" s="1"/>
      <c r="B57" s="2"/>
      <c r="C57" s="2"/>
      <c r="D57" s="2"/>
      <c r="E57" s="2"/>
      <c r="F57" s="2"/>
      <c r="G57" s="3"/>
    </row>
    <row r="58" spans="1:7" x14ac:dyDescent="0.25">
      <c r="A58" s="1"/>
      <c r="B58" s="2"/>
      <c r="C58" s="2"/>
      <c r="D58" s="2"/>
      <c r="E58" s="2"/>
      <c r="F58" s="2"/>
      <c r="G58" s="3"/>
    </row>
    <row r="59" spans="1:7" x14ac:dyDescent="0.25">
      <c r="A59" s="1" t="s">
        <v>42</v>
      </c>
      <c r="B59" s="2"/>
      <c r="C59" s="172" t="s">
        <v>43</v>
      </c>
      <c r="D59" s="172"/>
      <c r="E59" s="2"/>
      <c r="F59" s="172" t="s">
        <v>44</v>
      </c>
      <c r="G59" s="173"/>
    </row>
    <row r="60" spans="1:7" x14ac:dyDescent="0.25">
      <c r="A60" s="1"/>
      <c r="B60" s="2"/>
      <c r="C60" s="2"/>
      <c r="D60" s="2"/>
      <c r="E60" s="2"/>
      <c r="F60" s="2"/>
      <c r="G60" s="3"/>
    </row>
    <row r="61" spans="1:7" x14ac:dyDescent="0.25">
      <c r="A61" s="1"/>
      <c r="B61" s="2"/>
      <c r="C61" s="2"/>
      <c r="D61" s="2"/>
      <c r="E61" s="2"/>
      <c r="F61" s="2"/>
      <c r="G61" s="3"/>
    </row>
    <row r="62" spans="1:7" x14ac:dyDescent="0.25">
      <c r="A62" s="1"/>
      <c r="B62" s="2"/>
      <c r="C62" s="2"/>
      <c r="D62" s="2"/>
      <c r="E62" s="2"/>
      <c r="F62" s="2"/>
      <c r="G62" s="3"/>
    </row>
    <row r="63" spans="1:7" x14ac:dyDescent="0.25">
      <c r="A63" s="1"/>
      <c r="B63" s="2"/>
      <c r="C63" s="2"/>
      <c r="D63" s="2"/>
      <c r="E63" s="2"/>
      <c r="F63" s="2"/>
      <c r="G63" s="3"/>
    </row>
    <row r="64" spans="1:7" x14ac:dyDescent="0.25">
      <c r="A64" s="1"/>
      <c r="B64" s="2"/>
      <c r="C64" s="172"/>
      <c r="D64" s="172"/>
      <c r="E64" s="2"/>
      <c r="F64" s="172"/>
      <c r="G64" s="173"/>
    </row>
    <row r="65" spans="1:7" ht="15.75" thickBot="1" x14ac:dyDescent="0.3">
      <c r="A65" s="29"/>
      <c r="B65" s="30"/>
      <c r="C65" s="170"/>
      <c r="D65" s="170"/>
      <c r="E65" s="30"/>
      <c r="F65" s="170"/>
      <c r="G65" s="171"/>
    </row>
    <row r="66" spans="1:7" ht="15.75" thickTop="1" x14ac:dyDescent="0.25"/>
  </sheetData>
  <mergeCells count="47">
    <mergeCell ref="C64:D64"/>
    <mergeCell ref="F64:G64"/>
    <mergeCell ref="C65:D65"/>
    <mergeCell ref="F65:G65"/>
    <mergeCell ref="A49:G49"/>
    <mergeCell ref="F50:G50"/>
    <mergeCell ref="E51:E52"/>
    <mergeCell ref="F51:G52"/>
    <mergeCell ref="C59:D59"/>
    <mergeCell ref="F59:G59"/>
    <mergeCell ref="A43:G43"/>
    <mergeCell ref="A44:G44"/>
    <mergeCell ref="A45:B45"/>
    <mergeCell ref="F45:G45"/>
    <mergeCell ref="A46:B46"/>
    <mergeCell ref="F46:G47"/>
    <mergeCell ref="A47:B47"/>
    <mergeCell ref="A39:E39"/>
    <mergeCell ref="A23:A24"/>
    <mergeCell ref="A27:F27"/>
    <mergeCell ref="E28:F28"/>
    <mergeCell ref="E29:F29"/>
    <mergeCell ref="E30:F30"/>
    <mergeCell ref="E31:F31"/>
    <mergeCell ref="B32:F32"/>
    <mergeCell ref="B33:F33"/>
    <mergeCell ref="A35:F35"/>
    <mergeCell ref="E36:F36"/>
    <mergeCell ref="E37:F37"/>
    <mergeCell ref="AO9:AQ9"/>
    <mergeCell ref="AS9:AU9"/>
    <mergeCell ref="AW9:AY9"/>
    <mergeCell ref="BA9:BC9"/>
    <mergeCell ref="A11:A12"/>
    <mergeCell ref="AG9:AI9"/>
    <mergeCell ref="AK9:AM9"/>
    <mergeCell ref="A14:A22"/>
    <mergeCell ref="Q9:S9"/>
    <mergeCell ref="U9:W9"/>
    <mergeCell ref="Y9:AA9"/>
    <mergeCell ref="AC9:AE9"/>
    <mergeCell ref="M9:O9"/>
    <mergeCell ref="B2:F2"/>
    <mergeCell ref="B3:F3"/>
    <mergeCell ref="F5:G5"/>
    <mergeCell ref="A9:G9"/>
    <mergeCell ref="I9:K9"/>
  </mergeCells>
  <conditionalFormatting sqref="B33">
    <cfRule type="containsText" dxfId="59" priority="11" operator="containsText" text="EXCEED">
      <formula>NOT(ISERROR(SEARCH("EXCEED",B33)))</formula>
    </cfRule>
    <cfRule type="containsText" dxfId="58" priority="12" operator="containsText" text="NEED IMPROVEMENT">
      <formula>NOT(ISERROR(SEARCH("NEED IMPROVEMENT",B33)))</formula>
    </cfRule>
    <cfRule type="containsText" dxfId="57" priority="13" operator="containsText" text="MEET EXPECTATION">
      <formula>NOT(ISERROR(SEARCH("MEET EXPECTATION",B33)))</formula>
    </cfRule>
    <cfRule type="containsText" dxfId="56" priority="14" operator="containsText" text="FAILED">
      <formula>NOT(ISERROR(SEARCH("FAILED",B33)))</formula>
    </cfRule>
    <cfRule type="containsText" dxfId="55" priority="15" operator="containsText" text="OUTSTANDING">
      <formula>NOT(ISERROR(SEARCH("OUTSTANDING",B33)))</formula>
    </cfRule>
  </conditionalFormatting>
  <conditionalFormatting sqref="E37">
    <cfRule type="containsText" dxfId="54" priority="6" operator="containsText" text="EXCEED">
      <formula>NOT(ISERROR(SEARCH("EXCEED",E37)))</formula>
    </cfRule>
    <cfRule type="containsText" dxfId="53" priority="7" operator="containsText" text="NEED IMPROVEMENT">
      <formula>NOT(ISERROR(SEARCH("NEED IMPROVEMENT",E37)))</formula>
    </cfRule>
    <cfRule type="containsText" dxfId="52" priority="8" operator="containsText" text="MEET EXPECTATION">
      <formula>NOT(ISERROR(SEARCH("MEET EXPECTATION",E37)))</formula>
    </cfRule>
    <cfRule type="containsText" dxfId="51" priority="9" operator="containsText" text="FAILED">
      <formula>NOT(ISERROR(SEARCH("FAILED",E37)))</formula>
    </cfRule>
    <cfRule type="containsText" dxfId="50" priority="10" operator="containsText" text="OUTSTANDING">
      <formula>NOT(ISERROR(SEARCH("OUTSTANDING",E37)))</formula>
    </cfRule>
  </conditionalFormatting>
  <conditionalFormatting sqref="F51">
    <cfRule type="containsText" dxfId="49" priority="1" operator="containsText" text="EXCEED">
      <formula>NOT(ISERROR(SEARCH("EXCEED",F51)))</formula>
    </cfRule>
    <cfRule type="containsText" dxfId="48" priority="2" operator="containsText" text="NEED IMPROVEMENT">
      <formula>NOT(ISERROR(SEARCH("NEED IMPROVEMENT",F51)))</formula>
    </cfRule>
    <cfRule type="containsText" dxfId="47" priority="3" operator="containsText" text="MEET EXPECTATION">
      <formula>NOT(ISERROR(SEARCH("MEET EXPECTATION",F51)))</formula>
    </cfRule>
    <cfRule type="containsText" dxfId="46" priority="4" operator="containsText" text="FAILED">
      <formula>NOT(ISERROR(SEARCH("FAILED",F51)))</formula>
    </cfRule>
    <cfRule type="containsText" dxfId="45" priority="5" operator="containsText" text="OUTSTANDING">
      <formula>NOT(ISERROR(SEARCH("OUTSTANDING",F51)))</formula>
    </cfRule>
  </conditionalFormatting>
  <dataValidations count="2">
    <dataValidation type="list" allowBlank="1" showInputMessage="1" showErrorMessage="1" sqref="D11:D24" xr:uid="{71BB672E-8656-4212-961F-DFC2D2A75C53}">
      <formula1>"A(-),A(+),S(-),S(+)"</formula1>
    </dataValidation>
    <dataValidation type="list" allowBlank="1" showInputMessage="1" showErrorMessage="1" sqref="F5:G5" xr:uid="{55599655-DE21-408A-8716-1208E7150DB7}">
      <formula1>"MANAGER,Dept. Head,Section Head/SPV,Foreman/Officer"</formula1>
    </dataValidation>
  </dataValidations>
  <pageMargins left="0.25" right="0.25" top="0.75" bottom="0.75" header="0.3" footer="0.3"/>
  <pageSetup scale="77" orientation="portrait" r:id="rId1"/>
  <rowBreaks count="1" manualBreakCount="1">
    <brk id="33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C66"/>
  <sheetViews>
    <sheetView view="pageBreakPreview" topLeftCell="A5" zoomScaleNormal="100" zoomScaleSheetLayoutView="100" workbookViewId="0">
      <selection activeCell="G11" sqref="G11:G24"/>
    </sheetView>
  </sheetViews>
  <sheetFormatPr defaultRowHeight="15" x14ac:dyDescent="0.25"/>
  <cols>
    <col min="1" max="1" width="14.140625" customWidth="1"/>
    <col min="2" max="2" width="41.28515625" customWidth="1"/>
    <col min="3" max="3" width="19.140625" customWidth="1"/>
    <col min="4" max="4" width="14.5703125" customWidth="1"/>
    <col min="5" max="5" width="14.85546875" bestFit="1" customWidth="1"/>
    <col min="6" max="6" width="10.5703125" bestFit="1" customWidth="1"/>
    <col min="8" max="8" width="3.85546875" customWidth="1"/>
    <col min="11" max="11" width="8.7109375" customWidth="1"/>
    <col min="12" max="12" width="3.85546875" customWidth="1"/>
    <col min="13" max="13" width="10.140625" bestFit="1" customWidth="1"/>
    <col min="16" max="16" width="3.140625" customWidth="1"/>
    <col min="20" max="20" width="2.5703125" customWidth="1"/>
    <col min="24" max="24" width="2.28515625" customWidth="1"/>
    <col min="28" max="28" width="3" customWidth="1"/>
    <col min="32" max="32" width="3" customWidth="1"/>
    <col min="36" max="36" width="2.5703125" customWidth="1"/>
    <col min="40" max="40" width="3.42578125" customWidth="1"/>
    <col min="44" max="44" width="3" customWidth="1"/>
    <col min="48" max="48" width="3" customWidth="1"/>
    <col min="52" max="52" width="3" customWidth="1"/>
  </cols>
  <sheetData>
    <row r="2" spans="1:55" ht="23.25" x14ac:dyDescent="0.35">
      <c r="B2" s="216" t="s">
        <v>0</v>
      </c>
      <c r="C2" s="216"/>
      <c r="D2" s="216"/>
      <c r="E2" s="216"/>
      <c r="F2" s="216"/>
    </row>
    <row r="3" spans="1:55" ht="23.25" x14ac:dyDescent="0.35">
      <c r="B3" s="216" t="s">
        <v>1</v>
      </c>
      <c r="C3" s="216"/>
      <c r="D3" s="216"/>
      <c r="E3" s="216"/>
      <c r="F3" s="216"/>
    </row>
    <row r="4" spans="1:55" ht="15.75" thickBot="1" x14ac:dyDescent="0.3"/>
    <row r="5" spans="1:55" ht="15.75" thickTop="1" x14ac:dyDescent="0.25">
      <c r="A5" s="92" t="s">
        <v>45</v>
      </c>
      <c r="B5" s="93" t="s">
        <v>171</v>
      </c>
      <c r="C5" s="94" t="s">
        <v>48</v>
      </c>
      <c r="D5" s="132">
        <v>13100</v>
      </c>
      <c r="E5" s="93" t="s">
        <v>51</v>
      </c>
      <c r="F5" s="220" t="s">
        <v>72</v>
      </c>
      <c r="G5" s="221"/>
    </row>
    <row r="6" spans="1:55" x14ac:dyDescent="0.25">
      <c r="A6" s="95" t="s">
        <v>46</v>
      </c>
      <c r="B6" s="133" t="s">
        <v>159</v>
      </c>
      <c r="C6" s="134" t="s">
        <v>49</v>
      </c>
      <c r="D6" s="135" t="s">
        <v>160</v>
      </c>
      <c r="E6" s="133"/>
      <c r="F6" s="133"/>
      <c r="G6" s="96"/>
    </row>
    <row r="7" spans="1:55" ht="15.75" thickBot="1" x14ac:dyDescent="0.3">
      <c r="A7" s="97" t="s">
        <v>47</v>
      </c>
      <c r="B7" s="98" t="s">
        <v>172</v>
      </c>
      <c r="C7" s="99" t="s">
        <v>50</v>
      </c>
      <c r="D7" s="136">
        <v>2022</v>
      </c>
      <c r="E7" s="98"/>
      <c r="F7" s="98"/>
      <c r="G7" s="100"/>
    </row>
    <row r="8" spans="1:55" ht="15.75" thickBot="1" x14ac:dyDescent="0.3">
      <c r="A8" s="1"/>
      <c r="B8" s="2"/>
      <c r="C8" s="2"/>
      <c r="D8" s="2"/>
      <c r="E8" s="2"/>
      <c r="F8" s="2"/>
      <c r="G8" s="3"/>
    </row>
    <row r="9" spans="1:55" ht="15.75" thickBot="1" x14ac:dyDescent="0.3">
      <c r="A9" s="217" t="s">
        <v>2</v>
      </c>
      <c r="B9" s="218"/>
      <c r="C9" s="218"/>
      <c r="D9" s="218"/>
      <c r="E9" s="218"/>
      <c r="F9" s="218"/>
      <c r="G9" s="219"/>
      <c r="I9" s="213" t="s">
        <v>3</v>
      </c>
      <c r="J9" s="213"/>
      <c r="K9" s="213"/>
      <c r="M9" s="213" t="s">
        <v>4</v>
      </c>
      <c r="N9" s="213"/>
      <c r="O9" s="213"/>
      <c r="Q9" s="213" t="s">
        <v>5</v>
      </c>
      <c r="R9" s="213"/>
      <c r="S9" s="213"/>
      <c r="U9" s="213" t="s">
        <v>6</v>
      </c>
      <c r="V9" s="213"/>
      <c r="W9" s="213"/>
      <c r="Y9" s="213" t="s">
        <v>7</v>
      </c>
      <c r="Z9" s="213"/>
      <c r="AA9" s="213"/>
      <c r="AC9" s="213" t="s">
        <v>8</v>
      </c>
      <c r="AD9" s="213"/>
      <c r="AE9" s="213"/>
      <c r="AG9" s="213" t="s">
        <v>9</v>
      </c>
      <c r="AH9" s="213"/>
      <c r="AI9" s="213"/>
      <c r="AK9" s="213" t="s">
        <v>10</v>
      </c>
      <c r="AL9" s="213"/>
      <c r="AM9" s="213"/>
      <c r="AO9" s="213" t="s">
        <v>11</v>
      </c>
      <c r="AP9" s="213"/>
      <c r="AQ9" s="213"/>
      <c r="AS9" s="213" t="s">
        <v>12</v>
      </c>
      <c r="AT9" s="213"/>
      <c r="AU9" s="213"/>
      <c r="AW9" s="213" t="s">
        <v>13</v>
      </c>
      <c r="AX9" s="213"/>
      <c r="AY9" s="213"/>
      <c r="BA9" s="213" t="s">
        <v>14</v>
      </c>
      <c r="BB9" s="213"/>
      <c r="BC9" s="213"/>
    </row>
    <row r="10" spans="1:55" ht="30.75" thickBot="1" x14ac:dyDescent="0.3">
      <c r="A10" s="4" t="s">
        <v>15</v>
      </c>
      <c r="B10" s="5" t="s">
        <v>16</v>
      </c>
      <c r="C10" s="101" t="s">
        <v>17</v>
      </c>
      <c r="D10" s="18" t="s">
        <v>18</v>
      </c>
      <c r="E10" s="19" t="s">
        <v>121</v>
      </c>
      <c r="F10" s="19" t="s">
        <v>122</v>
      </c>
      <c r="G10" s="20" t="s">
        <v>19</v>
      </c>
      <c r="I10" s="102" t="s">
        <v>20</v>
      </c>
      <c r="J10" s="102" t="s">
        <v>21</v>
      </c>
      <c r="K10" s="102" t="s">
        <v>22</v>
      </c>
      <c r="M10" s="102" t="s">
        <v>20</v>
      </c>
      <c r="N10" s="102" t="s">
        <v>21</v>
      </c>
      <c r="O10" s="102" t="s">
        <v>22</v>
      </c>
      <c r="Q10" s="102" t="s">
        <v>20</v>
      </c>
      <c r="R10" s="102" t="s">
        <v>21</v>
      </c>
      <c r="S10" s="102" t="s">
        <v>22</v>
      </c>
      <c r="U10" s="102" t="s">
        <v>20</v>
      </c>
      <c r="V10" s="102" t="s">
        <v>21</v>
      </c>
      <c r="W10" s="102" t="s">
        <v>22</v>
      </c>
      <c r="Y10" s="102" t="s">
        <v>20</v>
      </c>
      <c r="Z10" s="102" t="s">
        <v>21</v>
      </c>
      <c r="AA10" s="102" t="s">
        <v>22</v>
      </c>
      <c r="AC10" s="102" t="s">
        <v>20</v>
      </c>
      <c r="AD10" s="102" t="s">
        <v>21</v>
      </c>
      <c r="AE10" s="102" t="s">
        <v>22</v>
      </c>
      <c r="AG10" s="102" t="s">
        <v>20</v>
      </c>
      <c r="AH10" s="102" t="s">
        <v>21</v>
      </c>
      <c r="AI10" s="102" t="s">
        <v>22</v>
      </c>
      <c r="AK10" s="102" t="s">
        <v>20</v>
      </c>
      <c r="AL10" s="102" t="s">
        <v>21</v>
      </c>
      <c r="AM10" s="102" t="s">
        <v>22</v>
      </c>
      <c r="AO10" s="102" t="s">
        <v>20</v>
      </c>
      <c r="AP10" s="102" t="s">
        <v>21</v>
      </c>
      <c r="AQ10" s="102" t="s">
        <v>22</v>
      </c>
      <c r="AS10" s="102" t="s">
        <v>20</v>
      </c>
      <c r="AT10" s="102" t="s">
        <v>21</v>
      </c>
      <c r="AU10" s="102" t="s">
        <v>22</v>
      </c>
      <c r="AW10" s="102" t="s">
        <v>20</v>
      </c>
      <c r="AX10" s="102" t="s">
        <v>21</v>
      </c>
      <c r="AY10" s="102" t="s">
        <v>22</v>
      </c>
      <c r="BA10" s="102" t="s">
        <v>20</v>
      </c>
      <c r="BB10" s="102" t="s">
        <v>21</v>
      </c>
      <c r="BC10" s="102" t="s">
        <v>22</v>
      </c>
    </row>
    <row r="11" spans="1:55" ht="29.25" customHeight="1" thickBot="1" x14ac:dyDescent="0.3">
      <c r="A11" s="116" t="s">
        <v>52</v>
      </c>
      <c r="B11" s="140" t="s">
        <v>93</v>
      </c>
      <c r="C11" s="117" t="s">
        <v>162</v>
      </c>
      <c r="D11" s="118" t="s">
        <v>142</v>
      </c>
      <c r="E11" s="114">
        <v>5</v>
      </c>
      <c r="F11" s="114" t="str">
        <f t="shared" ref="F11:F24" si="0">IF(LEFT(C11,5)="MONTH",IF(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=0,"",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),IF(COUNT(I11,M11,Q11,U11,Y11,AC11,AG11,AK11,AO11,AS11,AW11,BA11)&lt;1,"",IF(OR(D11="A(-)",D11="A(+)"),AVERAGE(I11,M11,Q11,U11,Y11,AC11,AG11,AK11,AO11,AS11,AW11,BA11),IF(OR(D11="S(-)",D11="S(+)"),SUM(I11,M11,Q11,U11,Y11,AC11,AG11,AK11,AO11,AS11,AW11,BA11),""))))</f>
        <v/>
      </c>
      <c r="G11" s="115" t="str">
        <f>IF(OR(F11="",F11="NA"),"",IF(OR(C11="time",LEFT(C11,3)="DAY"),IF(OR(C11="DAY2",C11="time"),IF((92%-(F11-E11)/(1/10*100))&lt;70%,70%,IF(92%-(F11-E11)/(1/10*100)&gt;105%,105%,92%-(F11-E11)/(1/10*100))),IF(COUNT(E11)=1,IF((112%-(F11-E11)/(1/10*100))&lt;70%,70%,IF(112%-(F11-E11)/(1/10*100)&gt;105%,105%,112%-(F11-E11)/(1/10*100))))),IF(LEFT(C11,5)="month",IF(C11="month1",IF((112%-IF(F11="W1",0,IF(F11="W2",1,MATCH(F11,Sheet1!$A$2:$A$13,0)-MATCH(E11,Sheet1!$A$2:$A$13,0)+1))/(1/10*100))&lt;70%,70%,IF(112%-IF(F11="W1",0,IF(F11="W2",1,MATCH(F11,Sheet1!$A$2:$A$13,0)-MATCH(E11,Sheet1!$A$2:$A$13,0)+1))/(1/10*100)&gt;105%,105%,112%-IF(F11="W1",0,IF(F11="W2",1,MATCH(F11,Sheet1!$A$2:$A$13,0)-MATCH(E11,Sheet1!$A$2:$A$13,0)+1))/(1/10*100))),IF((92%-(IF(OR(F11="w1",F11="w2"),1,MATCH(F11,Sheet1!$A$2:$A$13,0))-MATCH(E11,Sheet1!$A$2:$A$13,0))/(1/10*100))&lt;70%,70%,IF(92%-(IF(OR(F11="w1",F11="w2"),1,MATCH(F11,Sheet1!$A$2:$A$13,0))-MATCH(E11,Sheet1!$A$2:$A$13,0))/(1/10*100)&gt;105%,105%,92%-(IF(OR(F11="w1",F11="w2"),1,MATCH(F11,Sheet1!$A$2:$A$13,0))-MATCH(E11,Sheet1!$A$2:$A$13,0))/(1/10*100)))),IF(MID(D11,3,1)="+",IF(E11&lt;100,IF(112%-(E11-F11)/(1/IF(E11&lt;4,(40/E11),10)*100)&gt;105%,105%,IF(112%-(E11-F11)/(1/IF(E11&lt;4,(40/E11),10)*100)&lt;=72%,72%,112%-(E11-F11)/(1/IF(E11&lt;4,(40/E11),10)*100))),IF(112%-(E11-F11)/E11*10&gt;105%,105%,IF(112%-(E11-F11)/E11*10&lt;72%,72%,112%-(E11-F11)/E11*10))),IF(MID(D11,3,1)="-",IF(92%+((E11-F11)/(E11))*0.4&gt;105%,105%,IF(92%+((E11-F11)/(E11))*0.4&lt;72%,72%,92%+((E11-F11)/(E11))*0.4)),IF(OR(B11="BOTO",B11="NPI",B11="FF"),IF(102%+((E11-F11)/(E11))*0.4&gt;105%,105%,IF(102%+((E11-F11)/(E11))*0.4&lt;72%,72%,102%+((E11-F11)/(E11))*0.4)),""))))))</f>
        <v/>
      </c>
      <c r="I11" s="11"/>
      <c r="J11" s="11"/>
      <c r="K11" s="11"/>
      <c r="M11" s="11"/>
      <c r="N11" s="11"/>
      <c r="O11" s="11"/>
      <c r="Q11" s="11"/>
      <c r="R11" s="11"/>
      <c r="S11" s="11"/>
      <c r="U11" s="11"/>
      <c r="V11" s="11"/>
      <c r="W11" s="11"/>
      <c r="Y11" s="11"/>
      <c r="Z11" s="11"/>
      <c r="AA11" s="11"/>
      <c r="AC11" s="11"/>
      <c r="AD11" s="11"/>
      <c r="AE11" s="11"/>
      <c r="AG11" s="11"/>
      <c r="AH11" s="11"/>
      <c r="AI11" s="11"/>
      <c r="AK11" s="11"/>
      <c r="AL11" s="11"/>
      <c r="AM11" s="11"/>
      <c r="AO11" s="11"/>
      <c r="AP11" s="11"/>
      <c r="AQ11" s="11"/>
      <c r="AS11" s="11"/>
      <c r="AT11" s="11"/>
      <c r="AU11" s="11"/>
      <c r="AW11" s="11"/>
      <c r="AX11" s="11"/>
      <c r="AY11" s="11"/>
      <c r="BA11" s="11"/>
      <c r="BB11" s="11"/>
      <c r="BC11" s="11"/>
    </row>
    <row r="12" spans="1:55" x14ac:dyDescent="0.25">
      <c r="A12" s="208" t="s">
        <v>53</v>
      </c>
      <c r="B12" s="7" t="s">
        <v>98</v>
      </c>
      <c r="C12" s="8" t="s">
        <v>165</v>
      </c>
      <c r="D12" s="9" t="s">
        <v>142</v>
      </c>
      <c r="E12" s="16">
        <v>1</v>
      </c>
      <c r="F12" s="16" t="str">
        <f t="shared" si="0"/>
        <v/>
      </c>
      <c r="G12" s="107" t="str">
        <f>IF(OR(F12="",F12="NA"),"",IF(OR(C12="time",LEFT(C12,3)="DAY"),IF(OR(C12="DAY2",C12="time"),IF((92%-(F12-E12)/(1/10*100))&lt;70%,70%,IF(92%-(F12-E12)/(1/10*100)&gt;105%,105%,92%-(F12-E12)/(1/10*100))),IF(COUNT(E12)=1,IF((112%-(F12-E12)/(1/10*100))&lt;70%,70%,IF(112%-(F12-E12)/(1/10*100)&gt;105%,105%,112%-(F12-E12)/(1/10*100))))),IF(LEFT(C12,5)="month",IF(C12="month1",IF((112%-IF(F12="W1",0,IF(F12="W2",1,MATCH(F12,Sheet1!$A$2:$A$13,0)-MATCH(E12,Sheet1!$A$2:$A$13,0)+1))/(1/10*100))&lt;70%,70%,IF(112%-IF(F12="W1",0,IF(F12="W2",1,MATCH(F12,Sheet1!$A$2:$A$13,0)-MATCH(E12,Sheet1!$A$2:$A$13,0)+1))/(1/10*100)&gt;105%,105%,112%-IF(F12="W1",0,IF(F12="W2",1,MATCH(F12,Sheet1!$A$2:$A$13,0)-MATCH(E12,Sheet1!$A$2:$A$13,0)+1))/(1/10*100))),IF((92%-(IF(OR(F12="w1",F12="w2"),1,MATCH(F12,Sheet1!$A$2:$A$13,0))-MATCH(E12,Sheet1!$A$2:$A$13,0))/(1/10*100))&lt;70%,70%,IF(92%-(IF(OR(F12="w1",F12="w2"),1,MATCH(F12,Sheet1!$A$2:$A$13,0))-MATCH(E12,Sheet1!$A$2:$A$13,0))/(1/10*100)&gt;105%,105%,92%-(IF(OR(F12="w1",F12="w2"),1,MATCH(F12,Sheet1!$A$2:$A$13,0))-MATCH(E12,Sheet1!$A$2:$A$13,0))/(1/10*100)))),IF(MID(D12,3,1)="+",IF(E12&lt;100,IF(112%-(E12-F12)/(1/IF(E12&lt;4,(40/E12),10)*100)&gt;105%,105%,IF(112%-(E12-F12)/(1/IF(E12&lt;4,(40/E12),10)*100)&lt;=72%,72%,112%-(E12-F12)/(1/IF(E12&lt;4,(40/E12),10)*100))),IF(112%-(E12-F12)/E12*10&gt;105%,105%,IF(112%-(E12-F12)/E12*10&lt;72%,72%,112%-(E12-F12)/E12*10))),IF(MID(D12,3,1)="-",IF(92%+((E12-F12)/(E12))*0.4&gt;105%,105%,IF(92%+((E12-F12)/(E12))*0.4&lt;72%,72%,92%+((E12-F12)/(E12))*0.4)),IF(OR(B12="BOTO",B12="NPI",B12="FF"),IF(102%+((E12-F12)/(E12))*0.4&gt;105%,105%,IF(102%+((E12-F12)/(E12))*0.4&lt;72%,72%,102%+((E12-F12)/(E12))*0.4)),""))))))</f>
        <v/>
      </c>
      <c r="I12" s="11"/>
      <c r="J12" s="11"/>
      <c r="K12" s="11"/>
      <c r="M12" s="11"/>
      <c r="N12" s="11"/>
      <c r="O12" s="11"/>
      <c r="Q12" s="11"/>
      <c r="R12" s="11"/>
      <c r="S12" s="11"/>
      <c r="U12" s="11"/>
      <c r="V12" s="11"/>
      <c r="W12" s="11"/>
      <c r="Y12" s="11"/>
      <c r="Z12" s="11"/>
      <c r="AA12" s="11"/>
      <c r="AC12" s="11"/>
      <c r="AD12" s="11"/>
      <c r="AE12" s="11"/>
      <c r="AG12" s="11"/>
      <c r="AH12" s="11"/>
      <c r="AI12" s="11"/>
      <c r="AK12" s="11"/>
      <c r="AL12" s="11"/>
      <c r="AM12" s="11"/>
      <c r="AO12" s="11"/>
      <c r="AP12" s="11"/>
      <c r="AQ12" s="11"/>
      <c r="AS12" s="11"/>
      <c r="AT12" s="11"/>
      <c r="AU12" s="11"/>
      <c r="AW12" s="11"/>
      <c r="AX12" s="11"/>
      <c r="AY12" s="11"/>
      <c r="BA12" s="11"/>
      <c r="BB12" s="11"/>
      <c r="BC12" s="11"/>
    </row>
    <row r="13" spans="1:55" ht="30.75" thickBot="1" x14ac:dyDescent="0.3">
      <c r="A13" s="209"/>
      <c r="B13" s="141" t="s">
        <v>95</v>
      </c>
      <c r="C13" s="113" t="s">
        <v>165</v>
      </c>
      <c r="D13" s="110" t="s">
        <v>142</v>
      </c>
      <c r="E13" s="111">
        <v>2</v>
      </c>
      <c r="F13" s="111" t="str">
        <f t="shared" si="0"/>
        <v/>
      </c>
      <c r="G13" s="112" t="str">
        <f>IF(OR(F13="",F13="NA"),"",IF(OR(C13="time",LEFT(C13,3)="DAY"),IF(OR(C13="DAY2",C13="time"),IF((92%-(F13-E13)/(1/10*100))&lt;70%,70%,IF(92%-(F13-E13)/(1/10*100)&gt;105%,105%,92%-(F13-E13)/(1/10*100))),IF(COUNT(E13)=1,IF((112%-(F13-E13)/(1/10*100))&lt;70%,70%,IF(112%-(F13-E13)/(1/10*100)&gt;105%,105%,112%-(F13-E13)/(1/10*100))))),IF(LEFT(C13,5)="month",IF(C13="month1",IF((112%-IF(F13="W1",0,IF(F13="W2",1,MATCH(F13,Sheet1!$A$2:$A$13,0)-MATCH(E13,Sheet1!$A$2:$A$13,0)+1))/(1/10*100))&lt;70%,70%,IF(112%-IF(F13="W1",0,IF(F13="W2",1,MATCH(F13,Sheet1!$A$2:$A$13,0)-MATCH(E13,Sheet1!$A$2:$A$13,0)+1))/(1/10*100)&gt;105%,105%,112%-IF(F13="W1",0,IF(F13="W2",1,MATCH(F13,Sheet1!$A$2:$A$13,0)-MATCH(E13,Sheet1!$A$2:$A$13,0)+1))/(1/10*100))),IF((92%-(IF(OR(F13="w1",F13="w2"),1,MATCH(F13,Sheet1!$A$2:$A$13,0))-MATCH(E13,Sheet1!$A$2:$A$13,0))/(1/10*100))&lt;70%,70%,IF(92%-(IF(OR(F13="w1",F13="w2"),1,MATCH(F13,Sheet1!$A$2:$A$13,0))-MATCH(E13,Sheet1!$A$2:$A$13,0))/(1/10*100)&gt;105%,105%,92%-(IF(OR(F13="w1",F13="w2"),1,MATCH(F13,Sheet1!$A$2:$A$13,0))-MATCH(E13,Sheet1!$A$2:$A$13,0))/(1/10*100)))),IF(MID(D13,3,1)="+",IF(E13&lt;100,IF(112%-(E13-F13)/(1/IF(E13&lt;4,(40/E13),10)*100)&gt;105%,105%,IF(112%-(E13-F13)/(1/IF(E13&lt;4,(40/E13),10)*100)&lt;=72%,72%,112%-(E13-F13)/(1/IF(E13&lt;4,(40/E13),10)*100))),IF(112%-(E13-F13)/E13*10&gt;105%,105%,IF(112%-(E13-F13)/E13*10&lt;72%,72%,112%-(E13-F13)/E13*10))),IF(MID(D13,3,1)="-",IF(92%+((E13-F13)/(E13))*0.4&gt;105%,105%,IF(92%+((E13-F13)/(E13))*0.4&lt;72%,72%,92%+((E13-F13)/(E13))*0.4)),IF(OR(B13="BOTO",B13="NPI",B13="FF"),IF(102%+((E13-F13)/(E13))*0.4&gt;105%,105%,IF(102%+((E13-F13)/(E13))*0.4&lt;72%,72%,102%+((E13-F13)/(E13))*0.4)),""))))))</f>
        <v/>
      </c>
      <c r="I13" s="11"/>
      <c r="J13" s="11"/>
      <c r="K13" s="11"/>
      <c r="M13" s="11"/>
      <c r="N13" s="11"/>
      <c r="O13" s="11"/>
      <c r="Q13" s="11"/>
      <c r="R13" s="11"/>
      <c r="S13" s="11"/>
      <c r="U13" s="11"/>
      <c r="V13" s="11"/>
      <c r="W13" s="11"/>
      <c r="Y13" s="11"/>
      <c r="Z13" s="11"/>
      <c r="AA13" s="11"/>
      <c r="AC13" s="11"/>
      <c r="AD13" s="11"/>
      <c r="AE13" s="11"/>
      <c r="AG13" s="11"/>
      <c r="AH13" s="11"/>
      <c r="AI13" s="11"/>
      <c r="AK13" s="11"/>
      <c r="AL13" s="11"/>
      <c r="AM13" s="11"/>
      <c r="AO13" s="11"/>
      <c r="AP13" s="11"/>
      <c r="AQ13" s="11"/>
      <c r="AS13" s="11"/>
      <c r="AT13" s="11"/>
      <c r="AU13" s="11"/>
      <c r="AW13" s="11"/>
      <c r="AX13" s="11"/>
      <c r="AY13" s="11"/>
      <c r="BA13" s="11"/>
      <c r="BB13" s="11"/>
      <c r="BC13" s="11"/>
    </row>
    <row r="14" spans="1:55" x14ac:dyDescent="0.25">
      <c r="A14" s="215" t="s">
        <v>54</v>
      </c>
      <c r="B14" s="65" t="s">
        <v>173</v>
      </c>
      <c r="C14" s="66" t="s">
        <v>165</v>
      </c>
      <c r="D14" s="67" t="s">
        <v>142</v>
      </c>
      <c r="E14" s="106">
        <v>7</v>
      </c>
      <c r="F14" s="106" t="str">
        <f t="shared" si="0"/>
        <v/>
      </c>
      <c r="G14" s="69" t="str">
        <f>IF(OR(F14="",F14="NA"),"",IF(OR(C14="time",LEFT(C14,3)="DAY"),IF(OR(C14="DAY2",C14="time"),IF((92%-(F14-E14)/(1/10*100))&lt;70%,70%,IF(92%-(F14-E14)/(1/10*100)&gt;105%,105%,92%-(F14-E14)/(1/10*100))),IF(COUNT(E14)=1,IF((112%-(F14-E14)/(1/10*100))&lt;70%,70%,IF(112%-(F14-E14)/(1/10*100)&gt;105%,105%,112%-(F14-E14)/(1/10*100))))),IF(LEFT(C14,5)="month",IF(C14="month1",IF((112%-IF(F14="W1",0,IF(F14="W2",1,MATCH(F14,Sheet1!$A$2:$A$13,0)-MATCH(E14,Sheet1!$A$2:$A$13,0)+1))/(1/10*100))&lt;70%,70%,IF(112%-IF(F14="W1",0,IF(F14="W2",1,MATCH(F14,Sheet1!$A$2:$A$13,0)-MATCH(E14,Sheet1!$A$2:$A$13,0)+1))/(1/10*100)&gt;105%,105%,112%-IF(F14="W1",0,IF(F14="W2",1,MATCH(F14,Sheet1!$A$2:$A$13,0)-MATCH(E14,Sheet1!$A$2:$A$13,0)+1))/(1/10*100))),IF((92%-(IF(OR(F14="w1",F14="w2"),1,MATCH(F14,Sheet1!$A$2:$A$13,0))-MATCH(E14,Sheet1!$A$2:$A$13,0))/(1/10*100))&lt;70%,70%,IF(92%-(IF(OR(F14="w1",F14="w2"),1,MATCH(F14,Sheet1!$A$2:$A$13,0))-MATCH(E14,Sheet1!$A$2:$A$13,0))/(1/10*100)&gt;105%,105%,92%-(IF(OR(F14="w1",F14="w2"),1,MATCH(F14,Sheet1!$A$2:$A$13,0))-MATCH(E14,Sheet1!$A$2:$A$13,0))/(1/10*100)))),IF(MID(D14,3,1)="+",IF(E14&lt;100,IF(112%-(E14-F14)/(1/IF(E14&lt;4,(40/E14),10)*100)&gt;105%,105%,IF(112%-(E14-F14)/(1/IF(E14&lt;4,(40/E14),10)*100)&lt;=72%,72%,112%-(E14-F14)/(1/IF(E14&lt;4,(40/E14),10)*100))),IF(112%-(E14-F14)/E14*10&gt;105%,105%,IF(112%-(E14-F14)/E14*10&lt;72%,72%,112%-(E14-F14)/E14*10))),IF(MID(D14,3,1)="-",IF(92%+((E14-F14)/(E14))*0.4&gt;105%,105%,IF(92%+((E14-F14)/(E14))*0.4&lt;72%,72%,92%+((E14-F14)/(E14))*0.4)),IF(OR(B14="BOTO",B14="NPI",B14="FF"),IF(102%+((E14-F14)/(E14))*0.4&gt;105%,105%,IF(102%+((E14-F14)/(E14))*0.4&lt;72%,72%,102%+((E14-F14)/(E14))*0.4)),""))))))</f>
        <v/>
      </c>
      <c r="I14" s="11"/>
      <c r="J14" s="11"/>
      <c r="K14" s="11"/>
      <c r="M14" s="11"/>
      <c r="N14" s="11"/>
      <c r="O14" s="11"/>
      <c r="Q14" s="11"/>
      <c r="R14" s="11"/>
      <c r="S14" s="11"/>
      <c r="U14" s="11"/>
      <c r="V14" s="11"/>
      <c r="W14" s="11"/>
      <c r="Y14" s="11"/>
      <c r="Z14" s="11"/>
      <c r="AA14" s="11"/>
      <c r="AC14" s="11"/>
      <c r="AD14" s="11"/>
      <c r="AE14" s="11"/>
      <c r="AG14" s="11"/>
      <c r="AH14" s="11"/>
      <c r="AI14" s="11"/>
      <c r="AK14" s="11"/>
      <c r="AL14" s="11"/>
      <c r="AM14" s="11"/>
      <c r="AO14" s="11"/>
      <c r="AP14" s="11"/>
      <c r="AQ14" s="11"/>
      <c r="AS14" s="11"/>
      <c r="AT14" s="11"/>
      <c r="AU14" s="11"/>
      <c r="AW14" s="11"/>
      <c r="AX14" s="11"/>
      <c r="AY14" s="11"/>
      <c r="BA14" s="11"/>
      <c r="BB14" s="11"/>
      <c r="BC14" s="11"/>
    </row>
    <row r="15" spans="1:55" x14ac:dyDescent="0.25">
      <c r="A15" s="215"/>
      <c r="B15" s="65" t="s">
        <v>94</v>
      </c>
      <c r="C15" s="13" t="s">
        <v>165</v>
      </c>
      <c r="D15" s="67" t="s">
        <v>142</v>
      </c>
      <c r="E15" s="15">
        <v>1</v>
      </c>
      <c r="F15" s="15" t="str">
        <f t="shared" si="0"/>
        <v/>
      </c>
      <c r="G15" s="14" t="str">
        <f>IF(OR(F15="",F15="NA"),"",IF(OR(C15="time",LEFT(C15,3)="DAY"),IF(OR(C15="DAY2",C15="time"),IF((92%-(F15-E15)/(1/10*100))&lt;70%,70%,IF(92%-(F15-E15)/(1/10*100)&gt;105%,105%,92%-(F15-E15)/(1/10*100))),IF(COUNT(E15)=1,IF((112%-(F15-E15)/(1/10*100))&lt;70%,70%,IF(112%-(F15-E15)/(1/10*100)&gt;105%,105%,112%-(F15-E15)/(1/10*100))))),IF(LEFT(C15,5)="month",IF(C15="month1",IF((112%-IF(F15="W1",0,IF(F15="W2",1,MATCH(F15,Sheet1!$A$2:$A$13,0)-MATCH(E15,Sheet1!$A$2:$A$13,0)+1))/(1/10*100))&lt;70%,70%,IF(112%-IF(F15="W1",0,IF(F15="W2",1,MATCH(F15,Sheet1!$A$2:$A$13,0)-MATCH(E15,Sheet1!$A$2:$A$13,0)+1))/(1/10*100)&gt;105%,105%,112%-IF(F15="W1",0,IF(F15="W2",1,MATCH(F15,Sheet1!$A$2:$A$13,0)-MATCH(E15,Sheet1!$A$2:$A$13,0)+1))/(1/10*100))),IF((92%-(IF(OR(F15="w1",F15="w2"),1,MATCH(F15,Sheet1!$A$2:$A$13,0))-MATCH(E15,Sheet1!$A$2:$A$13,0))/(1/10*100))&lt;70%,70%,IF(92%-(IF(OR(F15="w1",F15="w2"),1,MATCH(F15,Sheet1!$A$2:$A$13,0))-MATCH(E15,Sheet1!$A$2:$A$13,0))/(1/10*100)&gt;105%,105%,92%-(IF(OR(F15="w1",F15="w2"),1,MATCH(F15,Sheet1!$A$2:$A$13,0))-MATCH(E15,Sheet1!$A$2:$A$13,0))/(1/10*100)))),IF(MID(D15,3,1)="+",IF(E15&lt;100,IF(112%-(E15-F15)/(1/IF(E15&lt;4,(40/E15),10)*100)&gt;105%,105%,IF(112%-(E15-F15)/(1/IF(E15&lt;4,(40/E15),10)*100)&lt;=72%,72%,112%-(E15-F15)/(1/IF(E15&lt;4,(40/E15),10)*100))),IF(112%-(E15-F15)/E15*10&gt;105%,105%,IF(112%-(E15-F15)/E15*10&lt;72%,72%,112%-(E15-F15)/E15*10))),IF(MID(D15,3,1)="-",IF(92%+((E15-F15)/(E15))*0.4&gt;105%,105%,IF(92%+((E15-F15)/(E15))*0.4&lt;72%,72%,92%+((E15-F15)/(E15))*0.4)),IF(OR(B15="BOTO",B15="NPI",B15="FF"),IF(102%+((E15-F15)/(E15))*0.4&gt;105%,105%,IF(102%+((E15-F15)/(E15))*0.4&lt;72%,72%,102%+((E15-F15)/(E15))*0.4)),""))))))</f>
        <v/>
      </c>
      <c r="I15" s="11"/>
      <c r="J15" s="11"/>
      <c r="K15" s="11"/>
      <c r="M15" s="11"/>
      <c r="N15" s="11"/>
      <c r="O15" s="11"/>
      <c r="Q15" s="11"/>
      <c r="R15" s="11"/>
      <c r="S15" s="11"/>
      <c r="U15" s="11"/>
      <c r="V15" s="11"/>
      <c r="W15" s="11"/>
      <c r="Y15" s="11"/>
      <c r="Z15" s="11"/>
      <c r="AA15" s="11"/>
      <c r="AC15" s="11"/>
      <c r="AD15" s="11"/>
      <c r="AE15" s="11"/>
      <c r="AG15" s="11"/>
      <c r="AH15" s="11"/>
      <c r="AI15" s="11"/>
      <c r="AK15" s="11"/>
      <c r="AL15" s="11"/>
      <c r="AM15" s="11"/>
      <c r="AO15" s="11"/>
      <c r="AP15" s="11"/>
      <c r="AQ15" s="11"/>
      <c r="AS15" s="11"/>
      <c r="AT15" s="11"/>
      <c r="AU15" s="11"/>
      <c r="AW15" s="11"/>
      <c r="AX15" s="11"/>
      <c r="AY15" s="11"/>
      <c r="BA15" s="11"/>
      <c r="BB15" s="11"/>
      <c r="BC15" s="11"/>
    </row>
    <row r="16" spans="1:55" ht="17.25" customHeight="1" x14ac:dyDescent="0.25">
      <c r="A16" s="215"/>
      <c r="B16" s="65" t="s">
        <v>96</v>
      </c>
      <c r="C16" s="66" t="s">
        <v>165</v>
      </c>
      <c r="D16" s="67" t="s">
        <v>142</v>
      </c>
      <c r="E16" s="15">
        <v>2</v>
      </c>
      <c r="F16" s="15" t="str">
        <f t="shared" si="0"/>
        <v/>
      </c>
      <c r="G16" s="14" t="str">
        <f>IF(OR(F16="",F16="NA"),"",IF(OR(C16="time",LEFT(C16,3)="DAY"),IF(OR(C16="DAY2",C16="time"),IF((92%-(F16-E16)/(1/10*100))&lt;70%,70%,IF(92%-(F16-E16)/(1/10*100)&gt;105%,105%,92%-(F16-E16)/(1/10*100))),IF(COUNT(E16)=1,IF((112%-(F16-E16)/(1/10*100))&lt;70%,70%,IF(112%-(F16-E16)/(1/10*100)&gt;105%,105%,112%-(F16-E16)/(1/10*100))))),IF(LEFT(C16,5)="month",IF(C16="month1",IF((112%-IF(F16="W1",0,IF(F16="W2",1,MATCH(F16,Sheet1!$A$2:$A$13,0)-MATCH(E16,Sheet1!$A$2:$A$13,0)+1))/(1/10*100))&lt;70%,70%,IF(112%-IF(F16="W1",0,IF(F16="W2",1,MATCH(F16,Sheet1!$A$2:$A$13,0)-MATCH(E16,Sheet1!$A$2:$A$13,0)+1))/(1/10*100)&gt;105%,105%,112%-IF(F16="W1",0,IF(F16="W2",1,MATCH(F16,Sheet1!$A$2:$A$13,0)-MATCH(E16,Sheet1!$A$2:$A$13,0)+1))/(1/10*100))),IF((92%-(IF(OR(F16="w1",F16="w2"),1,MATCH(F16,Sheet1!$A$2:$A$13,0))-MATCH(E16,Sheet1!$A$2:$A$13,0))/(1/10*100))&lt;70%,70%,IF(92%-(IF(OR(F16="w1",F16="w2"),1,MATCH(F16,Sheet1!$A$2:$A$13,0))-MATCH(E16,Sheet1!$A$2:$A$13,0))/(1/10*100)&gt;105%,105%,92%-(IF(OR(F16="w1",F16="w2"),1,MATCH(F16,Sheet1!$A$2:$A$13,0))-MATCH(E16,Sheet1!$A$2:$A$13,0))/(1/10*100)))),IF(MID(D16,3,1)="+",IF(E16&lt;100,IF(112%-(E16-F16)/(1/IF(E16&lt;4,(40/E16),10)*100)&gt;105%,105%,IF(112%-(E16-F16)/(1/IF(E16&lt;4,(40/E16),10)*100)&lt;=72%,72%,112%-(E16-F16)/(1/IF(E16&lt;4,(40/E16),10)*100))),IF(112%-(E16-F16)/E16*10&gt;105%,105%,IF(112%-(E16-F16)/E16*10&lt;72%,72%,112%-(E16-F16)/E16*10))),IF(MID(D16,3,1)="-",IF(92%+((E16-F16)/(E16))*0.4&gt;105%,105%,IF(92%+((E16-F16)/(E16))*0.4&lt;72%,72%,92%+((E16-F16)/(E16))*0.4)),IF(OR(B16="BOTO",B16="NPI",B16="FF"),IF(102%+((E16-F16)/(E16))*0.4&gt;105%,105%,IF(102%+((E16-F16)/(E16))*0.4&lt;72%,72%,102%+((E16-F16)/(E16))*0.4)),""))))))</f>
        <v/>
      </c>
      <c r="I16" s="11"/>
      <c r="J16" s="11"/>
      <c r="K16" s="11"/>
      <c r="M16" s="11"/>
      <c r="N16" s="11"/>
      <c r="O16" s="11"/>
      <c r="Q16" s="11"/>
      <c r="R16" s="11"/>
      <c r="S16" s="11"/>
      <c r="U16" s="11"/>
      <c r="V16" s="11"/>
      <c r="W16" s="11"/>
      <c r="Y16" s="11"/>
      <c r="Z16" s="11"/>
      <c r="AA16" s="11"/>
      <c r="AC16" s="11"/>
      <c r="AD16" s="11"/>
      <c r="AE16" s="11"/>
      <c r="AG16" s="11"/>
      <c r="AH16" s="11"/>
      <c r="AI16" s="11"/>
      <c r="AK16" s="11"/>
      <c r="AL16" s="11"/>
      <c r="AM16" s="11"/>
      <c r="AO16" s="11"/>
      <c r="AP16" s="11"/>
      <c r="AQ16" s="11"/>
      <c r="AS16" s="11"/>
      <c r="AT16" s="11"/>
      <c r="AU16" s="11"/>
      <c r="AW16" s="11"/>
      <c r="AX16" s="11"/>
      <c r="AY16" s="11"/>
      <c r="BA16" s="11"/>
      <c r="BB16" s="11"/>
      <c r="BC16" s="11"/>
    </row>
    <row r="17" spans="1:55" x14ac:dyDescent="0.25">
      <c r="A17" s="215"/>
      <c r="B17" s="65" t="s">
        <v>97</v>
      </c>
      <c r="C17" s="13" t="s">
        <v>165</v>
      </c>
      <c r="D17" s="67" t="s">
        <v>142</v>
      </c>
      <c r="E17" s="15">
        <v>1</v>
      </c>
      <c r="F17" s="15" t="str">
        <f t="shared" si="0"/>
        <v/>
      </c>
      <c r="G17" s="14" t="str">
        <f>IF(OR(F17="",F17="NA"),"",IF(OR(C17="time",LEFT(C17,3)="DAY"),IF(OR(C17="DAY2",C17="time"),IF((92%-(F17-E17)/(1/10*100))&lt;70%,70%,IF(92%-(F17-E17)/(1/10*100)&gt;105%,105%,92%-(F17-E17)/(1/10*100))),IF(COUNT(E17)=1,IF((112%-(F17-E17)/(1/10*100))&lt;70%,70%,IF(112%-(F17-E17)/(1/10*100)&gt;105%,105%,112%-(F17-E17)/(1/10*100))))),IF(LEFT(C17,5)="month",IF(C17="month1",IF((112%-IF(F17="W1",0,IF(F17="W2",1,MATCH(F17,Sheet1!$A$2:$A$13,0)-MATCH(E17,Sheet1!$A$2:$A$13,0)+1))/(1/10*100))&lt;70%,70%,IF(112%-IF(F17="W1",0,IF(F17="W2",1,MATCH(F17,Sheet1!$A$2:$A$13,0)-MATCH(E17,Sheet1!$A$2:$A$13,0)+1))/(1/10*100)&gt;105%,105%,112%-IF(F17="W1",0,IF(F17="W2",1,MATCH(F17,Sheet1!$A$2:$A$13,0)-MATCH(E17,Sheet1!$A$2:$A$13,0)+1))/(1/10*100))),IF((92%-(IF(OR(F17="w1",F17="w2"),1,MATCH(F17,Sheet1!$A$2:$A$13,0))-MATCH(E17,Sheet1!$A$2:$A$13,0))/(1/10*100))&lt;70%,70%,IF(92%-(IF(OR(F17="w1",F17="w2"),1,MATCH(F17,Sheet1!$A$2:$A$13,0))-MATCH(E17,Sheet1!$A$2:$A$13,0))/(1/10*100)&gt;105%,105%,92%-(IF(OR(F17="w1",F17="w2"),1,MATCH(F17,Sheet1!$A$2:$A$13,0))-MATCH(E17,Sheet1!$A$2:$A$13,0))/(1/10*100)))),IF(MID(D17,3,1)="+",IF(E17&lt;100,IF(112%-(E17-F17)/(1/IF(E17&lt;4,(40/E17),10)*100)&gt;105%,105%,IF(112%-(E17-F17)/(1/IF(E17&lt;4,(40/E17),10)*100)&lt;=72%,72%,112%-(E17-F17)/(1/IF(E17&lt;4,(40/E17),10)*100))),IF(112%-(E17-F17)/E17*10&gt;105%,105%,IF(112%-(E17-F17)/E17*10&lt;72%,72%,112%-(E17-F17)/E17*10))),IF(MID(D17,3,1)="-",IF(92%+((E17-F17)/(E17))*0.4&gt;105%,105%,IF(92%+((E17-F17)/(E17))*0.4&lt;72%,72%,92%+((E17-F17)/(E17))*0.4)),IF(OR(B17="BOTO",B17="NPI",B17="FF"),IF(102%+((E17-F17)/(E17))*0.4&gt;105%,105%,IF(102%+((E17-F17)/(E17))*0.4&lt;72%,72%,102%+((E17-F17)/(E17))*0.4)),""))))))</f>
        <v/>
      </c>
      <c r="I17" s="11"/>
      <c r="J17" s="11"/>
      <c r="K17" s="11"/>
      <c r="M17" s="11"/>
      <c r="N17" s="11"/>
      <c r="O17" s="11"/>
      <c r="Q17" s="11"/>
      <c r="R17" s="11"/>
      <c r="S17" s="11"/>
      <c r="U17" s="11"/>
      <c r="V17" s="11"/>
      <c r="W17" s="11"/>
      <c r="Y17" s="11"/>
      <c r="Z17" s="11"/>
      <c r="AA17" s="11"/>
      <c r="AC17" s="11"/>
      <c r="AD17" s="11"/>
      <c r="AE17" s="11"/>
      <c r="AG17" s="11"/>
      <c r="AH17" s="11"/>
      <c r="AI17" s="11"/>
      <c r="AK17" s="11"/>
      <c r="AL17" s="11"/>
      <c r="AM17" s="11"/>
      <c r="AO17" s="11"/>
      <c r="AP17" s="11"/>
      <c r="AQ17" s="11"/>
      <c r="AS17" s="11"/>
      <c r="AT17" s="11"/>
      <c r="AU17" s="11"/>
      <c r="AW17" s="11"/>
      <c r="AX17" s="11"/>
      <c r="AY17" s="11"/>
      <c r="BA17" s="11"/>
      <c r="BB17" s="11"/>
      <c r="BC17" s="11"/>
    </row>
    <row r="18" spans="1:55" x14ac:dyDescent="0.25">
      <c r="A18" s="215"/>
      <c r="B18" s="65" t="s">
        <v>137</v>
      </c>
      <c r="C18" s="66" t="s">
        <v>165</v>
      </c>
      <c r="D18" s="67" t="s">
        <v>142</v>
      </c>
      <c r="E18" s="15">
        <v>1</v>
      </c>
      <c r="F18" s="15" t="str">
        <f t="shared" si="0"/>
        <v/>
      </c>
      <c r="G18" s="14" t="str">
        <f>IF(OR(F18="",F18="NA"),"",IF(OR(C18="time",LEFT(C18,3)="DAY"),IF(OR(C18="DAY2",C18="time"),IF((92%-(F18-E18)/(1/10*100))&lt;70%,70%,IF(92%-(F18-E18)/(1/10*100)&gt;105%,105%,92%-(F18-E18)/(1/10*100))),IF(COUNT(E18)=1,IF((112%-(F18-E18)/(1/10*100))&lt;70%,70%,IF(112%-(F18-E18)/(1/10*100)&gt;105%,105%,112%-(F18-E18)/(1/10*100))))),IF(LEFT(C18,5)="month",IF(C18="month1",IF((112%-IF(F18="W1",0,IF(F18="W2",1,MATCH(F18,Sheet1!$A$2:$A$13,0)-MATCH(E18,Sheet1!$A$2:$A$13,0)+1))/(1/10*100))&lt;70%,70%,IF(112%-IF(F18="W1",0,IF(F18="W2",1,MATCH(F18,Sheet1!$A$2:$A$13,0)-MATCH(E18,Sheet1!$A$2:$A$13,0)+1))/(1/10*100)&gt;105%,105%,112%-IF(F18="W1",0,IF(F18="W2",1,MATCH(F18,Sheet1!$A$2:$A$13,0)-MATCH(E18,Sheet1!$A$2:$A$13,0)+1))/(1/10*100))),IF((92%-(IF(OR(F18="w1",F18="w2"),1,MATCH(F18,Sheet1!$A$2:$A$13,0))-MATCH(E18,Sheet1!$A$2:$A$13,0))/(1/10*100))&lt;70%,70%,IF(92%-(IF(OR(F18="w1",F18="w2"),1,MATCH(F18,Sheet1!$A$2:$A$13,0))-MATCH(E18,Sheet1!$A$2:$A$13,0))/(1/10*100)&gt;105%,105%,92%-(IF(OR(F18="w1",F18="w2"),1,MATCH(F18,Sheet1!$A$2:$A$13,0))-MATCH(E18,Sheet1!$A$2:$A$13,0))/(1/10*100)))),IF(MID(D18,3,1)="+",IF(E18&lt;100,IF(112%-(E18-F18)/(1/IF(E18&lt;4,(40/E18),10)*100)&gt;105%,105%,IF(112%-(E18-F18)/(1/IF(E18&lt;4,(40/E18),10)*100)&lt;=72%,72%,112%-(E18-F18)/(1/IF(E18&lt;4,(40/E18),10)*100))),IF(112%-(E18-F18)/E18*10&gt;105%,105%,IF(112%-(E18-F18)/E18*10&lt;72%,72%,112%-(E18-F18)/E18*10))),IF(MID(D18,3,1)="-",IF(92%+((E18-F18)/(E18))*0.4&gt;105%,105%,IF(92%+((E18-F18)/(E18))*0.4&lt;72%,72%,92%+((E18-F18)/(E18))*0.4)),IF(OR(B18="BOTO",B18="NPI",B18="FF"),IF(102%+((E18-F18)/(E18))*0.4&gt;105%,105%,IF(102%+((E18-F18)/(E18))*0.4&lt;72%,72%,102%+((E18-F18)/(E18))*0.4)),""))))))</f>
        <v/>
      </c>
      <c r="I18" s="11"/>
      <c r="J18" s="11"/>
      <c r="K18" s="11"/>
      <c r="M18" s="11"/>
      <c r="N18" s="11"/>
      <c r="O18" s="11"/>
      <c r="Q18" s="11"/>
      <c r="R18" s="11"/>
      <c r="S18" s="11"/>
      <c r="U18" s="11"/>
      <c r="V18" s="11"/>
      <c r="W18" s="11"/>
      <c r="Y18" s="11"/>
      <c r="Z18" s="11"/>
      <c r="AA18" s="11"/>
      <c r="AC18" s="11"/>
      <c r="AD18" s="11"/>
      <c r="AE18" s="11"/>
      <c r="AG18" s="11"/>
      <c r="AH18" s="11"/>
      <c r="AI18" s="11"/>
      <c r="AK18" s="11"/>
      <c r="AL18" s="11"/>
      <c r="AM18" s="11"/>
      <c r="AO18" s="11"/>
      <c r="AP18" s="11"/>
      <c r="AQ18" s="11"/>
      <c r="AS18" s="11"/>
      <c r="AT18" s="11"/>
      <c r="AU18" s="11"/>
      <c r="AW18" s="11"/>
      <c r="AX18" s="11"/>
      <c r="AY18" s="11"/>
      <c r="BA18" s="11"/>
      <c r="BB18" s="11"/>
      <c r="BC18" s="11"/>
    </row>
    <row r="19" spans="1:55" x14ac:dyDescent="0.25">
      <c r="A19" s="215"/>
      <c r="B19" s="65" t="s">
        <v>138</v>
      </c>
      <c r="C19" s="13" t="s">
        <v>165</v>
      </c>
      <c r="D19" s="67" t="s">
        <v>142</v>
      </c>
      <c r="E19" s="15">
        <v>1</v>
      </c>
      <c r="F19" s="15" t="str">
        <f t="shared" si="0"/>
        <v/>
      </c>
      <c r="G19" s="14" t="str">
        <f>IF(OR(F19="",F19="NA"),"",IF(OR(C19="time",LEFT(C19,3)="DAY"),IF(OR(C19="DAY2",C19="time"),IF((92%-(F19-E19)/(1/10*100))&lt;70%,70%,IF(92%-(F19-E19)/(1/10*100)&gt;105%,105%,92%-(F19-E19)/(1/10*100))),IF(COUNT(E19)=1,IF((112%-(F19-E19)/(1/10*100))&lt;70%,70%,IF(112%-(F19-E19)/(1/10*100)&gt;105%,105%,112%-(F19-E19)/(1/10*100))))),IF(LEFT(C19,5)="month",IF(C19="month1",IF((112%-IF(F19="W1",0,IF(F19="W2",1,MATCH(F19,Sheet1!$A$2:$A$13,0)-MATCH(E19,Sheet1!$A$2:$A$13,0)+1))/(1/10*100))&lt;70%,70%,IF(112%-IF(F19="W1",0,IF(F19="W2",1,MATCH(F19,Sheet1!$A$2:$A$13,0)-MATCH(E19,Sheet1!$A$2:$A$13,0)+1))/(1/10*100)&gt;105%,105%,112%-IF(F19="W1",0,IF(F19="W2",1,MATCH(F19,Sheet1!$A$2:$A$13,0)-MATCH(E19,Sheet1!$A$2:$A$13,0)+1))/(1/10*100))),IF((92%-(IF(OR(F19="w1",F19="w2"),1,MATCH(F19,Sheet1!$A$2:$A$13,0))-MATCH(E19,Sheet1!$A$2:$A$13,0))/(1/10*100))&lt;70%,70%,IF(92%-(IF(OR(F19="w1",F19="w2"),1,MATCH(F19,Sheet1!$A$2:$A$13,0))-MATCH(E19,Sheet1!$A$2:$A$13,0))/(1/10*100)&gt;105%,105%,92%-(IF(OR(F19="w1",F19="w2"),1,MATCH(F19,Sheet1!$A$2:$A$13,0))-MATCH(E19,Sheet1!$A$2:$A$13,0))/(1/10*100)))),IF(MID(D19,3,1)="+",IF(E19&lt;100,IF(112%-(E19-F19)/(1/IF(E19&lt;4,(40/E19),10)*100)&gt;105%,105%,IF(112%-(E19-F19)/(1/IF(E19&lt;4,(40/E19),10)*100)&lt;=72%,72%,112%-(E19-F19)/(1/IF(E19&lt;4,(40/E19),10)*100))),IF(112%-(E19-F19)/E19*10&gt;105%,105%,IF(112%-(E19-F19)/E19*10&lt;72%,72%,112%-(E19-F19)/E19*10))),IF(MID(D19,3,1)="-",IF(92%+((E19-F19)/(E19))*0.4&gt;105%,105%,IF(92%+((E19-F19)/(E19))*0.4&lt;72%,72%,92%+((E19-F19)/(E19))*0.4)),IF(OR(B19="BOTO",B19="NPI",B19="FF"),IF(102%+((E19-F19)/(E19))*0.4&gt;105%,105%,IF(102%+((E19-F19)/(E19))*0.4&lt;72%,72%,102%+((E19-F19)/(E19))*0.4)),""))))))</f>
        <v/>
      </c>
      <c r="I19" s="11"/>
      <c r="J19" s="11"/>
      <c r="K19" s="11"/>
      <c r="M19" s="11"/>
      <c r="N19" s="11"/>
      <c r="O19" s="11"/>
      <c r="Q19" s="11"/>
      <c r="R19" s="11"/>
      <c r="S19" s="11"/>
      <c r="U19" s="11"/>
      <c r="V19" s="11"/>
      <c r="W19" s="11"/>
      <c r="Y19" s="11"/>
      <c r="Z19" s="11"/>
      <c r="AA19" s="11"/>
      <c r="AC19" s="11"/>
      <c r="AD19" s="11"/>
      <c r="AE19" s="11"/>
      <c r="AG19" s="11"/>
      <c r="AH19" s="11"/>
      <c r="AI19" s="11"/>
      <c r="AK19" s="11"/>
      <c r="AL19" s="11"/>
      <c r="AM19" s="11"/>
      <c r="AO19" s="11"/>
      <c r="AP19" s="11"/>
      <c r="AQ19" s="11"/>
      <c r="AS19" s="11"/>
      <c r="AT19" s="11"/>
      <c r="AU19" s="11"/>
      <c r="AW19" s="11"/>
      <c r="AX19" s="11"/>
      <c r="AY19" s="11"/>
      <c r="BA19" s="11"/>
      <c r="BB19" s="11"/>
      <c r="BC19" s="11"/>
    </row>
    <row r="20" spans="1:55" x14ac:dyDescent="0.25">
      <c r="A20" s="215"/>
      <c r="B20" s="65" t="s">
        <v>99</v>
      </c>
      <c r="C20" s="66" t="s">
        <v>165</v>
      </c>
      <c r="D20" s="67" t="s">
        <v>142</v>
      </c>
      <c r="E20" s="15">
        <v>1</v>
      </c>
      <c r="F20" s="15" t="str">
        <f t="shared" si="0"/>
        <v/>
      </c>
      <c r="G20" s="14" t="str">
        <f>IF(OR(F20="",F20="NA"),"",IF(OR(C20="time",LEFT(C20,3)="DAY"),IF(OR(C20="DAY2",C20="time"),IF((92%-(F20-E20)/(1/10*100))&lt;70%,70%,IF(92%-(F20-E20)/(1/10*100)&gt;105%,105%,92%-(F20-E20)/(1/10*100))),IF(COUNT(E20)=1,IF((112%-(F20-E20)/(1/10*100))&lt;70%,70%,IF(112%-(F20-E20)/(1/10*100)&gt;105%,105%,112%-(F20-E20)/(1/10*100))))),IF(LEFT(C20,5)="month",IF(C20="month1",IF((112%-IF(F20="W1",0,IF(F20="W2",1,MATCH(F20,Sheet1!$A$2:$A$13,0)-MATCH(E20,Sheet1!$A$2:$A$13,0)+1))/(1/10*100))&lt;70%,70%,IF(112%-IF(F20="W1",0,IF(F20="W2",1,MATCH(F20,Sheet1!$A$2:$A$13,0)-MATCH(E20,Sheet1!$A$2:$A$13,0)+1))/(1/10*100)&gt;105%,105%,112%-IF(F20="W1",0,IF(F20="W2",1,MATCH(F20,Sheet1!$A$2:$A$13,0)-MATCH(E20,Sheet1!$A$2:$A$13,0)+1))/(1/10*100))),IF((92%-(IF(OR(F20="w1",F20="w2"),1,MATCH(F20,Sheet1!$A$2:$A$13,0))-MATCH(E20,Sheet1!$A$2:$A$13,0))/(1/10*100))&lt;70%,70%,IF(92%-(IF(OR(F20="w1",F20="w2"),1,MATCH(F20,Sheet1!$A$2:$A$13,0))-MATCH(E20,Sheet1!$A$2:$A$13,0))/(1/10*100)&gt;105%,105%,92%-(IF(OR(F20="w1",F20="w2"),1,MATCH(F20,Sheet1!$A$2:$A$13,0))-MATCH(E20,Sheet1!$A$2:$A$13,0))/(1/10*100)))),IF(MID(D20,3,1)="+",IF(E20&lt;100,IF(112%-(E20-F20)/(1/IF(E20&lt;4,(40/E20),10)*100)&gt;105%,105%,IF(112%-(E20-F20)/(1/IF(E20&lt;4,(40/E20),10)*100)&lt;=72%,72%,112%-(E20-F20)/(1/IF(E20&lt;4,(40/E20),10)*100))),IF(112%-(E20-F20)/E20*10&gt;105%,105%,IF(112%-(E20-F20)/E20*10&lt;72%,72%,112%-(E20-F20)/E20*10))),IF(MID(D20,3,1)="-",IF(92%+((E20-F20)/(E20))*0.4&gt;105%,105%,IF(92%+((E20-F20)/(E20))*0.4&lt;72%,72%,92%+((E20-F20)/(E20))*0.4)),IF(OR(B20="BOTO",B20="NPI",B20="FF"),IF(102%+((E20-F20)/(E20))*0.4&gt;105%,105%,IF(102%+((E20-F20)/(E20))*0.4&lt;72%,72%,102%+((E20-F20)/(E20))*0.4)),""))))))</f>
        <v/>
      </c>
      <c r="I20" s="11"/>
      <c r="J20" s="11"/>
      <c r="K20" s="11"/>
      <c r="M20" s="11"/>
      <c r="N20" s="11"/>
      <c r="O20" s="11"/>
      <c r="Q20" s="11"/>
      <c r="R20" s="11"/>
      <c r="S20" s="11"/>
      <c r="U20" s="11"/>
      <c r="V20" s="11"/>
      <c r="W20" s="11"/>
      <c r="Y20" s="11"/>
      <c r="Z20" s="11"/>
      <c r="AA20" s="11"/>
      <c r="AC20" s="11"/>
      <c r="AD20" s="11"/>
      <c r="AE20" s="11"/>
      <c r="AG20" s="11"/>
      <c r="AH20" s="11"/>
      <c r="AI20" s="11"/>
      <c r="AK20" s="11"/>
      <c r="AL20" s="11"/>
      <c r="AM20" s="11"/>
      <c r="AO20" s="11"/>
      <c r="AP20" s="11"/>
      <c r="AQ20" s="11"/>
      <c r="AS20" s="11"/>
      <c r="AT20" s="11"/>
      <c r="AU20" s="11"/>
      <c r="AW20" s="11"/>
      <c r="AX20" s="11"/>
      <c r="AY20" s="11"/>
      <c r="BA20" s="11"/>
      <c r="BB20" s="11"/>
      <c r="BC20" s="11"/>
    </row>
    <row r="21" spans="1:55" x14ac:dyDescent="0.25">
      <c r="A21" s="222"/>
      <c r="B21" s="12" t="s">
        <v>81</v>
      </c>
      <c r="C21" s="13" t="s">
        <v>165</v>
      </c>
      <c r="D21" s="67" t="s">
        <v>142</v>
      </c>
      <c r="E21" s="15">
        <v>3</v>
      </c>
      <c r="F21" s="15" t="str">
        <f t="shared" si="0"/>
        <v/>
      </c>
      <c r="G21" s="14" t="str">
        <f>IF(OR(F21="",F21="NA"),"",IF(OR(C21="time",LEFT(C21,3)="DAY"),IF(OR(C21="DAY2",C21="time"),IF((92%-(F21-E21)/(1/10*100))&lt;70%,70%,IF(92%-(F21-E21)/(1/10*100)&gt;105%,105%,92%-(F21-E21)/(1/10*100))),IF(COUNT(E21)=1,IF((112%-(F21-E21)/(1/10*100))&lt;70%,70%,IF(112%-(F21-E21)/(1/10*100)&gt;105%,105%,112%-(F21-E21)/(1/10*100))))),IF(LEFT(C21,5)="month",IF(C21="month1",IF((112%-IF(F21="W1",0,IF(F21="W2",1,MATCH(F21,Sheet1!$A$2:$A$13,0)-MATCH(E21,Sheet1!$A$2:$A$13,0)+1))/(1/10*100))&lt;70%,70%,IF(112%-IF(F21="W1",0,IF(F21="W2",1,MATCH(F21,Sheet1!$A$2:$A$13,0)-MATCH(E21,Sheet1!$A$2:$A$13,0)+1))/(1/10*100)&gt;105%,105%,112%-IF(F21="W1",0,IF(F21="W2",1,MATCH(F21,Sheet1!$A$2:$A$13,0)-MATCH(E21,Sheet1!$A$2:$A$13,0)+1))/(1/10*100))),IF((92%-(IF(OR(F21="w1",F21="w2"),1,MATCH(F21,Sheet1!$A$2:$A$13,0))-MATCH(E21,Sheet1!$A$2:$A$13,0))/(1/10*100))&lt;70%,70%,IF(92%-(IF(OR(F21="w1",F21="w2"),1,MATCH(F21,Sheet1!$A$2:$A$13,0))-MATCH(E21,Sheet1!$A$2:$A$13,0))/(1/10*100)&gt;105%,105%,92%-(IF(OR(F21="w1",F21="w2"),1,MATCH(F21,Sheet1!$A$2:$A$13,0))-MATCH(E21,Sheet1!$A$2:$A$13,0))/(1/10*100)))),IF(MID(D21,3,1)="+",IF(E21&lt;100,IF(112%-(E21-F21)/(1/IF(E21&lt;4,(40/E21),10)*100)&gt;105%,105%,IF(112%-(E21-F21)/(1/IF(E21&lt;4,(40/E21),10)*100)&lt;=72%,72%,112%-(E21-F21)/(1/IF(E21&lt;4,(40/E21),10)*100))),IF(112%-(E21-F21)/E21*10&gt;105%,105%,IF(112%-(E21-F21)/E21*10&lt;72%,72%,112%-(E21-F21)/E21*10))),IF(MID(D21,3,1)="-",IF(92%+((E21-F21)/(E21))*0.4&gt;105%,105%,IF(92%+((E21-F21)/(E21))*0.4&lt;72%,72%,92%+((E21-F21)/(E21))*0.4)),IF(OR(B21="BOTO",B21="NPI",B21="FF"),IF(102%+((E21-F21)/(E21))*0.4&gt;105%,105%,IF(102%+((E21-F21)/(E21))*0.4&lt;72%,72%,102%+((E21-F21)/(E21))*0.4)),""))))))</f>
        <v/>
      </c>
      <c r="I21" s="11"/>
      <c r="J21" s="11"/>
      <c r="K21" s="11"/>
      <c r="M21" s="11"/>
      <c r="N21" s="11"/>
      <c r="O21" s="11"/>
      <c r="Q21" s="11"/>
      <c r="R21" s="11"/>
      <c r="S21" s="11"/>
      <c r="U21" s="11"/>
      <c r="V21" s="11"/>
      <c r="W21" s="11"/>
      <c r="Y21" s="11"/>
      <c r="Z21" s="11"/>
      <c r="AA21" s="11"/>
      <c r="AC21" s="11"/>
      <c r="AD21" s="11"/>
      <c r="AE21" s="11"/>
      <c r="AG21" s="11"/>
      <c r="AH21" s="11"/>
      <c r="AI21" s="11"/>
      <c r="AK21" s="11"/>
      <c r="AL21" s="11"/>
      <c r="AM21" s="11"/>
      <c r="AO21" s="11"/>
      <c r="AP21" s="11"/>
      <c r="AQ21" s="11"/>
      <c r="AS21" s="11"/>
      <c r="AT21" s="11"/>
      <c r="AU21" s="11"/>
      <c r="AW21" s="11"/>
      <c r="AX21" s="11"/>
      <c r="AY21" s="11"/>
      <c r="BA21" s="11"/>
      <c r="BB21" s="11"/>
      <c r="BC21" s="11"/>
    </row>
    <row r="22" spans="1:55" ht="15.75" thickBot="1" x14ac:dyDescent="0.3">
      <c r="A22" s="223"/>
      <c r="B22" s="31" t="s">
        <v>100</v>
      </c>
      <c r="C22" s="32" t="s">
        <v>101</v>
      </c>
      <c r="D22" s="33" t="s">
        <v>142</v>
      </c>
      <c r="E22" s="34">
        <v>135</v>
      </c>
      <c r="F22" s="34" t="str">
        <f t="shared" si="0"/>
        <v/>
      </c>
      <c r="G22" s="35" t="str">
        <f>IF(OR(F22="",F22="NA"),"",IF(OR(C22="time",LEFT(C22,3)="DAY"),IF(OR(C22="DAY2",C22="time"),IF((92%-(F22-E22)/(1/10*100))&lt;70%,70%,IF(92%-(F22-E22)/(1/10*100)&gt;105%,105%,92%-(F22-E22)/(1/10*100))),IF(COUNT(E22)=1,IF((112%-(F22-E22)/(1/10*100))&lt;70%,70%,IF(112%-(F22-E22)/(1/10*100)&gt;105%,105%,112%-(F22-E22)/(1/10*100))))),IF(LEFT(C22,5)="month",IF(C22="month1",IF((112%-IF(F22="W1",0,IF(F22="W2",1,MATCH(F22,Sheet1!$A$2:$A$13,0)-MATCH(E22,Sheet1!$A$2:$A$13,0)+1))/(1/10*100))&lt;70%,70%,IF(112%-IF(F22="W1",0,IF(F22="W2",1,MATCH(F22,Sheet1!$A$2:$A$13,0)-MATCH(E22,Sheet1!$A$2:$A$13,0)+1))/(1/10*100)&gt;105%,105%,112%-IF(F22="W1",0,IF(F22="W2",1,MATCH(F22,Sheet1!$A$2:$A$13,0)-MATCH(E22,Sheet1!$A$2:$A$13,0)+1))/(1/10*100))),IF((92%-(IF(OR(F22="w1",F22="w2"),1,MATCH(F22,Sheet1!$A$2:$A$13,0))-MATCH(E22,Sheet1!$A$2:$A$13,0))/(1/10*100))&lt;70%,70%,IF(92%-(IF(OR(F22="w1",F22="w2"),1,MATCH(F22,Sheet1!$A$2:$A$13,0))-MATCH(E22,Sheet1!$A$2:$A$13,0))/(1/10*100)&gt;105%,105%,92%-(IF(OR(F22="w1",F22="w2"),1,MATCH(F22,Sheet1!$A$2:$A$13,0))-MATCH(E22,Sheet1!$A$2:$A$13,0))/(1/10*100)))),IF(MID(D22,3,1)="+",IF(E22&lt;100,IF(112%-(E22-F22)/(1/IF(E22&lt;4,(40/E22),10)*100)&gt;105%,105%,IF(112%-(E22-F22)/(1/IF(E22&lt;4,(40/E22),10)*100)&lt;=72%,72%,112%-(E22-F22)/(1/IF(E22&lt;4,(40/E22),10)*100))),IF(112%-(E22-F22)/E22*10&gt;105%,105%,IF(112%-(E22-F22)/E22*10&lt;72%,72%,112%-(E22-F22)/E22*10))),IF(MID(D22,3,1)="-",IF(92%+((E22-F22)/(E22))*0.4&gt;105%,105%,IF(92%+((E22-F22)/(E22))*0.4&lt;72%,72%,92%+((E22-F22)/(E22))*0.4)),IF(OR(B22="BOTO",B22="NPI",B22="FF"),IF(102%+((E22-F22)/(E22))*0.4&gt;105%,105%,IF(102%+((E22-F22)/(E22))*0.4&lt;72%,72%,102%+((E22-F22)/(E22))*0.4)),""))))))</f>
        <v/>
      </c>
      <c r="I22" s="11"/>
      <c r="J22" s="11"/>
      <c r="K22" s="11"/>
      <c r="M22" s="11"/>
      <c r="N22" s="11"/>
      <c r="O22" s="11"/>
      <c r="Q22" s="11"/>
      <c r="R22" s="11"/>
      <c r="S22" s="11"/>
      <c r="U22" s="11"/>
      <c r="V22" s="11"/>
      <c r="W22" s="11"/>
      <c r="Y22" s="11"/>
      <c r="Z22" s="11"/>
      <c r="AA22" s="11"/>
      <c r="AC22" s="11"/>
      <c r="AD22" s="11"/>
      <c r="AE22" s="11"/>
      <c r="AG22" s="11"/>
      <c r="AH22" s="11"/>
      <c r="AI22" s="11"/>
      <c r="AK22" s="11"/>
      <c r="AL22" s="11"/>
      <c r="AM22" s="11"/>
      <c r="AO22" s="11"/>
      <c r="AP22" s="11"/>
      <c r="AQ22" s="11"/>
      <c r="AS22" s="11"/>
      <c r="AT22" s="11"/>
      <c r="AU22" s="11"/>
      <c r="AW22" s="11"/>
      <c r="AX22" s="11"/>
      <c r="AY22" s="11"/>
      <c r="BA22" s="11"/>
      <c r="BB22" s="11"/>
      <c r="BC22" s="11"/>
    </row>
    <row r="23" spans="1:55" x14ac:dyDescent="0.25">
      <c r="A23" s="224" t="s">
        <v>55</v>
      </c>
      <c r="B23" s="38" t="s">
        <v>82</v>
      </c>
      <c r="C23" s="36" t="s">
        <v>24</v>
      </c>
      <c r="D23" s="9" t="s">
        <v>144</v>
      </c>
      <c r="E23" s="16">
        <v>5</v>
      </c>
      <c r="F23" s="16" t="str">
        <f t="shared" si="0"/>
        <v/>
      </c>
      <c r="G23" s="107" t="str">
        <f>IF(OR(F23="",F23="NA"),"",IF(OR(C23="time",LEFT(C23,3)="DAY"),IF(OR(C23="DAY2",C23="time"),IF((92%-(F23-E23)/(1/10*100))&lt;70%,70%,IF(92%-(F23-E23)/(1/10*100)&gt;105%,105%,92%-(F23-E23)/(1/10*100))),IF(COUNT(E23)=1,IF((112%-(F23-E23)/(1/10*100))&lt;70%,70%,IF(112%-(F23-E23)/(1/10*100)&gt;105%,105%,112%-(F23-E23)/(1/10*100))))),IF(LEFT(C23,5)="month",IF(C23="month1",IF((112%-IF(F23="W1",0,IF(F23="W2",1,MATCH(F23,Sheet1!$A$2:$A$13,0)-MATCH(E23,Sheet1!$A$2:$A$13,0)+1))/(1/10*100))&lt;70%,70%,IF(112%-IF(F23="W1",0,IF(F23="W2",1,MATCH(F23,Sheet1!$A$2:$A$13,0)-MATCH(E23,Sheet1!$A$2:$A$13,0)+1))/(1/10*100)&gt;105%,105%,112%-IF(F23="W1",0,IF(F23="W2",1,MATCH(F23,Sheet1!$A$2:$A$13,0)-MATCH(E23,Sheet1!$A$2:$A$13,0)+1))/(1/10*100))),IF((92%-(IF(OR(F23="w1",F23="w2"),1,MATCH(F23,Sheet1!$A$2:$A$13,0))-MATCH(E23,Sheet1!$A$2:$A$13,0))/(1/10*100))&lt;70%,70%,IF(92%-(IF(OR(F23="w1",F23="w2"),1,MATCH(F23,Sheet1!$A$2:$A$13,0))-MATCH(E23,Sheet1!$A$2:$A$13,0))/(1/10*100)&gt;105%,105%,92%-(IF(OR(F23="w1",F23="w2"),1,MATCH(F23,Sheet1!$A$2:$A$13,0))-MATCH(E23,Sheet1!$A$2:$A$13,0))/(1/10*100)))),IF(MID(D23,3,1)="+",IF(E23&lt;100,IF(112%-(E23-F23)/(1/IF(E23&lt;4,(40/E23),10)*100)&gt;105%,105%,IF(112%-(E23-F23)/(1/IF(E23&lt;4,(40/E23),10)*100)&lt;=72%,72%,112%-(E23-F23)/(1/IF(E23&lt;4,(40/E23),10)*100))),IF(112%-(E23-F23)/E23*10&gt;105%,105%,IF(112%-(E23-F23)/E23*10&lt;72%,72%,112%-(E23-F23)/E23*10))),IF(MID(D23,3,1)="-",IF(92%+((E23-F23)/(E23))*0.4&gt;105%,105%,IF(92%+((E23-F23)/(E23))*0.4&lt;72%,72%,92%+((E23-F23)/(E23))*0.4)),IF(OR(B23="BOTO",B23="NPI",B23="FF"),IF(102%+((E23-F23)/(E23))*0.4&gt;105%,105%,IF(102%+((E23-F23)/(E23))*0.4&lt;72%,72%,102%+((E23-F23)/(E23))*0.4)),""))))))</f>
        <v/>
      </c>
      <c r="I23" s="11"/>
      <c r="J23" s="11"/>
      <c r="K23" s="11"/>
      <c r="M23" s="11"/>
      <c r="N23" s="11"/>
      <c r="O23" s="11"/>
      <c r="Q23" s="11"/>
      <c r="R23" s="11"/>
      <c r="S23" s="11"/>
      <c r="U23" s="11"/>
      <c r="V23" s="11"/>
      <c r="W23" s="11"/>
      <c r="Y23" s="11"/>
      <c r="Z23" s="11"/>
      <c r="AA23" s="11"/>
      <c r="AC23" s="11"/>
      <c r="AD23" s="11"/>
      <c r="AE23" s="11"/>
      <c r="AG23" s="11"/>
      <c r="AH23" s="11"/>
      <c r="AI23" s="11"/>
      <c r="AK23" s="11"/>
      <c r="AL23" s="11"/>
      <c r="AM23" s="11"/>
      <c r="AO23" s="11"/>
      <c r="AP23" s="11"/>
      <c r="AQ23" s="11"/>
      <c r="AS23" s="11"/>
      <c r="AT23" s="11"/>
      <c r="AU23" s="11"/>
      <c r="AW23" s="11"/>
      <c r="AX23" s="11"/>
      <c r="AY23" s="11"/>
      <c r="BA23" s="11"/>
      <c r="BB23" s="11"/>
      <c r="BC23" s="11"/>
    </row>
    <row r="24" spans="1:55" ht="15.75" thickBot="1" x14ac:dyDescent="0.3">
      <c r="A24" s="225"/>
      <c r="B24" s="108" t="s">
        <v>83</v>
      </c>
      <c r="C24" s="109" t="s">
        <v>24</v>
      </c>
      <c r="D24" s="110" t="s">
        <v>144</v>
      </c>
      <c r="E24" s="111">
        <v>1</v>
      </c>
      <c r="F24" s="111" t="str">
        <f t="shared" si="0"/>
        <v/>
      </c>
      <c r="G24" s="112" t="str">
        <f>IF(OR(F24="",F24="NA"),"",IF(OR(C24="time",LEFT(C24,3)="DAY"),IF(OR(C24="DAY2",C24="time"),IF((92%-(F24-E24)/(1/10*100))&lt;70%,70%,IF(92%-(F24-E24)/(1/10*100)&gt;105%,105%,92%-(F24-E24)/(1/10*100))),IF(COUNT(E24)=1,IF((112%-(F24-E24)/(1/10*100))&lt;70%,70%,IF(112%-(F24-E24)/(1/10*100)&gt;105%,105%,112%-(F24-E24)/(1/10*100))))),IF(LEFT(C24,5)="month",IF(C24="month1",IF((112%-IF(F24="W1",0,IF(F24="W2",1,MATCH(F24,Sheet1!$A$2:$A$13,0)-MATCH(E24,Sheet1!$A$2:$A$13,0)+1))/(1/10*100))&lt;70%,70%,IF(112%-IF(F24="W1",0,IF(F24="W2",1,MATCH(F24,Sheet1!$A$2:$A$13,0)-MATCH(E24,Sheet1!$A$2:$A$13,0)+1))/(1/10*100)&gt;105%,105%,112%-IF(F24="W1",0,IF(F24="W2",1,MATCH(F24,Sheet1!$A$2:$A$13,0)-MATCH(E24,Sheet1!$A$2:$A$13,0)+1))/(1/10*100))),IF((92%-(IF(OR(F24="w1",F24="w2"),1,MATCH(F24,Sheet1!$A$2:$A$13,0))-MATCH(E24,Sheet1!$A$2:$A$13,0))/(1/10*100))&lt;70%,70%,IF(92%-(IF(OR(F24="w1",F24="w2"),1,MATCH(F24,Sheet1!$A$2:$A$13,0))-MATCH(E24,Sheet1!$A$2:$A$13,0))/(1/10*100)&gt;105%,105%,92%-(IF(OR(F24="w1",F24="w2"),1,MATCH(F24,Sheet1!$A$2:$A$13,0))-MATCH(E24,Sheet1!$A$2:$A$13,0))/(1/10*100)))),IF(MID(D24,3,1)="+",IF(E24&lt;100,IF(112%-(E24-F24)/(1/IF(E24&lt;4,(40/E24),10)*100)&gt;105%,105%,IF(112%-(E24-F24)/(1/IF(E24&lt;4,(40/E24),10)*100)&lt;=72%,72%,112%-(E24-F24)/(1/IF(E24&lt;4,(40/E24),10)*100))),IF(112%-(E24-F24)/E24*10&gt;105%,105%,IF(112%-(E24-F24)/E24*10&lt;72%,72%,112%-(E24-F24)/E24*10))),IF(MID(D24,3,1)="-",IF(92%+((E24-F24)/(E24))*0.4&gt;105%,105%,IF(92%+((E24-F24)/(E24))*0.4&lt;72%,72%,92%+((E24-F24)/(E24))*0.4)),IF(OR(B24="BOTO",B24="NPI",B24="FF"),IF(102%+((E24-F24)/(E24))*0.4&gt;105%,105%,IF(102%+((E24-F24)/(E24))*0.4&lt;72%,72%,102%+((E24-F24)/(E24))*0.4)),""))))))</f>
        <v/>
      </c>
      <c r="I24" s="11"/>
      <c r="J24" s="11"/>
      <c r="K24" s="11"/>
      <c r="M24" s="11"/>
      <c r="N24" s="11"/>
      <c r="O24" s="11"/>
      <c r="Q24" s="11"/>
      <c r="R24" s="11"/>
      <c r="S24" s="11"/>
      <c r="U24" s="11"/>
      <c r="V24" s="11"/>
      <c r="W24" s="11"/>
      <c r="Y24" s="11"/>
      <c r="Z24" s="11"/>
      <c r="AA24" s="11"/>
      <c r="AC24" s="11"/>
      <c r="AD24" s="11"/>
      <c r="AE24" s="11"/>
      <c r="AG24" s="11"/>
      <c r="AH24" s="11"/>
      <c r="AI24" s="11"/>
      <c r="AK24" s="11"/>
      <c r="AL24" s="11"/>
      <c r="AM24" s="11"/>
      <c r="AO24" s="11"/>
      <c r="AP24" s="11"/>
      <c r="AQ24" s="11"/>
      <c r="AS24" s="11"/>
      <c r="AT24" s="11"/>
      <c r="AU24" s="11"/>
      <c r="AW24" s="11"/>
      <c r="AX24" s="11"/>
      <c r="AY24" s="11"/>
      <c r="BA24" s="11"/>
      <c r="BB24" s="11"/>
      <c r="BC24" s="11"/>
    </row>
    <row r="25" spans="1:55" x14ac:dyDescent="0.25">
      <c r="A25" s="1"/>
      <c r="B25" s="2"/>
      <c r="C25" s="2"/>
      <c r="D25" s="2"/>
      <c r="E25" s="2"/>
      <c r="F25" s="2"/>
      <c r="G25" s="3"/>
    </row>
    <row r="26" spans="1:55" ht="15.75" thickBot="1" x14ac:dyDescent="0.3">
      <c r="A26" s="1"/>
      <c r="B26" s="2"/>
      <c r="C26" s="2"/>
      <c r="D26" s="2"/>
      <c r="E26" s="2"/>
      <c r="F26" s="2"/>
      <c r="G26" s="3"/>
    </row>
    <row r="27" spans="1:55" ht="15.75" thickBot="1" x14ac:dyDescent="0.3">
      <c r="A27" s="210" t="s">
        <v>25</v>
      </c>
      <c r="B27" s="211"/>
      <c r="C27" s="211"/>
      <c r="D27" s="211"/>
      <c r="E27" s="211"/>
      <c r="F27" s="212"/>
      <c r="G27" s="3"/>
    </row>
    <row r="28" spans="1:55" ht="30" customHeight="1" thickBot="1" x14ac:dyDescent="0.3">
      <c r="A28" s="4" t="s">
        <v>15</v>
      </c>
      <c r="B28" s="40" t="s">
        <v>52</v>
      </c>
      <c r="C28" s="104" t="s">
        <v>53</v>
      </c>
      <c r="D28" s="104" t="s">
        <v>54</v>
      </c>
      <c r="E28" s="192" t="s">
        <v>55</v>
      </c>
      <c r="F28" s="193"/>
      <c r="G28" s="3"/>
    </row>
    <row r="29" spans="1:55" x14ac:dyDescent="0.25">
      <c r="A29" s="21" t="s">
        <v>26</v>
      </c>
      <c r="B29" s="72" t="str">
        <f>IFERROR(AVERAGE(G11:G11),"")</f>
        <v/>
      </c>
      <c r="C29" s="73" t="str">
        <f>IFERROR(AVERAGE(G12:G12),"")</f>
        <v/>
      </c>
      <c r="D29" s="73" t="str">
        <f>IFERROR(AVERAGE(G14:G22),"")</f>
        <v/>
      </c>
      <c r="E29" s="206" t="str">
        <f>IFERROR(AVERAGE(G23:G24),"")</f>
        <v/>
      </c>
      <c r="F29" s="207"/>
      <c r="G29" s="3"/>
    </row>
    <row r="30" spans="1:55" x14ac:dyDescent="0.25">
      <c r="A30" s="74" t="s">
        <v>19</v>
      </c>
      <c r="B30" s="42">
        <f>IF(F5="Foreman/Officer",30%,20%)</f>
        <v>0.3</v>
      </c>
      <c r="C30" s="43">
        <f>IF(F5="MANAGER",30%,20%)</f>
        <v>0.2</v>
      </c>
      <c r="D30" s="43">
        <f>IF(F5="Foreman/Officer",20%,30%)</f>
        <v>0.2</v>
      </c>
      <c r="E30" s="202">
        <f>IF(F5="MANAGER",20%,30%)</f>
        <v>0.3</v>
      </c>
      <c r="F30" s="203"/>
      <c r="G30" s="3"/>
    </row>
    <row r="31" spans="1:55" ht="15.75" thickBot="1" x14ac:dyDescent="0.3">
      <c r="A31" s="75" t="s">
        <v>27</v>
      </c>
      <c r="B31" s="70" t="str">
        <f>IFERROR(B30*B29,"")</f>
        <v/>
      </c>
      <c r="C31" s="71" t="str">
        <f t="shared" ref="C31" si="1">IFERROR(C30*C29,"")</f>
        <v/>
      </c>
      <c r="D31" s="71" t="str">
        <f>IFERROR(D30*D29,"")</f>
        <v/>
      </c>
      <c r="E31" s="204" t="str">
        <f>IFERROR(E30*E29,"")</f>
        <v/>
      </c>
      <c r="F31" s="205"/>
      <c r="G31" s="3"/>
    </row>
    <row r="32" spans="1:55" x14ac:dyDescent="0.25">
      <c r="A32" s="76" t="s">
        <v>28</v>
      </c>
      <c r="B32" s="180">
        <f>SUM(B31:F31)</f>
        <v>0</v>
      </c>
      <c r="C32" s="181"/>
      <c r="D32" s="181"/>
      <c r="E32" s="181"/>
      <c r="F32" s="182"/>
      <c r="G32" s="3"/>
    </row>
    <row r="33" spans="1:7" ht="15.75" thickBot="1" x14ac:dyDescent="0.3">
      <c r="A33" s="25" t="s">
        <v>29</v>
      </c>
      <c r="B33" s="183" t="str">
        <f>IF(B32&gt;105%,"OUTSTANDING",IF(AND(B32&gt;100%,B32&lt;=105%),"EXCEED",IF(AND(B32&gt;90%,B32&lt;=100%),"MEET EXPECTATION",IF(AND(B32&gt;=75%,B32&lt;=89%),"NEED IMPROVEMENT",IF(B32&lt;75%,"FAILED","")))))</f>
        <v>FAILED</v>
      </c>
      <c r="C33" s="184"/>
      <c r="D33" s="184"/>
      <c r="E33" s="184"/>
      <c r="F33" s="185"/>
      <c r="G33" s="3"/>
    </row>
    <row r="34" spans="1:7" ht="15.75" thickBot="1" x14ac:dyDescent="0.3">
      <c r="A34" s="1"/>
      <c r="B34" s="2"/>
      <c r="C34" s="2"/>
      <c r="D34" s="2"/>
      <c r="E34" s="2"/>
      <c r="F34" s="2"/>
      <c r="G34" s="3"/>
    </row>
    <row r="35" spans="1:7" ht="15.75" thickBot="1" x14ac:dyDescent="0.3">
      <c r="A35" s="159" t="s">
        <v>56</v>
      </c>
      <c r="B35" s="160"/>
      <c r="C35" s="160"/>
      <c r="D35" s="160"/>
      <c r="E35" s="160"/>
      <c r="F35" s="191"/>
      <c r="G35" s="3"/>
    </row>
    <row r="36" spans="1:7" ht="15.75" thickBot="1" x14ac:dyDescent="0.3">
      <c r="A36" s="77" t="s">
        <v>15</v>
      </c>
      <c r="B36" s="40" t="s">
        <v>57</v>
      </c>
      <c r="C36" s="104" t="s">
        <v>17</v>
      </c>
      <c r="D36" s="104" t="s">
        <v>19</v>
      </c>
      <c r="E36" s="192" t="s">
        <v>29</v>
      </c>
      <c r="F36" s="193"/>
      <c r="G36" s="3"/>
    </row>
    <row r="37" spans="1:7" ht="26.25" customHeight="1" thickBot="1" x14ac:dyDescent="0.3">
      <c r="A37" s="78" t="s">
        <v>58</v>
      </c>
      <c r="B37" s="45" t="s">
        <v>59</v>
      </c>
      <c r="C37" s="46" t="s">
        <v>23</v>
      </c>
      <c r="D37" s="47">
        <v>1</v>
      </c>
      <c r="E37" s="194" t="str">
        <f>IF(D37&gt;105%,"OUTSTANDING",IF(AND(D37&gt;100%,D37&lt;=105%),"EXCEED",IF(AND(D37&gt;=90%,D37&lt;=100%),"MEET EXPECTATION",IF(AND(D37&gt;=75%,D37&lt;90%),"NEED IMPROVEMENT",IF(D37&lt;75%,"FAILED","")))))</f>
        <v>MEET EXPECTATION</v>
      </c>
      <c r="F37" s="195"/>
      <c r="G37" s="3"/>
    </row>
    <row r="38" spans="1:7" ht="15.75" thickBot="1" x14ac:dyDescent="0.3">
      <c r="A38" s="1"/>
      <c r="B38" s="2"/>
      <c r="C38" s="2"/>
      <c r="D38" s="2"/>
      <c r="E38" s="2"/>
      <c r="F38" s="2"/>
      <c r="G38" s="3"/>
    </row>
    <row r="39" spans="1:7" ht="15.75" thickBot="1" x14ac:dyDescent="0.3">
      <c r="A39" s="196" t="s">
        <v>60</v>
      </c>
      <c r="B39" s="197"/>
      <c r="C39" s="197"/>
      <c r="D39" s="197"/>
      <c r="E39" s="198"/>
      <c r="F39" s="2"/>
      <c r="G39" s="3"/>
    </row>
    <row r="40" spans="1:7" x14ac:dyDescent="0.25">
      <c r="A40" s="79" t="s">
        <v>15</v>
      </c>
      <c r="B40" s="44" t="s">
        <v>57</v>
      </c>
      <c r="C40" s="48" t="s">
        <v>61</v>
      </c>
      <c r="D40" s="44" t="s">
        <v>26</v>
      </c>
      <c r="E40" s="52" t="s">
        <v>62</v>
      </c>
      <c r="F40" s="2"/>
      <c r="G40" s="3"/>
    </row>
    <row r="41" spans="1:7" ht="15.75" thickBot="1" x14ac:dyDescent="0.3">
      <c r="A41" s="80" t="s">
        <v>63</v>
      </c>
      <c r="B41" s="49" t="s">
        <v>64</v>
      </c>
      <c r="C41" s="50">
        <v>1</v>
      </c>
      <c r="D41" s="51">
        <f>IF(F5="Foreman/Officer",30%,IF(F5="Section Head/SPV",40%,IF(F5="Dept. Head",60%,IF(F5="MANAGER",70%,""))))</f>
        <v>0.3</v>
      </c>
      <c r="E41" s="53">
        <f>C41*D41</f>
        <v>0.3</v>
      </c>
      <c r="F41" s="2"/>
      <c r="G41" s="3"/>
    </row>
    <row r="42" spans="1:7" ht="15.75" thickBot="1" x14ac:dyDescent="0.3">
      <c r="A42" s="1"/>
      <c r="B42" s="2"/>
      <c r="C42" s="2"/>
      <c r="D42" s="2"/>
      <c r="E42" s="2"/>
      <c r="F42" s="2"/>
      <c r="G42" s="3"/>
    </row>
    <row r="43" spans="1:7" ht="15.75" thickBot="1" x14ac:dyDescent="0.3">
      <c r="A43" s="190" t="s">
        <v>65</v>
      </c>
      <c r="B43" s="160"/>
      <c r="C43" s="160"/>
      <c r="D43" s="160"/>
      <c r="E43" s="160"/>
      <c r="F43" s="160"/>
      <c r="G43" s="191"/>
    </row>
    <row r="44" spans="1:7" ht="15.75" thickBot="1" x14ac:dyDescent="0.3">
      <c r="A44" s="190" t="s">
        <v>66</v>
      </c>
      <c r="B44" s="160"/>
      <c r="C44" s="160"/>
      <c r="D44" s="160"/>
      <c r="E44" s="160"/>
      <c r="F44" s="160"/>
      <c r="G44" s="191"/>
    </row>
    <row r="45" spans="1:7" ht="15.75" thickBot="1" x14ac:dyDescent="0.3">
      <c r="A45" s="186" t="s">
        <v>67</v>
      </c>
      <c r="B45" s="187"/>
      <c r="C45" s="88" t="s">
        <v>19</v>
      </c>
      <c r="D45" s="89" t="s">
        <v>26</v>
      </c>
      <c r="E45" s="90" t="s">
        <v>68</v>
      </c>
      <c r="F45" s="188" t="s">
        <v>69</v>
      </c>
      <c r="G45" s="189"/>
    </row>
    <row r="46" spans="1:7" x14ac:dyDescent="0.25">
      <c r="A46" s="162" t="s">
        <v>52</v>
      </c>
      <c r="B46" s="163"/>
      <c r="C46" s="85">
        <f>B32</f>
        <v>0</v>
      </c>
      <c r="D46" s="86">
        <f>IF(F5="Foreman/Officer",70%,IF(F5="Section Head/SPV",60%,IF(F5="Dept. Head",40%,IF(F5="MANAGER",30%,""))))</f>
        <v>0.7</v>
      </c>
      <c r="E46" s="87">
        <f>C46*D46</f>
        <v>0</v>
      </c>
      <c r="F46" s="166">
        <f>E46+E47</f>
        <v>0.3</v>
      </c>
      <c r="G46" s="167"/>
    </row>
    <row r="47" spans="1:7" ht="15.75" thickBot="1" x14ac:dyDescent="0.3">
      <c r="A47" s="164" t="s">
        <v>70</v>
      </c>
      <c r="B47" s="165"/>
      <c r="C47" s="84">
        <f>C41</f>
        <v>1</v>
      </c>
      <c r="D47" s="54">
        <f>IF(F5="Foreman/Officer",30%,IF(F5="Section Head/SPV",40%,IF(F5="Dept. Head",60%,IF(F5="MANAGER",70%,""))))</f>
        <v>0.3</v>
      </c>
      <c r="E47" s="55">
        <f>C47*D47</f>
        <v>0.3</v>
      </c>
      <c r="F47" s="168"/>
      <c r="G47" s="169"/>
    </row>
    <row r="48" spans="1:7" ht="15.75" thickBot="1" x14ac:dyDescent="0.3">
      <c r="A48" s="1"/>
      <c r="B48" s="2"/>
      <c r="C48" s="2"/>
      <c r="D48" s="2"/>
      <c r="E48" s="2"/>
      <c r="F48" s="2"/>
      <c r="G48" s="3"/>
    </row>
    <row r="49" spans="1:7" ht="15.75" thickBot="1" x14ac:dyDescent="0.3">
      <c r="A49" s="159" t="s">
        <v>71</v>
      </c>
      <c r="B49" s="160"/>
      <c r="C49" s="160"/>
      <c r="D49" s="160"/>
      <c r="E49" s="160"/>
      <c r="F49" s="160"/>
      <c r="G49" s="161"/>
    </row>
    <row r="50" spans="1:7" ht="15.75" thickBot="1" x14ac:dyDescent="0.3">
      <c r="A50" s="81" t="s">
        <v>67</v>
      </c>
      <c r="B50" s="62" t="s">
        <v>19</v>
      </c>
      <c r="C50" s="63" t="s">
        <v>26</v>
      </c>
      <c r="D50" s="64" t="s">
        <v>62</v>
      </c>
      <c r="E50" s="91" t="s">
        <v>71</v>
      </c>
      <c r="F50" s="157" t="s">
        <v>29</v>
      </c>
      <c r="G50" s="158"/>
    </row>
    <row r="51" spans="1:7" ht="15" customHeight="1" x14ac:dyDescent="0.25">
      <c r="A51" s="82" t="s">
        <v>66</v>
      </c>
      <c r="B51" s="59">
        <f>F46</f>
        <v>0.3</v>
      </c>
      <c r="C51" s="60">
        <v>0.8</v>
      </c>
      <c r="D51" s="61">
        <f>B51*C51</f>
        <v>0.24</v>
      </c>
      <c r="E51" s="174">
        <f>D51+D52</f>
        <v>0.44</v>
      </c>
      <c r="F51" s="176" t="str">
        <f>IF(E51&gt;105%,"OUTSTANDING",IF(AND(E51&gt;100%,E51&lt;=105%),"EXCEED",IF(AND(E51&gt;=90%,E51&lt;=100%),"MEET EXPECTATION",IF(AND(E51&gt;=75%,E51&lt;90%),"NEED IMPROVEMENT",IF(E51&lt;75%,"FAILED","")))))</f>
        <v>FAILED</v>
      </c>
      <c r="G51" s="177"/>
    </row>
    <row r="52" spans="1:7" ht="15.75" thickBot="1" x14ac:dyDescent="0.3">
      <c r="A52" s="83" t="s">
        <v>58</v>
      </c>
      <c r="B52" s="58">
        <f>D37</f>
        <v>1</v>
      </c>
      <c r="C52" s="56">
        <v>0.2</v>
      </c>
      <c r="D52" s="57">
        <f>B52*C52</f>
        <v>0.2</v>
      </c>
      <c r="E52" s="175"/>
      <c r="F52" s="178"/>
      <c r="G52" s="179"/>
    </row>
    <row r="53" spans="1:7" ht="15.75" thickBot="1" x14ac:dyDescent="0.3">
      <c r="A53" s="1"/>
      <c r="B53" s="2"/>
      <c r="C53" s="2"/>
      <c r="D53" s="2"/>
      <c r="E53" s="2"/>
      <c r="F53" s="2"/>
      <c r="G53" s="3"/>
    </row>
    <row r="54" spans="1:7" ht="30.75" thickBot="1" x14ac:dyDescent="0.3">
      <c r="A54" s="4" t="s">
        <v>29</v>
      </c>
      <c r="B54" s="17" t="s">
        <v>30</v>
      </c>
      <c r="C54" s="18" t="s">
        <v>31</v>
      </c>
      <c r="D54" s="19" t="s">
        <v>32</v>
      </c>
      <c r="E54" s="19" t="s">
        <v>33</v>
      </c>
      <c r="F54" s="20" t="s">
        <v>34</v>
      </c>
      <c r="G54" s="3"/>
    </row>
    <row r="55" spans="1:7" x14ac:dyDescent="0.25">
      <c r="A55" s="21" t="s">
        <v>35</v>
      </c>
      <c r="B55" s="22" t="s">
        <v>36</v>
      </c>
      <c r="C55" s="23" t="s">
        <v>37</v>
      </c>
      <c r="D55" s="23" t="s">
        <v>38</v>
      </c>
      <c r="E55" s="23" t="s">
        <v>39</v>
      </c>
      <c r="F55" s="24" t="s">
        <v>40</v>
      </c>
      <c r="G55" s="3"/>
    </row>
    <row r="56" spans="1:7" ht="15.75" thickBot="1" x14ac:dyDescent="0.3">
      <c r="A56" s="25" t="s">
        <v>41</v>
      </c>
      <c r="B56" s="26">
        <f>COUNTIF(G11:G24,"&gt;=105%")</f>
        <v>0</v>
      </c>
      <c r="C56" s="27">
        <f>COUNTIFS(G11:G24,"&gt;=99%",G11:G24,"&lt;105%")</f>
        <v>0</v>
      </c>
      <c r="D56" s="27">
        <f>COUNTIFS(G11:G24,"&gt;=88%",G11:G24,"&lt;99%")</f>
        <v>0</v>
      </c>
      <c r="E56" s="27">
        <f>COUNTIFS(G11:G24,"&gt;=75%",G11:G24,"&lt;88%")</f>
        <v>0</v>
      </c>
      <c r="F56" s="28">
        <f>COUNTIF(G11:G24,"&lt;75%")</f>
        <v>0</v>
      </c>
      <c r="G56" s="3"/>
    </row>
    <row r="57" spans="1:7" x14ac:dyDescent="0.25">
      <c r="A57" s="1"/>
      <c r="B57" s="2"/>
      <c r="C57" s="2"/>
      <c r="D57" s="2"/>
      <c r="E57" s="2"/>
      <c r="F57" s="2"/>
      <c r="G57" s="3"/>
    </row>
    <row r="58" spans="1:7" x14ac:dyDescent="0.25">
      <c r="A58" s="1"/>
      <c r="B58" s="2"/>
      <c r="C58" s="2"/>
      <c r="D58" s="2"/>
      <c r="E58" s="2"/>
      <c r="F58" s="2"/>
      <c r="G58" s="3"/>
    </row>
    <row r="59" spans="1:7" x14ac:dyDescent="0.25">
      <c r="A59" s="1" t="s">
        <v>42</v>
      </c>
      <c r="B59" s="2"/>
      <c r="C59" s="172" t="s">
        <v>43</v>
      </c>
      <c r="D59" s="172"/>
      <c r="E59" s="2"/>
      <c r="F59" s="172" t="s">
        <v>44</v>
      </c>
      <c r="G59" s="173"/>
    </row>
    <row r="60" spans="1:7" x14ac:dyDescent="0.25">
      <c r="A60" s="1"/>
      <c r="B60" s="2"/>
      <c r="C60" s="2"/>
      <c r="D60" s="2"/>
      <c r="E60" s="2"/>
      <c r="F60" s="2"/>
      <c r="G60" s="3"/>
    </row>
    <row r="61" spans="1:7" x14ac:dyDescent="0.25">
      <c r="A61" s="1"/>
      <c r="B61" s="2"/>
      <c r="C61" s="2"/>
      <c r="D61" s="2"/>
      <c r="E61" s="2"/>
      <c r="F61" s="2"/>
      <c r="G61" s="3"/>
    </row>
    <row r="62" spans="1:7" x14ac:dyDescent="0.25">
      <c r="A62" s="1"/>
      <c r="B62" s="2"/>
      <c r="C62" s="2"/>
      <c r="D62" s="2"/>
      <c r="E62" s="2"/>
      <c r="F62" s="2"/>
      <c r="G62" s="3"/>
    </row>
    <row r="63" spans="1:7" x14ac:dyDescent="0.25">
      <c r="A63" s="1"/>
      <c r="B63" s="2"/>
      <c r="C63" s="2"/>
      <c r="D63" s="2"/>
      <c r="E63" s="2"/>
      <c r="F63" s="2"/>
      <c r="G63" s="3"/>
    </row>
    <row r="64" spans="1:7" x14ac:dyDescent="0.25">
      <c r="A64" s="1"/>
      <c r="B64" s="2"/>
      <c r="C64" s="172"/>
      <c r="D64" s="172"/>
      <c r="E64" s="2"/>
      <c r="F64" s="172"/>
      <c r="G64" s="173"/>
    </row>
    <row r="65" spans="1:7" ht="15.75" thickBot="1" x14ac:dyDescent="0.3">
      <c r="A65" s="29"/>
      <c r="B65" s="30"/>
      <c r="C65" s="170"/>
      <c r="D65" s="170"/>
      <c r="E65" s="30"/>
      <c r="F65" s="170"/>
      <c r="G65" s="171"/>
    </row>
    <row r="66" spans="1:7" ht="15.75" thickTop="1" x14ac:dyDescent="0.25"/>
  </sheetData>
  <mergeCells count="47">
    <mergeCell ref="C64:D64"/>
    <mergeCell ref="F64:G64"/>
    <mergeCell ref="C65:D65"/>
    <mergeCell ref="F65:G65"/>
    <mergeCell ref="A49:G49"/>
    <mergeCell ref="F50:G50"/>
    <mergeCell ref="E51:E52"/>
    <mergeCell ref="F51:G52"/>
    <mergeCell ref="C59:D59"/>
    <mergeCell ref="F59:G59"/>
    <mergeCell ref="A43:G43"/>
    <mergeCell ref="A44:G44"/>
    <mergeCell ref="A45:B45"/>
    <mergeCell ref="F45:G45"/>
    <mergeCell ref="A46:B46"/>
    <mergeCell ref="F46:G47"/>
    <mergeCell ref="A47:B47"/>
    <mergeCell ref="A39:E39"/>
    <mergeCell ref="A23:A24"/>
    <mergeCell ref="A27:F27"/>
    <mergeCell ref="E28:F28"/>
    <mergeCell ref="E29:F29"/>
    <mergeCell ref="E30:F30"/>
    <mergeCell ref="E31:F31"/>
    <mergeCell ref="B32:F32"/>
    <mergeCell ref="B33:F33"/>
    <mergeCell ref="A35:F35"/>
    <mergeCell ref="E36:F36"/>
    <mergeCell ref="E37:F37"/>
    <mergeCell ref="AO9:AQ9"/>
    <mergeCell ref="AS9:AU9"/>
    <mergeCell ref="AW9:AY9"/>
    <mergeCell ref="BA9:BC9"/>
    <mergeCell ref="A14:A22"/>
    <mergeCell ref="Q9:S9"/>
    <mergeCell ref="U9:W9"/>
    <mergeCell ref="Y9:AA9"/>
    <mergeCell ref="AC9:AE9"/>
    <mergeCell ref="AG9:AI9"/>
    <mergeCell ref="AK9:AM9"/>
    <mergeCell ref="M9:O9"/>
    <mergeCell ref="A12:A13"/>
    <mergeCell ref="B2:F2"/>
    <mergeCell ref="B3:F3"/>
    <mergeCell ref="F5:G5"/>
    <mergeCell ref="A9:G9"/>
    <mergeCell ref="I9:K9"/>
  </mergeCells>
  <conditionalFormatting sqref="B33">
    <cfRule type="containsText" dxfId="44" priority="11" operator="containsText" text="EXCEED">
      <formula>NOT(ISERROR(SEARCH("EXCEED",B33)))</formula>
    </cfRule>
    <cfRule type="containsText" dxfId="43" priority="12" operator="containsText" text="NEED IMPROVEMENT">
      <formula>NOT(ISERROR(SEARCH("NEED IMPROVEMENT",B33)))</formula>
    </cfRule>
    <cfRule type="containsText" dxfId="42" priority="13" operator="containsText" text="MEET EXPECTATION">
      <formula>NOT(ISERROR(SEARCH("MEET EXPECTATION",B33)))</formula>
    </cfRule>
    <cfRule type="containsText" dxfId="41" priority="14" operator="containsText" text="FAILED">
      <formula>NOT(ISERROR(SEARCH("FAILED",B33)))</formula>
    </cfRule>
    <cfRule type="containsText" dxfId="40" priority="15" operator="containsText" text="OUTSTANDING">
      <formula>NOT(ISERROR(SEARCH("OUTSTANDING",B33)))</formula>
    </cfRule>
  </conditionalFormatting>
  <conditionalFormatting sqref="E37">
    <cfRule type="containsText" dxfId="39" priority="6" operator="containsText" text="EXCEED">
      <formula>NOT(ISERROR(SEARCH("EXCEED",E37)))</formula>
    </cfRule>
    <cfRule type="containsText" dxfId="38" priority="7" operator="containsText" text="NEED IMPROVEMENT">
      <formula>NOT(ISERROR(SEARCH("NEED IMPROVEMENT",E37)))</formula>
    </cfRule>
    <cfRule type="containsText" dxfId="37" priority="8" operator="containsText" text="MEET EXPECTATION">
      <formula>NOT(ISERROR(SEARCH("MEET EXPECTATION",E37)))</formula>
    </cfRule>
    <cfRule type="containsText" dxfId="36" priority="9" operator="containsText" text="FAILED">
      <formula>NOT(ISERROR(SEARCH("FAILED",E37)))</formula>
    </cfRule>
    <cfRule type="containsText" dxfId="35" priority="10" operator="containsText" text="OUTSTANDING">
      <formula>NOT(ISERROR(SEARCH("OUTSTANDING",E37)))</formula>
    </cfRule>
  </conditionalFormatting>
  <conditionalFormatting sqref="F51">
    <cfRule type="containsText" dxfId="34" priority="1" operator="containsText" text="EXCEED">
      <formula>NOT(ISERROR(SEARCH("EXCEED",F51)))</formula>
    </cfRule>
    <cfRule type="containsText" dxfId="33" priority="2" operator="containsText" text="NEED IMPROVEMENT">
      <formula>NOT(ISERROR(SEARCH("NEED IMPROVEMENT",F51)))</formula>
    </cfRule>
    <cfRule type="containsText" dxfId="32" priority="3" operator="containsText" text="MEET EXPECTATION">
      <formula>NOT(ISERROR(SEARCH("MEET EXPECTATION",F51)))</formula>
    </cfRule>
    <cfRule type="containsText" dxfId="31" priority="4" operator="containsText" text="FAILED">
      <formula>NOT(ISERROR(SEARCH("FAILED",F51)))</formula>
    </cfRule>
    <cfRule type="containsText" dxfId="30" priority="5" operator="containsText" text="OUTSTANDING">
      <formula>NOT(ISERROR(SEARCH("OUTSTANDING",F51)))</formula>
    </cfRule>
  </conditionalFormatting>
  <dataValidations count="2">
    <dataValidation type="list" allowBlank="1" showInputMessage="1" showErrorMessage="1" sqref="F5:G5" xr:uid="{2E3716DB-2AC1-4FE6-A842-530116F55CE9}">
      <formula1>"MANAGER,Dept. Head,Section Head/SPV,Foreman/Officer"</formula1>
    </dataValidation>
    <dataValidation type="list" allowBlank="1" showInputMessage="1" showErrorMessage="1" sqref="D11:D24" xr:uid="{0931FF40-3830-43E2-85AB-853B382DC297}">
      <formula1>"A(-),A(+),S(-),S(+)"</formula1>
    </dataValidation>
  </dataValidations>
  <pageMargins left="0.25" right="0.25" top="0.75" bottom="0.75" header="0.3" footer="0.3"/>
  <pageSetup scale="77" orientation="portrait" r:id="rId1"/>
  <rowBreaks count="1" manualBreakCount="1">
    <brk id="33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C69"/>
  <sheetViews>
    <sheetView tabSelected="1" view="pageBreakPreview" topLeftCell="A16" zoomScaleNormal="100" zoomScaleSheetLayoutView="100" workbookViewId="0">
      <pane xSplit="7" topLeftCell="H1" activePane="topRight" state="frozen"/>
      <selection activeCell="A10" sqref="A10"/>
      <selection pane="topRight" activeCell="J25" sqref="J25"/>
    </sheetView>
  </sheetViews>
  <sheetFormatPr defaultRowHeight="15" x14ac:dyDescent="0.25"/>
  <cols>
    <col min="1" max="1" width="14.140625" customWidth="1"/>
    <col min="2" max="2" width="41.28515625" customWidth="1"/>
    <col min="3" max="3" width="19.140625" customWidth="1"/>
    <col min="4" max="4" width="14.5703125" customWidth="1"/>
    <col min="5" max="5" width="14.85546875" bestFit="1" customWidth="1"/>
    <col min="6" max="6" width="10.5703125" bestFit="1" customWidth="1"/>
    <col min="8" max="8" width="3.85546875" customWidth="1"/>
    <col min="11" max="11" width="8.7109375" customWidth="1"/>
    <col min="12" max="12" width="3.85546875" customWidth="1"/>
    <col min="13" max="13" width="10.140625" bestFit="1" customWidth="1"/>
    <col min="16" max="16" width="3.140625" customWidth="1"/>
    <col min="20" max="20" width="2.5703125" customWidth="1"/>
    <col min="24" max="24" width="2.28515625" customWidth="1"/>
    <col min="28" max="28" width="3" customWidth="1"/>
    <col min="32" max="32" width="3" customWidth="1"/>
    <col min="36" max="36" width="2.5703125" customWidth="1"/>
    <col min="40" max="40" width="3.42578125" customWidth="1"/>
    <col min="44" max="44" width="3" customWidth="1"/>
    <col min="48" max="48" width="3" customWidth="1"/>
    <col min="52" max="52" width="3" customWidth="1"/>
  </cols>
  <sheetData>
    <row r="2" spans="1:55" ht="23.25" x14ac:dyDescent="0.35">
      <c r="B2" s="216" t="s">
        <v>0</v>
      </c>
      <c r="C2" s="216"/>
      <c r="D2" s="216"/>
      <c r="E2" s="216"/>
      <c r="F2" s="216"/>
    </row>
    <row r="3" spans="1:55" ht="23.25" x14ac:dyDescent="0.35">
      <c r="B3" s="216" t="s">
        <v>1</v>
      </c>
      <c r="C3" s="216"/>
      <c r="D3" s="216"/>
      <c r="E3" s="216"/>
      <c r="F3" s="216"/>
    </row>
    <row r="4" spans="1:55" ht="15.75" thickBot="1" x14ac:dyDescent="0.3"/>
    <row r="5" spans="1:55" ht="15.75" thickTop="1" x14ac:dyDescent="0.25">
      <c r="A5" s="92" t="s">
        <v>45</v>
      </c>
      <c r="B5" s="93" t="s">
        <v>168</v>
      </c>
      <c r="C5" s="94" t="s">
        <v>48</v>
      </c>
      <c r="D5" s="132">
        <v>13373</v>
      </c>
      <c r="E5" s="93" t="s">
        <v>51</v>
      </c>
      <c r="F5" s="220" t="s">
        <v>72</v>
      </c>
      <c r="G5" s="221"/>
    </row>
    <row r="6" spans="1:55" x14ac:dyDescent="0.25">
      <c r="A6" s="95" t="s">
        <v>46</v>
      </c>
      <c r="B6" s="133" t="s">
        <v>159</v>
      </c>
      <c r="C6" s="134" t="s">
        <v>49</v>
      </c>
      <c r="D6" s="135" t="s">
        <v>169</v>
      </c>
      <c r="E6" s="133"/>
      <c r="F6" s="133"/>
      <c r="G6" s="96"/>
    </row>
    <row r="7" spans="1:55" ht="15.75" thickBot="1" x14ac:dyDescent="0.3">
      <c r="A7" s="97" t="s">
        <v>47</v>
      </c>
      <c r="B7" s="98" t="s">
        <v>170</v>
      </c>
      <c r="C7" s="99" t="s">
        <v>50</v>
      </c>
      <c r="D7" s="136">
        <v>2022</v>
      </c>
      <c r="E7" s="98"/>
      <c r="F7" s="98"/>
      <c r="G7" s="100"/>
    </row>
    <row r="8" spans="1:55" ht="15.75" thickBot="1" x14ac:dyDescent="0.3">
      <c r="A8" s="1"/>
      <c r="B8" s="2"/>
      <c r="C8" s="2"/>
      <c r="D8" s="2"/>
      <c r="E8" s="2"/>
      <c r="F8" s="2"/>
      <c r="G8" s="3"/>
    </row>
    <row r="9" spans="1:55" ht="15.75" thickBot="1" x14ac:dyDescent="0.3">
      <c r="A9" s="217" t="s">
        <v>2</v>
      </c>
      <c r="B9" s="218"/>
      <c r="C9" s="218"/>
      <c r="D9" s="218"/>
      <c r="E9" s="218"/>
      <c r="F9" s="218"/>
      <c r="G9" s="219"/>
      <c r="I9" s="213" t="s">
        <v>3</v>
      </c>
      <c r="J9" s="213"/>
      <c r="K9" s="213"/>
      <c r="M9" s="213" t="s">
        <v>4</v>
      </c>
      <c r="N9" s="213"/>
      <c r="O9" s="213"/>
      <c r="Q9" s="213" t="s">
        <v>5</v>
      </c>
      <c r="R9" s="213"/>
      <c r="S9" s="213"/>
      <c r="U9" s="213" t="s">
        <v>6</v>
      </c>
      <c r="V9" s="213"/>
      <c r="W9" s="213"/>
      <c r="Y9" s="213" t="s">
        <v>7</v>
      </c>
      <c r="Z9" s="213"/>
      <c r="AA9" s="213"/>
      <c r="AC9" s="213" t="s">
        <v>8</v>
      </c>
      <c r="AD9" s="213"/>
      <c r="AE9" s="213"/>
      <c r="AG9" s="213" t="s">
        <v>9</v>
      </c>
      <c r="AH9" s="213"/>
      <c r="AI9" s="213"/>
      <c r="AK9" s="213" t="s">
        <v>10</v>
      </c>
      <c r="AL9" s="213"/>
      <c r="AM9" s="213"/>
      <c r="AO9" s="213" t="s">
        <v>11</v>
      </c>
      <c r="AP9" s="213"/>
      <c r="AQ9" s="213"/>
      <c r="AS9" s="213" t="s">
        <v>12</v>
      </c>
      <c r="AT9" s="213"/>
      <c r="AU9" s="213"/>
      <c r="AW9" s="213" t="s">
        <v>13</v>
      </c>
      <c r="AX9" s="213"/>
      <c r="AY9" s="213"/>
      <c r="BA9" s="213" t="s">
        <v>14</v>
      </c>
      <c r="BB9" s="213"/>
      <c r="BC9" s="213"/>
    </row>
    <row r="10" spans="1:55" ht="30.75" thickBot="1" x14ac:dyDescent="0.3">
      <c r="A10" s="4" t="s">
        <v>15</v>
      </c>
      <c r="B10" s="5" t="s">
        <v>16</v>
      </c>
      <c r="C10" s="101" t="s">
        <v>17</v>
      </c>
      <c r="D10" s="18" t="s">
        <v>18</v>
      </c>
      <c r="E10" s="19" t="s">
        <v>121</v>
      </c>
      <c r="F10" s="19" t="s">
        <v>122</v>
      </c>
      <c r="G10" s="20" t="s">
        <v>19</v>
      </c>
      <c r="I10" s="102" t="s">
        <v>20</v>
      </c>
      <c r="J10" s="102" t="s">
        <v>21</v>
      </c>
      <c r="K10" s="102" t="s">
        <v>22</v>
      </c>
      <c r="M10" s="102" t="s">
        <v>20</v>
      </c>
      <c r="N10" s="102" t="s">
        <v>21</v>
      </c>
      <c r="O10" s="102" t="s">
        <v>22</v>
      </c>
      <c r="Q10" s="102" t="s">
        <v>20</v>
      </c>
      <c r="R10" s="102" t="s">
        <v>21</v>
      </c>
      <c r="S10" s="102" t="s">
        <v>22</v>
      </c>
      <c r="U10" s="102" t="s">
        <v>20</v>
      </c>
      <c r="V10" s="102" t="s">
        <v>21</v>
      </c>
      <c r="W10" s="102" t="s">
        <v>22</v>
      </c>
      <c r="Y10" s="102" t="s">
        <v>20</v>
      </c>
      <c r="Z10" s="102" t="s">
        <v>21</v>
      </c>
      <c r="AA10" s="102" t="s">
        <v>22</v>
      </c>
      <c r="AC10" s="102" t="s">
        <v>20</v>
      </c>
      <c r="AD10" s="102" t="s">
        <v>21</v>
      </c>
      <c r="AE10" s="102" t="s">
        <v>22</v>
      </c>
      <c r="AG10" s="102" t="s">
        <v>20</v>
      </c>
      <c r="AH10" s="102" t="s">
        <v>21</v>
      </c>
      <c r="AI10" s="102" t="s">
        <v>22</v>
      </c>
      <c r="AK10" s="102" t="s">
        <v>20</v>
      </c>
      <c r="AL10" s="102" t="s">
        <v>21</v>
      </c>
      <c r="AM10" s="102" t="s">
        <v>22</v>
      </c>
      <c r="AO10" s="102" t="s">
        <v>20</v>
      </c>
      <c r="AP10" s="102" t="s">
        <v>21</v>
      </c>
      <c r="AQ10" s="102" t="s">
        <v>22</v>
      </c>
      <c r="AS10" s="102" t="s">
        <v>20</v>
      </c>
      <c r="AT10" s="102" t="s">
        <v>21</v>
      </c>
      <c r="AU10" s="102" t="s">
        <v>22</v>
      </c>
      <c r="AW10" s="102" t="s">
        <v>20</v>
      </c>
      <c r="AX10" s="102" t="s">
        <v>21</v>
      </c>
      <c r="AY10" s="102" t="s">
        <v>22</v>
      </c>
      <c r="BA10" s="102" t="s">
        <v>20</v>
      </c>
      <c r="BB10" s="102" t="s">
        <v>21</v>
      </c>
      <c r="BC10" s="102" t="s">
        <v>22</v>
      </c>
    </row>
    <row r="11" spans="1:55" ht="18.75" customHeight="1" x14ac:dyDescent="0.25">
      <c r="A11" s="214" t="s">
        <v>52</v>
      </c>
      <c r="B11" s="65" t="s">
        <v>126</v>
      </c>
      <c r="C11" s="66" t="s">
        <v>24</v>
      </c>
      <c r="D11" s="67" t="s">
        <v>144</v>
      </c>
      <c r="E11" s="68">
        <v>2</v>
      </c>
      <c r="F11" s="68">
        <f t="shared" ref="F11:F27" si="0">IF(LEFT(C11,5)="MONTH",IF(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=0,"",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),IF(COUNT(I11,M11,Q11,U11,Y11,AC11,AG11,AK11,AO11,AS11,AW11,BA11)&lt;1,"",IF(OR(D11="A(-)",D11="A(+)"),AVERAGE(I11,M11,Q11,U11,Y11,AC11,AG11,AK11,AO11,AS11,AW11,BA11),IF(OR(D11="S(-)",D11="S(+)"),SUM(I11,M11,Q11,U11,Y11,AC11,AG11,AK11,AO11,AS11,AW11,BA11),""))))</f>
        <v>2</v>
      </c>
      <c r="G11" s="69">
        <f>IF(OR(F11="",F11="NA"),"",IF(OR(C11="time",LEFT(C11,3)="DAY"),IF(OR(C11="DAY2",C11="time"),IF((92%-(F11-E11)/(1/10*100))&lt;70%,70%,IF(92%-(F11-E11)/(1/10*100)&gt;105%,105%,92%-(F11-E11)/(1/10*100))),IF(COUNT(E11)=1,IF((112%-(F11-E11)/(1/10*100))&lt;70%,70%,IF(112%-(F11-E11)/(1/10*100)&gt;105%,105%,112%-(F11-E11)/(1/10*100))))),IF(LEFT(C11,5)="month",IF(C11="month1",IF((112%-IF(F11="W1",0,IF(F11="W2",1,MATCH(F11,Sheet1!$A$2:$A$13,0)-MATCH(E11,Sheet1!$A$2:$A$13,0)+1))/(1/10*100))&lt;70%,70%,IF(112%-IF(F11="W1",0,IF(F11="W2",1,MATCH(F11,Sheet1!$A$2:$A$13,0)-MATCH(E11,Sheet1!$A$2:$A$13,0)+1))/(1/10*100)&gt;105%,105%,112%-IF(F11="W1",0,IF(F11="W2",1,MATCH(F11,Sheet1!$A$2:$A$13,0)-MATCH(E11,Sheet1!$A$2:$A$13,0)+1))/(1/10*100))),IF((92%-(IF(OR(F11="w1",F11="w2"),1,MATCH(F11,Sheet1!$A$2:$A$13,0))-MATCH(E11,Sheet1!$A$2:$A$13,0))/(1/10*100))&lt;70%,70%,IF(92%-(IF(OR(F11="w1",F11="w2"),1,MATCH(F11,Sheet1!$A$2:$A$13,0))-MATCH(E11,Sheet1!$A$2:$A$13,0))/(1/10*100)&gt;105%,105%,92%-(IF(OR(F11="w1",F11="w2"),1,MATCH(F11,Sheet1!$A$2:$A$13,0))-MATCH(E11,Sheet1!$A$2:$A$13,0))/(1/10*100)))),IF(MID(D11,3,1)="+",IF(E11&lt;100,IF(112%-(E11-F11)/(1/IF(E11&lt;4,(40/E11),10)*100)&gt;105%,105%,IF(112%-(E11-F11)/(1/IF(E11&lt;4,(40/E11),10)*100)&lt;=72%,72%,112%-(E11-F11)/(1/IF(E11&lt;4,(40/E11),10)*100))),IF(112%-(E11-F11)/E11*10&gt;105%,105%,IF(112%-(E11-F11)/E11*10&lt;72%,72%,112%-(E11-F11)/E11*10))),IF(MID(D11,3,1)="-",IF(92%+((E11-F11)/(E11))*0.4&gt;105%,105%,IF(92%+((E11-F11)/(E11))*0.4&lt;72%,72%,92%+((E11-F11)/(E11))*0.4)),IF(OR(B11="BOTO",B11="NPI",B11="FF"),IF(102%+((E11-F11)/(E11))*0.4&gt;105%,105%,IF(102%+((E11-F11)/(E11))*0.4&lt;72%,72%,102%+((E11-F11)/(E11))*0.4)),""))))))</f>
        <v>1.05</v>
      </c>
      <c r="I11" s="11" t="s">
        <v>181</v>
      </c>
      <c r="J11" s="11"/>
      <c r="K11" s="11"/>
      <c r="M11" s="11" t="s">
        <v>181</v>
      </c>
      <c r="N11" s="11"/>
      <c r="O11" s="11"/>
      <c r="Q11" s="11" t="s">
        <v>181</v>
      </c>
      <c r="R11" s="11"/>
      <c r="S11" s="11"/>
      <c r="U11" s="11" t="s">
        <v>181</v>
      </c>
      <c r="V11" s="11"/>
      <c r="W11" s="11"/>
      <c r="Y11" s="11" t="s">
        <v>181</v>
      </c>
      <c r="Z11" s="11"/>
      <c r="AA11" s="11"/>
      <c r="AC11" s="11" t="s">
        <v>181</v>
      </c>
      <c r="AD11" s="11"/>
      <c r="AE11" s="11"/>
      <c r="AG11" s="11" t="s">
        <v>181</v>
      </c>
      <c r="AH11" s="11"/>
      <c r="AI11" s="11"/>
      <c r="AK11" s="11">
        <v>1</v>
      </c>
      <c r="AL11" s="147" t="s">
        <v>180</v>
      </c>
      <c r="AM11" s="11"/>
      <c r="AO11" s="11" t="s">
        <v>181</v>
      </c>
      <c r="AP11" s="11"/>
      <c r="AQ11" s="11"/>
      <c r="AS11" s="11" t="s">
        <v>181</v>
      </c>
      <c r="AT11" s="11"/>
      <c r="AU11" s="11"/>
      <c r="AW11" s="11" t="s">
        <v>181</v>
      </c>
      <c r="AX11" s="11"/>
      <c r="AY11" s="11"/>
      <c r="BA11" s="11">
        <v>1</v>
      </c>
      <c r="BB11" s="147" t="s">
        <v>180</v>
      </c>
      <c r="BC11" s="11"/>
    </row>
    <row r="12" spans="1:55" ht="18.75" customHeight="1" x14ac:dyDescent="0.25">
      <c r="A12" s="215"/>
      <c r="B12" s="65" t="s">
        <v>125</v>
      </c>
      <c r="C12" s="66" t="s">
        <v>24</v>
      </c>
      <c r="D12" s="67" t="s">
        <v>144</v>
      </c>
      <c r="E12" s="68">
        <v>2</v>
      </c>
      <c r="F12" s="68">
        <f t="shared" si="0"/>
        <v>2</v>
      </c>
      <c r="G12" s="69">
        <f>IF(OR(F12="",F12="NA"),"",IF(OR(C12="time",LEFT(C12,3)="DAY"),IF(OR(C12="DAY2",C12="time"),IF((92%-(F12-E12)/(1/10*100))&lt;70%,70%,IF(92%-(F12-E12)/(1/10*100)&gt;105%,105%,92%-(F12-E12)/(1/10*100))),IF(COUNT(E12)=1,IF((112%-(F12-E12)/(1/10*100))&lt;70%,70%,IF(112%-(F12-E12)/(1/10*100)&gt;105%,105%,112%-(F12-E12)/(1/10*100))))),IF(LEFT(C12,5)="month",IF(C12="month1",IF((112%-IF(F12="W1",0,IF(F12="W2",1,MATCH(F12,Sheet1!$A$2:$A$13,0)-MATCH(E12,Sheet1!$A$2:$A$13,0)+1))/(1/10*100))&lt;70%,70%,IF(112%-IF(F12="W1",0,IF(F12="W2",1,MATCH(F12,Sheet1!$A$2:$A$13,0)-MATCH(E12,Sheet1!$A$2:$A$13,0)+1))/(1/10*100)&gt;105%,105%,112%-IF(F12="W1",0,IF(F12="W2",1,MATCH(F12,Sheet1!$A$2:$A$13,0)-MATCH(E12,Sheet1!$A$2:$A$13,0)+1))/(1/10*100))),IF((92%-(IF(OR(F12="w1",F12="w2"),1,MATCH(F12,Sheet1!$A$2:$A$13,0))-MATCH(E12,Sheet1!$A$2:$A$13,0))/(1/10*100))&lt;70%,70%,IF(92%-(IF(OR(F12="w1",F12="w2"),1,MATCH(F12,Sheet1!$A$2:$A$13,0))-MATCH(E12,Sheet1!$A$2:$A$13,0))/(1/10*100)&gt;105%,105%,92%-(IF(OR(F12="w1",F12="w2"),1,MATCH(F12,Sheet1!$A$2:$A$13,0))-MATCH(E12,Sheet1!$A$2:$A$13,0))/(1/10*100)))),IF(MID(D12,3,1)="+",IF(E12&lt;100,IF(112%-(E12-F12)/(1/IF(E12&lt;4,(40/E12),10)*100)&gt;105%,105%,IF(112%-(E12-F12)/(1/IF(E12&lt;4,(40/E12),10)*100)&lt;=72%,72%,112%-(E12-F12)/(1/IF(E12&lt;4,(40/E12),10)*100))),IF(112%-(E12-F12)/E12*10&gt;105%,105%,IF(112%-(E12-F12)/E12*10&lt;72%,72%,112%-(E12-F12)/E12*10))),IF(MID(D12,3,1)="-",IF(92%+((E12-F12)/(E12))*0.4&gt;105%,105%,IF(92%+((E12-F12)/(E12))*0.4&lt;72%,72%,92%+((E12-F12)/(E12))*0.4)),IF(OR(B12="BOTO",B12="NPI",B12="FF"),IF(102%+((E12-F12)/(E12))*0.4&gt;105%,105%,IF(102%+((E12-F12)/(E12))*0.4&lt;72%,72%,102%+((E12-F12)/(E12))*0.4)),""))))))</f>
        <v>1.05</v>
      </c>
      <c r="I12" s="11" t="s">
        <v>181</v>
      </c>
      <c r="J12" s="11"/>
      <c r="K12" s="11"/>
      <c r="M12" s="11" t="s">
        <v>181</v>
      </c>
      <c r="N12" s="11"/>
      <c r="O12" s="11"/>
      <c r="Q12" s="11" t="s">
        <v>181</v>
      </c>
      <c r="R12" s="11"/>
      <c r="S12" s="11"/>
      <c r="U12" s="11" t="s">
        <v>181</v>
      </c>
      <c r="V12" s="11"/>
      <c r="W12" s="11"/>
      <c r="Y12" s="11" t="s">
        <v>181</v>
      </c>
      <c r="Z12" s="11"/>
      <c r="AA12" s="11"/>
      <c r="AC12" s="11" t="s">
        <v>181</v>
      </c>
      <c r="AD12" s="11"/>
      <c r="AE12" s="11"/>
      <c r="AG12" s="11">
        <v>1</v>
      </c>
      <c r="AH12" s="147" t="s">
        <v>180</v>
      </c>
      <c r="AI12" s="11"/>
      <c r="AK12" s="11" t="s">
        <v>181</v>
      </c>
      <c r="AL12" s="11"/>
      <c r="AM12" s="11"/>
      <c r="AO12" s="11" t="s">
        <v>181</v>
      </c>
      <c r="AP12" s="11"/>
      <c r="AQ12" s="11"/>
      <c r="AS12" s="11" t="s">
        <v>181</v>
      </c>
      <c r="AT12" s="11"/>
      <c r="AU12" s="11"/>
      <c r="AW12" s="11" t="s">
        <v>181</v>
      </c>
      <c r="AX12" s="11"/>
      <c r="AY12" s="11"/>
      <c r="BA12" s="11">
        <v>1</v>
      </c>
      <c r="BB12" s="147" t="s">
        <v>180</v>
      </c>
      <c r="BC12" s="11"/>
    </row>
    <row r="13" spans="1:55" ht="18.75" customHeight="1" x14ac:dyDescent="0.25">
      <c r="A13" s="215"/>
      <c r="B13" s="65" t="s">
        <v>102</v>
      </c>
      <c r="C13" s="66" t="s">
        <v>24</v>
      </c>
      <c r="D13" s="67" t="s">
        <v>144</v>
      </c>
      <c r="E13" s="68">
        <v>2</v>
      </c>
      <c r="F13" s="68">
        <f t="shared" si="0"/>
        <v>4</v>
      </c>
      <c r="G13" s="69">
        <f>IF(OR(F13="",F13="NA"),"",IF(OR(C13="time",LEFT(C13,3)="DAY"),IF(OR(C13="DAY2",C13="time"),IF((92%-(F13-E13)/(1/10*100))&lt;70%,70%,IF(92%-(F13-E13)/(1/10*100)&gt;105%,105%,92%-(F13-E13)/(1/10*100))),IF(COUNT(E13)=1,IF((112%-(F13-E13)/(1/10*100))&lt;70%,70%,IF(112%-(F13-E13)/(1/10*100)&gt;105%,105%,112%-(F13-E13)/(1/10*100))))),IF(LEFT(C13,5)="month",IF(C13="month1",IF((112%-IF(F13="W1",0,IF(F13="W2",1,MATCH(F13,Sheet1!$A$2:$A$13,0)-MATCH(E13,Sheet1!$A$2:$A$13,0)+1))/(1/10*100))&lt;70%,70%,IF(112%-IF(F13="W1",0,IF(F13="W2",1,MATCH(F13,Sheet1!$A$2:$A$13,0)-MATCH(E13,Sheet1!$A$2:$A$13,0)+1))/(1/10*100)&gt;105%,105%,112%-IF(F13="W1",0,IF(F13="W2",1,MATCH(F13,Sheet1!$A$2:$A$13,0)-MATCH(E13,Sheet1!$A$2:$A$13,0)+1))/(1/10*100))),IF((92%-(IF(OR(F13="w1",F13="w2"),1,MATCH(F13,Sheet1!$A$2:$A$13,0))-MATCH(E13,Sheet1!$A$2:$A$13,0))/(1/10*100))&lt;70%,70%,IF(92%-(IF(OR(F13="w1",F13="w2"),1,MATCH(F13,Sheet1!$A$2:$A$13,0))-MATCH(E13,Sheet1!$A$2:$A$13,0))/(1/10*100)&gt;105%,105%,92%-(IF(OR(F13="w1",F13="w2"),1,MATCH(F13,Sheet1!$A$2:$A$13,0))-MATCH(E13,Sheet1!$A$2:$A$13,0))/(1/10*100)))),IF(MID(D13,3,1)="+",IF(E13&lt;100,IF(112%-(E13-F13)/(1/IF(E13&lt;4,(40/E13),10)*100)&gt;105%,105%,IF(112%-(E13-F13)/(1/IF(E13&lt;4,(40/E13),10)*100)&lt;=72%,72%,112%-(E13-F13)/(1/IF(E13&lt;4,(40/E13),10)*100))),IF(112%-(E13-F13)/E13*10&gt;105%,105%,IF(112%-(E13-F13)/E13*10&lt;72%,72%,112%-(E13-F13)/E13*10))),IF(MID(D13,3,1)="-",IF(92%+((E13-F13)/(E13))*0.4&gt;105%,105%,IF(92%+((E13-F13)/(E13))*0.4&lt;72%,72%,92%+((E13-F13)/(E13))*0.4)),IF(OR(B13="BOTO",B13="NPI",B13="FF"),IF(102%+((E13-F13)/(E13))*0.4&gt;105%,105%,IF(102%+((E13-F13)/(E13))*0.4&lt;72%,72%,102%+((E13-F13)/(E13))*0.4)),""))))))</f>
        <v>1.05</v>
      </c>
      <c r="I13" s="11" t="s">
        <v>181</v>
      </c>
      <c r="J13" s="11"/>
      <c r="K13" s="11"/>
      <c r="M13" s="11" t="s">
        <v>181</v>
      </c>
      <c r="N13" s="11"/>
      <c r="O13" s="11"/>
      <c r="Q13" s="11" t="s">
        <v>181</v>
      </c>
      <c r="R13" s="11"/>
      <c r="S13" s="11"/>
      <c r="U13" s="11" t="s">
        <v>181</v>
      </c>
      <c r="V13" s="11"/>
      <c r="W13" s="11"/>
      <c r="Y13" s="11" t="s">
        <v>181</v>
      </c>
      <c r="Z13" s="11"/>
      <c r="AA13" s="11"/>
      <c r="AC13" s="11" t="s">
        <v>181</v>
      </c>
      <c r="AD13" s="11"/>
      <c r="AE13" s="11"/>
      <c r="AG13" s="11">
        <v>1</v>
      </c>
      <c r="AH13" s="147" t="s">
        <v>180</v>
      </c>
      <c r="AI13" s="11"/>
      <c r="AK13" s="11">
        <v>1</v>
      </c>
      <c r="AL13" s="147" t="s">
        <v>180</v>
      </c>
      <c r="AM13" s="11"/>
      <c r="AO13" s="11" t="s">
        <v>181</v>
      </c>
      <c r="AP13" s="11"/>
      <c r="AQ13" s="11"/>
      <c r="AS13" s="11" t="s">
        <v>181</v>
      </c>
      <c r="AT13" s="11"/>
      <c r="AU13" s="11"/>
      <c r="AW13" s="11" t="s">
        <v>181</v>
      </c>
      <c r="AX13" s="11"/>
      <c r="AY13" s="11"/>
      <c r="BA13" s="11">
        <v>2</v>
      </c>
      <c r="BB13" s="147" t="s">
        <v>180</v>
      </c>
      <c r="BC13" s="11"/>
    </row>
    <row r="14" spans="1:55" ht="51" customHeight="1" x14ac:dyDescent="0.25">
      <c r="A14" s="215"/>
      <c r="B14" s="65" t="s">
        <v>127</v>
      </c>
      <c r="C14" s="66" t="s">
        <v>165</v>
      </c>
      <c r="D14" s="67" t="s">
        <v>142</v>
      </c>
      <c r="E14" s="15">
        <v>2</v>
      </c>
      <c r="F14" s="153">
        <f t="shared" si="0"/>
        <v>1.887048642934481</v>
      </c>
      <c r="G14" s="69">
        <f>IF(OR(F14="",F14="NA"),"",IF(OR(C14="time",LEFT(C14,3)="DAY"),IF(OR(C14="DAY2",C14="time"),IF((92%-(F14-E14)/(1/10*100))&lt;70%,70%,IF(92%-(F14-E14)/(1/10*100)&gt;105%,105%,92%-(F14-E14)/(1/10*100))),IF(COUNT(E14)=1,IF((112%-(F14-E14)/(1/10*100))&lt;70%,70%,IF(112%-(F14-E14)/(1/10*100)&gt;105%,105%,112%-(F14-E14)/(1/10*100))))),IF(LEFT(C14,5)="month",IF(C14="month1",IF((112%-IF(F14="W1",0,IF(F14="W2",1,MATCH(F14,Sheet1!$A$2:$A$13,0)-MATCH(E14,Sheet1!$A$2:$A$13,0)+1))/(1/10*100))&lt;70%,70%,IF(112%-IF(F14="W1",0,IF(F14="W2",1,MATCH(F14,Sheet1!$A$2:$A$13,0)-MATCH(E14,Sheet1!$A$2:$A$13,0)+1))/(1/10*100)&gt;105%,105%,112%-IF(F14="W1",0,IF(F14="W2",1,MATCH(F14,Sheet1!$A$2:$A$13,0)-MATCH(E14,Sheet1!$A$2:$A$13,0)+1))/(1/10*100))),IF((92%-(IF(OR(F14="w1",F14="w2"),1,MATCH(F14,Sheet1!$A$2:$A$13,0))-MATCH(E14,Sheet1!$A$2:$A$13,0))/(1/10*100))&lt;70%,70%,IF(92%-(IF(OR(F14="w1",F14="w2"),1,MATCH(F14,Sheet1!$A$2:$A$13,0))-MATCH(E14,Sheet1!$A$2:$A$13,0))/(1/10*100)&gt;105%,105%,92%-(IF(OR(F14="w1",F14="w2"),1,MATCH(F14,Sheet1!$A$2:$A$13,0))-MATCH(E14,Sheet1!$A$2:$A$13,0))/(1/10*100)))),IF(MID(D14,3,1)="+",IF(E14&lt;100,IF(112%-(E14-F14)/(1/IF(E14&lt;4,(40/E14),10)*100)&gt;105%,105%,IF(112%-(E14-F14)/(1/IF(E14&lt;4,(40/E14),10)*100)&lt;=72%,72%,112%-(E14-F14)/(1/IF(E14&lt;4,(40/E14),10)*100))),IF(112%-(E14-F14)/E14*10&gt;105%,105%,IF(112%-(E14-F14)/E14*10&lt;72%,72%,112%-(E14-F14)/E14*10))),IF(MID(D14,3,1)="-",IF(92%+((E14-F14)/(E14))*0.4&gt;105%,105%,IF(92%+((E14-F14)/(E14))*0.4&lt;72%,72%,92%+((E14-F14)/(E14))*0.4)),IF(OR(B14="BOTO",B14="NPI",B14="FF"),IF(102%+((E14-F14)/(E14))*0.4&gt;105%,105%,IF(102%+((E14-F14)/(E14))*0.4&lt;72%,72%,102%+((E14-F14)/(E14))*0.4)),""))))))</f>
        <v>1.05</v>
      </c>
      <c r="I14" s="148">
        <f>'[1]GS-1-21'!$I$24</f>
        <v>1.40625</v>
      </c>
      <c r="J14" s="147" t="s">
        <v>20</v>
      </c>
      <c r="K14" s="11"/>
      <c r="M14" s="148">
        <f>[2]Sheet1!$I$19</f>
        <v>1.75</v>
      </c>
      <c r="N14" s="147" t="s">
        <v>179</v>
      </c>
      <c r="O14" s="11"/>
      <c r="Q14" s="148">
        <f>'[3]GS-3-21'!$I$38</f>
        <v>1.2941176470588236</v>
      </c>
      <c r="R14" s="147" t="s">
        <v>179</v>
      </c>
      <c r="S14" s="11"/>
      <c r="U14" s="148">
        <f>'[4]Sheet1 (2)'!$J$33</f>
        <v>1.3870967741935485</v>
      </c>
      <c r="V14" s="147" t="s">
        <v>179</v>
      </c>
      <c r="W14" s="11"/>
      <c r="Y14" s="148">
        <f>[5]Sheet1!$J$6</f>
        <v>2</v>
      </c>
      <c r="Z14" s="147" t="s">
        <v>179</v>
      </c>
      <c r="AA14" s="11"/>
      <c r="AC14" s="148">
        <f>[6]Sheet1!$J$35</f>
        <v>2.2307692307692308</v>
      </c>
      <c r="AD14" s="147" t="s">
        <v>179</v>
      </c>
      <c r="AE14" s="11"/>
      <c r="AG14" s="148">
        <f>[7]Sheet1!$J$35</f>
        <v>2.0370370370370372</v>
      </c>
      <c r="AH14" s="147" t="s">
        <v>179</v>
      </c>
      <c r="AI14" s="11"/>
      <c r="AK14" s="148">
        <f>[8]Sheet1!$J$35</f>
        <v>2.2142857142857144</v>
      </c>
      <c r="AL14" s="154" t="s">
        <v>180</v>
      </c>
      <c r="AM14" s="11"/>
      <c r="AO14" s="148">
        <f>[9]Sheet1!$J$35</f>
        <v>2.3214285714285716</v>
      </c>
      <c r="AP14" s="147" t="s">
        <v>180</v>
      </c>
      <c r="AQ14" s="11"/>
      <c r="AS14" s="148">
        <f>[10]Sheet1!$J$35</f>
        <v>2.3076923076923075</v>
      </c>
      <c r="AT14" s="147" t="s">
        <v>180</v>
      </c>
      <c r="AU14" s="11"/>
      <c r="AW14" s="148">
        <f>[26]Sheet1!$J$21</f>
        <v>2.2222222222222223</v>
      </c>
      <c r="AX14" s="147" t="s">
        <v>180</v>
      </c>
      <c r="AY14" s="11"/>
      <c r="BA14" s="148">
        <f>[27]Sheet1!$J$21</f>
        <v>1.4736842105263157</v>
      </c>
      <c r="BB14" s="147" t="s">
        <v>180</v>
      </c>
      <c r="BC14" s="11"/>
    </row>
    <row r="15" spans="1:55" ht="30.75" thickBot="1" x14ac:dyDescent="0.3">
      <c r="A15" s="215"/>
      <c r="B15" s="146" t="s">
        <v>103</v>
      </c>
      <c r="C15" s="120" t="s">
        <v>178</v>
      </c>
      <c r="D15" s="121" t="s">
        <v>142</v>
      </c>
      <c r="E15" s="137">
        <v>10</v>
      </c>
      <c r="F15" s="150">
        <f t="shared" si="0"/>
        <v>0.37285782286467589</v>
      </c>
      <c r="G15" s="14">
        <f>IF(OR(F15="",F15="NA"),"",IF(OR(C15="time",LEFT(C15,3)="DAY"),IF(OR(C15="DAY2",C15="time"),IF((92%-(F15-E15)/(1/10*100))&lt;70%,70%,IF(92%-(F15-E15)/(1/10*100)&gt;105%,105%,92%-(F15-E15)/(1/10*100))),IF(COUNT(E15)=1,IF((112%-(F15-E15)/(1/10*100))&lt;70%,70%,IF(112%-(F15-E15)/(1/10*100)&gt;105%,105%,112%-(F15-E15)/(1/10*100))))),IF(LEFT(C15,5)="month",IF(C15="month1",IF((112%-IF(F15="W1",0,IF(F15="W2",1,MATCH(F15,Sheet1!$A$2:$A$13,0)-MATCH(E15,Sheet1!$A$2:$A$13,0)+1))/(1/10*100))&lt;70%,70%,IF(112%-IF(F15="W1",0,IF(F15="W2",1,MATCH(F15,Sheet1!$A$2:$A$13,0)-MATCH(E15,Sheet1!$A$2:$A$13,0)+1))/(1/10*100)&gt;105%,105%,112%-IF(F15="W1",0,IF(F15="W2",1,MATCH(F15,Sheet1!$A$2:$A$13,0)-MATCH(E15,Sheet1!$A$2:$A$13,0)+1))/(1/10*100))),IF((92%-(IF(OR(F15="w1",F15="w2"),1,MATCH(F15,Sheet1!$A$2:$A$13,0))-MATCH(E15,Sheet1!$A$2:$A$13,0))/(1/10*100))&lt;70%,70%,IF(92%-(IF(OR(F15="w1",F15="w2"),1,MATCH(F15,Sheet1!$A$2:$A$13,0))-MATCH(E15,Sheet1!$A$2:$A$13,0))/(1/10*100)&gt;105%,105%,92%-(IF(OR(F15="w1",F15="w2"),1,MATCH(F15,Sheet1!$A$2:$A$13,0))-MATCH(E15,Sheet1!$A$2:$A$13,0))/(1/10*100)))),IF(MID(D15,3,1)="+",IF(E15&lt;100,IF(112%-(E15-F15)/(1/IF(E15&lt;4,(40/E15),10)*100)&gt;105%,105%,IF(112%-(E15-F15)/(1/IF(E15&lt;4,(40/E15),10)*100)&lt;=72%,72%,112%-(E15-F15)/(1/IF(E15&lt;4,(40/E15),10)*100))),IF(112%-(E15-F15)/E15*10&gt;105%,105%,IF(112%-(E15-F15)/E15*10&lt;72%,72%,112%-(E15-F15)/E15*10))),IF(MID(D15,3,1)="-",IF(92%+((E15-F15)/(E15))*0.4&gt;105%,105%,IF(92%+((E15-F15)/(E15))*0.4&lt;72%,72%,92%+((E15-F15)/(E15))*0.4)),IF(OR(B15="BOTO",B15="NPI",B15="FF"),IF(102%+((E15-F15)/(E15))*0.4&gt;105%,105%,IF(102%+((E15-F15)/(E15))*0.4&lt;72%,72%,102%+((E15-F15)/(E15))*0.4)),""))))))</f>
        <v>1.05</v>
      </c>
      <c r="I15" s="11" t="s">
        <v>181</v>
      </c>
      <c r="J15" s="11"/>
      <c r="K15" s="11"/>
      <c r="M15" s="11" t="s">
        <v>181</v>
      </c>
      <c r="N15" s="11"/>
      <c r="O15" s="11"/>
      <c r="Q15" s="149">
        <f>[11]Sheet1!$D$36</f>
        <v>0.36593567251461995</v>
      </c>
      <c r="R15" s="147" t="s">
        <v>180</v>
      </c>
      <c r="S15" s="11"/>
      <c r="U15" s="149">
        <f>[12]Sheet1!$D$35</f>
        <v>0.3511408730158731</v>
      </c>
      <c r="V15" s="147" t="s">
        <v>180</v>
      </c>
      <c r="W15" s="11"/>
      <c r="Y15" s="149" t="s">
        <v>181</v>
      </c>
      <c r="Z15" s="147"/>
      <c r="AA15" s="11"/>
      <c r="AC15" s="11" t="s">
        <v>181</v>
      </c>
      <c r="AD15" s="11"/>
      <c r="AE15" s="11"/>
      <c r="AG15" s="149">
        <f>[13]Sheet1!$D$36</f>
        <v>0.36817129629629625</v>
      </c>
      <c r="AH15" s="147" t="s">
        <v>180</v>
      </c>
      <c r="AI15" s="11"/>
      <c r="AK15" s="149">
        <f>[14]Sheet1!$D$36</f>
        <v>0.36971450617283952</v>
      </c>
      <c r="AL15" s="147" t="s">
        <v>180</v>
      </c>
      <c r="AM15" s="11"/>
      <c r="AO15" s="149">
        <f>[15]Sheet1!$D$35</f>
        <v>0.38269230769230761</v>
      </c>
      <c r="AP15" s="147" t="s">
        <v>180</v>
      </c>
      <c r="AQ15" s="11"/>
      <c r="AS15" s="149">
        <f>[16]Sheet1!$D$36</f>
        <v>0.38263888888888892</v>
      </c>
      <c r="AT15" s="147" t="s">
        <v>180</v>
      </c>
      <c r="AU15" s="11"/>
      <c r="AW15" s="149">
        <f>[17]Sheet1!$D$35</f>
        <v>0.39436728395061738</v>
      </c>
      <c r="AX15" s="147" t="s">
        <v>180</v>
      </c>
      <c r="AY15" s="11"/>
      <c r="BA15" s="149">
        <f>[18]Sheet1!$D$36</f>
        <v>0.36820175438596486</v>
      </c>
      <c r="BB15" s="147" t="s">
        <v>180</v>
      </c>
      <c r="BC15" s="11"/>
    </row>
    <row r="16" spans="1:55" ht="30.75" thickBot="1" x14ac:dyDescent="0.3">
      <c r="A16" s="103" t="s">
        <v>53</v>
      </c>
      <c r="B16" s="7" t="s">
        <v>74</v>
      </c>
      <c r="C16" s="138" t="s">
        <v>23</v>
      </c>
      <c r="D16" s="105" t="s">
        <v>164</v>
      </c>
      <c r="E16" s="139">
        <v>90</v>
      </c>
      <c r="F16" s="16">
        <f t="shared" si="0"/>
        <v>95.11</v>
      </c>
      <c r="G16" s="10">
        <f>IF(OR(F16="",F16="NA"),"",IF(OR(C16="time",LEFT(C16,3)="DAY"),IF(OR(C16="DAY2",C16="time"),IF((92%-(F16-E16)/(1/10*100))&lt;70%,70%,IF(92%-(F16-E16)/(1/10*100)&gt;105%,105%,92%-(F16-E16)/(1/10*100))),IF(COUNT(E16)=1,IF((112%-(F16-E16)/(1/10*100))&lt;70%,70%,IF(112%-(F16-E16)/(1/10*100)&gt;105%,105%,112%-(F16-E16)/(1/10*100))))),IF(LEFT(C16,5)="month",IF(C16="month1",IF((112%-IF(F16="W1",0,IF(F16="W2",1,MATCH(F16,Sheet1!$A$2:$A$13,0)-MATCH(E16,Sheet1!$A$2:$A$13,0)+1))/(1/10*100))&lt;70%,70%,IF(112%-IF(F16="W1",0,IF(F16="W2",1,MATCH(F16,Sheet1!$A$2:$A$13,0)-MATCH(E16,Sheet1!$A$2:$A$13,0)+1))/(1/10*100)&gt;105%,105%,112%-IF(F16="W1",0,IF(F16="W2",1,MATCH(F16,Sheet1!$A$2:$A$13,0)-MATCH(E16,Sheet1!$A$2:$A$13,0)+1))/(1/10*100))),IF((92%-(IF(OR(F16="w1",F16="w2"),1,MATCH(F16,Sheet1!$A$2:$A$13,0))-MATCH(E16,Sheet1!$A$2:$A$13,0))/(1/10*100))&lt;70%,70%,IF(92%-(IF(OR(F16="w1",F16="w2"),1,MATCH(F16,Sheet1!$A$2:$A$13,0))-MATCH(E16,Sheet1!$A$2:$A$13,0))/(1/10*100)&gt;105%,105%,92%-(IF(OR(F16="w1",F16="w2"),1,MATCH(F16,Sheet1!$A$2:$A$13,0))-MATCH(E16,Sheet1!$A$2:$A$13,0))/(1/10*100)))),IF(MID(D16,3,1)="+",IF(E16&lt;100,IF(112%-(E16-F16)/(1/IF(E16&lt;4,(40/E16),10)*100)&gt;105%,105%,IF(112%-(E16-F16)/(1/IF(E16&lt;4,(40/E16),10)*100)&lt;=72%,72%,112%-(E16-F16)/(1/IF(E16&lt;4,(40/E16),10)*100))),IF(112%-(E16-F16)/E16*10&gt;105%,105%,IF(112%-(E16-F16)/E16*10&lt;72%,72%,112%-(E16-F16)/E16*10))),IF(MID(D16,3,1)="-",IF(92%+((E16-F16)/(E16))*0.4&gt;105%,105%,IF(92%+((E16-F16)/(E16))*0.4&lt;72%,72%,92%+((E16-F16)/(E16))*0.4)),IF(OR(B16="BOTO",B16="NPI",B16="FF"),IF(102%+((E16-F16)/(E16))*0.4&gt;105%,105%,IF(102%+((E16-F16)/(E16))*0.4&lt;72%,72%,102%+((E16-F16)/(E16))*0.4)),""))))))</f>
        <v>1.05</v>
      </c>
      <c r="I16" s="11" t="s">
        <v>181</v>
      </c>
      <c r="J16" s="11"/>
      <c r="K16" s="11"/>
      <c r="M16" s="11" t="s">
        <v>181</v>
      </c>
      <c r="N16" s="11"/>
      <c r="O16" s="11"/>
      <c r="Q16" s="11" t="s">
        <v>181</v>
      </c>
      <c r="R16" s="11"/>
      <c r="S16" s="11"/>
      <c r="U16" s="11" t="s">
        <v>181</v>
      </c>
      <c r="V16" s="11"/>
      <c r="W16" s="11"/>
      <c r="Y16" s="11" t="s">
        <v>181</v>
      </c>
      <c r="Z16" s="11"/>
      <c r="AA16" s="11"/>
      <c r="AC16" s="11" t="s">
        <v>181</v>
      </c>
      <c r="AD16" s="11"/>
      <c r="AE16" s="11"/>
      <c r="AG16" s="11" t="s">
        <v>181</v>
      </c>
      <c r="AH16" s="11"/>
      <c r="AI16" s="11"/>
      <c r="AK16" s="11" t="s">
        <v>181</v>
      </c>
      <c r="AL16" s="11"/>
      <c r="AM16" s="11"/>
      <c r="AO16" s="11" t="s">
        <v>181</v>
      </c>
      <c r="AP16" s="11"/>
      <c r="AQ16" s="11"/>
      <c r="AS16" s="11" t="s">
        <v>181</v>
      </c>
      <c r="AT16" s="11"/>
      <c r="AU16" s="11"/>
      <c r="AW16" s="11">
        <v>95.11</v>
      </c>
      <c r="AX16" s="147" t="s">
        <v>180</v>
      </c>
      <c r="AY16" s="11"/>
      <c r="BA16" s="11" t="s">
        <v>181</v>
      </c>
      <c r="BB16" s="11"/>
      <c r="BC16" s="11"/>
    </row>
    <row r="17" spans="1:55" ht="30.75" thickBot="1" x14ac:dyDescent="0.3">
      <c r="A17" s="214" t="s">
        <v>54</v>
      </c>
      <c r="B17" s="7" t="s">
        <v>123</v>
      </c>
      <c r="C17" s="8" t="s">
        <v>24</v>
      </c>
      <c r="D17" s="9" t="s">
        <v>144</v>
      </c>
      <c r="E17" s="16">
        <v>2</v>
      </c>
      <c r="F17" s="16">
        <f t="shared" si="0"/>
        <v>2</v>
      </c>
      <c r="G17" s="10">
        <f>IF(OR(F17="",F17="NA"),"",IF(OR(C17="time",LEFT(C17,3)="DAY"),IF(OR(C17="DAY2",C17="time"),IF((92%-(F17-E17)/(1/10*100))&lt;70%,70%,IF(92%-(F17-E17)/(1/10*100)&gt;105%,105%,92%-(F17-E17)/(1/10*100))),IF(COUNT(E17)=1,IF((112%-(F17-E17)/(1/10*100))&lt;70%,70%,IF(112%-(F17-E17)/(1/10*100)&gt;105%,105%,112%-(F17-E17)/(1/10*100))))),IF(LEFT(C17,5)="month",IF(C17="month1",IF((112%-IF(F17="W1",0,IF(F17="W2",1,MATCH(F17,Sheet1!$A$2:$A$13,0)-MATCH(E17,Sheet1!$A$2:$A$13,0)+1))/(1/10*100))&lt;70%,70%,IF(112%-IF(F17="W1",0,IF(F17="W2",1,MATCH(F17,Sheet1!$A$2:$A$13,0)-MATCH(E17,Sheet1!$A$2:$A$13,0)+1))/(1/10*100)&gt;105%,105%,112%-IF(F17="W1",0,IF(F17="W2",1,MATCH(F17,Sheet1!$A$2:$A$13,0)-MATCH(E17,Sheet1!$A$2:$A$13,0)+1))/(1/10*100))),IF((92%-(IF(OR(F17="w1",F17="w2"),1,MATCH(F17,Sheet1!$A$2:$A$13,0))-MATCH(E17,Sheet1!$A$2:$A$13,0))/(1/10*100))&lt;70%,70%,IF(92%-(IF(OR(F17="w1",F17="w2"),1,MATCH(F17,Sheet1!$A$2:$A$13,0))-MATCH(E17,Sheet1!$A$2:$A$13,0))/(1/10*100)&gt;105%,105%,92%-(IF(OR(F17="w1",F17="w2"),1,MATCH(F17,Sheet1!$A$2:$A$13,0))-MATCH(E17,Sheet1!$A$2:$A$13,0))/(1/10*100)))),IF(MID(D17,3,1)="+",IF(E17&lt;100,IF(112%-(E17-F17)/(1/IF(E17&lt;4,(40/E17),10)*100)&gt;105%,105%,IF(112%-(E17-F17)/(1/IF(E17&lt;4,(40/E17),10)*100)&lt;=72%,72%,112%-(E17-F17)/(1/IF(E17&lt;4,(40/E17),10)*100))),IF(112%-(E17-F17)/E17*10&gt;105%,105%,IF(112%-(E17-F17)/E17*10&lt;72%,72%,112%-(E17-F17)/E17*10))),IF(MID(D17,3,1)="-",IF(92%+((E17-F17)/(E17))*0.4&gt;105%,105%,IF(92%+((E17-F17)/(E17))*0.4&lt;72%,72%,92%+((E17-F17)/(E17))*0.4)),IF(OR(B17="BOTO",B17="NPI",B17="FF"),IF(102%+((E17-F17)/(E17))*0.4&gt;105%,105%,IF(102%+((E17-F17)/(E17))*0.4&lt;72%,72%,102%+((E17-F17)/(E17))*0.4)),""))))))</f>
        <v>1.05</v>
      </c>
      <c r="I17" s="11" t="s">
        <v>181</v>
      </c>
      <c r="J17" s="11"/>
      <c r="K17" s="11"/>
      <c r="M17" s="11" t="s">
        <v>181</v>
      </c>
      <c r="N17" s="11"/>
      <c r="O17" s="11"/>
      <c r="Q17" s="11" t="s">
        <v>181</v>
      </c>
      <c r="R17" s="11"/>
      <c r="S17" s="11"/>
      <c r="U17" s="11" t="s">
        <v>181</v>
      </c>
      <c r="V17" s="11"/>
      <c r="W17" s="11"/>
      <c r="Y17" s="11" t="s">
        <v>181</v>
      </c>
      <c r="Z17" s="11"/>
      <c r="AA17" s="11"/>
      <c r="AC17" s="11" t="s">
        <v>181</v>
      </c>
      <c r="AD17" s="11"/>
      <c r="AE17" s="11"/>
      <c r="AG17" s="11" t="s">
        <v>181</v>
      </c>
      <c r="AH17" s="11"/>
      <c r="AI17" s="11"/>
      <c r="AK17" s="11">
        <v>1</v>
      </c>
      <c r="AL17" s="147" t="s">
        <v>180</v>
      </c>
      <c r="AM17" s="11"/>
      <c r="AO17" s="11" t="s">
        <v>181</v>
      </c>
      <c r="AP17" s="11"/>
      <c r="AQ17" s="11"/>
      <c r="AS17" s="11" t="s">
        <v>181</v>
      </c>
      <c r="AT17" s="11"/>
      <c r="AU17" s="11"/>
      <c r="AW17" s="11" t="s">
        <v>181</v>
      </c>
      <c r="AX17" s="11"/>
      <c r="AY17" s="11"/>
      <c r="BA17" s="11">
        <v>1</v>
      </c>
      <c r="BB17" s="147" t="s">
        <v>180</v>
      </c>
      <c r="BC17" s="11"/>
    </row>
    <row r="18" spans="1:55" ht="30" x14ac:dyDescent="0.25">
      <c r="A18" s="215"/>
      <c r="B18" s="7" t="s">
        <v>124</v>
      </c>
      <c r="C18" s="13" t="s">
        <v>24</v>
      </c>
      <c r="D18" s="131" t="s">
        <v>144</v>
      </c>
      <c r="E18" s="15">
        <v>2</v>
      </c>
      <c r="F18" s="16">
        <f t="shared" si="0"/>
        <v>2</v>
      </c>
      <c r="G18" s="10">
        <f>IF(OR(F18="",F18="NA"),"",IF(OR(C18="time",LEFT(C18,3)="DAY"),IF(OR(C18="DAY2",C18="time"),IF((92%-(F18-E18)/(1/10*100))&lt;70%,70%,IF(92%-(F18-E18)/(1/10*100)&gt;105%,105%,92%-(F18-E18)/(1/10*100))),IF(COUNT(E18)=1,IF((112%-(F18-E18)/(1/10*100))&lt;70%,70%,IF(112%-(F18-E18)/(1/10*100)&gt;105%,105%,112%-(F18-E18)/(1/10*100))))),IF(LEFT(C18,5)="month",IF(C18="month1",IF((112%-IF(F18="W1",0,IF(F18="W2",1,MATCH(F18,Sheet1!$A$2:$A$13,0)-MATCH(E18,Sheet1!$A$2:$A$13,0)+1))/(1/10*100))&lt;70%,70%,IF(112%-IF(F18="W1",0,IF(F18="W2",1,MATCH(F18,Sheet1!$A$2:$A$13,0)-MATCH(E18,Sheet1!$A$2:$A$13,0)+1))/(1/10*100)&gt;105%,105%,112%-IF(F18="W1",0,IF(F18="W2",1,MATCH(F18,Sheet1!$A$2:$A$13,0)-MATCH(E18,Sheet1!$A$2:$A$13,0)+1))/(1/10*100))),IF((92%-(IF(OR(F18="w1",F18="w2"),1,MATCH(F18,Sheet1!$A$2:$A$13,0))-MATCH(E18,Sheet1!$A$2:$A$13,0))/(1/10*100))&lt;70%,70%,IF(92%-(IF(OR(F18="w1",F18="w2"),1,MATCH(F18,Sheet1!$A$2:$A$13,0))-MATCH(E18,Sheet1!$A$2:$A$13,0))/(1/10*100)&gt;105%,105%,92%-(IF(OR(F18="w1",F18="w2"),1,MATCH(F18,Sheet1!$A$2:$A$13,0))-MATCH(E18,Sheet1!$A$2:$A$13,0))/(1/10*100)))),IF(MID(D18,3,1)="+",IF(E18&lt;100,IF(112%-(E18-F18)/(1/IF(E18&lt;4,(40/E18),10)*100)&gt;105%,105%,IF(112%-(E18-F18)/(1/IF(E18&lt;4,(40/E18),10)*100)&lt;=72%,72%,112%-(E18-F18)/(1/IF(E18&lt;4,(40/E18),10)*100))),IF(112%-(E18-F18)/E18*10&gt;105%,105%,IF(112%-(E18-F18)/E18*10&lt;72%,72%,112%-(E18-F18)/E18*10))),IF(MID(D18,3,1)="-",IF(92%+((E18-F18)/(E18))*0.4&gt;105%,105%,IF(92%+((E18-F18)/(E18))*0.4&lt;72%,72%,92%+((E18-F18)/(E18))*0.4)),IF(OR(B18="BOTO",B18="NPI",B18="FF"),IF(102%+((E18-F18)/(E18))*0.4&gt;105%,105%,IF(102%+((E18-F18)/(E18))*0.4&lt;72%,72%,102%+((E18-F18)/(E18))*0.4)),""))))))</f>
        <v>1.05</v>
      </c>
      <c r="I18" s="11" t="s">
        <v>181</v>
      </c>
      <c r="J18" s="11"/>
      <c r="K18" s="11"/>
      <c r="M18" s="11" t="s">
        <v>181</v>
      </c>
      <c r="N18" s="11"/>
      <c r="O18" s="11"/>
      <c r="Q18" s="11" t="s">
        <v>181</v>
      </c>
      <c r="R18" s="11"/>
      <c r="S18" s="11"/>
      <c r="U18" s="11" t="s">
        <v>181</v>
      </c>
      <c r="V18" s="11"/>
      <c r="W18" s="11"/>
      <c r="Y18" s="11" t="s">
        <v>181</v>
      </c>
      <c r="Z18" s="11"/>
      <c r="AA18" s="11"/>
      <c r="AC18" s="11" t="s">
        <v>181</v>
      </c>
      <c r="AD18" s="11"/>
      <c r="AE18" s="11"/>
      <c r="AG18" s="11">
        <v>1</v>
      </c>
      <c r="AH18" s="147" t="s">
        <v>180</v>
      </c>
      <c r="AI18" s="11"/>
      <c r="AK18" s="11" t="s">
        <v>181</v>
      </c>
      <c r="AL18" s="11"/>
      <c r="AM18" s="11"/>
      <c r="AO18" s="11" t="s">
        <v>181</v>
      </c>
      <c r="AP18" s="11"/>
      <c r="AQ18" s="11"/>
      <c r="AS18" s="11" t="s">
        <v>181</v>
      </c>
      <c r="AT18" s="11"/>
      <c r="AU18" s="11"/>
      <c r="AW18" s="11" t="s">
        <v>181</v>
      </c>
      <c r="AX18" s="11"/>
      <c r="AY18" s="11"/>
      <c r="BA18" s="11">
        <v>1</v>
      </c>
      <c r="BB18" s="147" t="s">
        <v>180</v>
      </c>
      <c r="BC18" s="11"/>
    </row>
    <row r="19" spans="1:55" x14ac:dyDescent="0.25">
      <c r="A19" s="215"/>
      <c r="B19" s="65" t="s">
        <v>76</v>
      </c>
      <c r="C19" s="13" t="s">
        <v>165</v>
      </c>
      <c r="D19" s="131" t="s">
        <v>142</v>
      </c>
      <c r="E19" s="15">
        <v>1</v>
      </c>
      <c r="F19" s="15">
        <f t="shared" si="0"/>
        <v>0.8</v>
      </c>
      <c r="G19" s="14">
        <f>IF(OR(F19="",F19="NA"),"",IF(OR(C19="time",LEFT(C19,3)="DAY"),IF(OR(C19="DAY2",C19="time"),IF((92%-(F19-E19)/(1/10*100))&lt;70%,70%,IF(92%-(F19-E19)/(1/10*100)&gt;105%,105%,92%-(F19-E19)/(1/10*100))),IF(COUNT(E19)=1,IF((112%-(F19-E19)/(1/10*100))&lt;70%,70%,IF(112%-(F19-E19)/(1/10*100)&gt;105%,105%,112%-(F19-E19)/(1/10*100))))),IF(LEFT(C19,5)="month",IF(C19="month1",IF((112%-IF(F19="W1",0,IF(F19="W2",1,MATCH(F19,Sheet1!$A$2:$A$13,0)-MATCH(E19,Sheet1!$A$2:$A$13,0)+1))/(1/10*100))&lt;70%,70%,IF(112%-IF(F19="W1",0,IF(F19="W2",1,MATCH(F19,Sheet1!$A$2:$A$13,0)-MATCH(E19,Sheet1!$A$2:$A$13,0)+1))/(1/10*100)&gt;105%,105%,112%-IF(F19="W1",0,IF(F19="W2",1,MATCH(F19,Sheet1!$A$2:$A$13,0)-MATCH(E19,Sheet1!$A$2:$A$13,0)+1))/(1/10*100))),IF((92%-(IF(OR(F19="w1",F19="w2"),1,MATCH(F19,Sheet1!$A$2:$A$13,0))-MATCH(E19,Sheet1!$A$2:$A$13,0))/(1/10*100))&lt;70%,70%,IF(92%-(IF(OR(F19="w1",F19="w2"),1,MATCH(F19,Sheet1!$A$2:$A$13,0))-MATCH(E19,Sheet1!$A$2:$A$13,0))/(1/10*100)&gt;105%,105%,92%-(IF(OR(F19="w1",F19="w2"),1,MATCH(F19,Sheet1!$A$2:$A$13,0))-MATCH(E19,Sheet1!$A$2:$A$13,0))/(1/10*100)))),IF(MID(D19,3,1)="+",IF(E19&lt;100,IF(112%-(E19-F19)/(1/IF(E19&lt;4,(40/E19),10)*100)&gt;105%,105%,IF(112%-(E19-F19)/(1/IF(E19&lt;4,(40/E19),10)*100)&lt;=72%,72%,112%-(E19-F19)/(1/IF(E19&lt;4,(40/E19),10)*100))),IF(112%-(E19-F19)/E19*10&gt;105%,105%,IF(112%-(E19-F19)/E19*10&lt;72%,72%,112%-(E19-F19)/E19*10))),IF(MID(D19,3,1)="-",IF(92%+((E19-F19)/(E19))*0.4&gt;105%,105%,IF(92%+((E19-F19)/(E19))*0.4&lt;72%,72%,92%+((E19-F19)/(E19))*0.4)),IF(OR(B19="BOTO",B19="NPI",B19="FF"),IF(102%+((E19-F19)/(E19))*0.4&gt;105%,105%,IF(102%+((E19-F19)/(E19))*0.4&lt;72%,72%,102%+((E19-F19)/(E19))*0.4)),""))))))</f>
        <v>1.05</v>
      </c>
      <c r="I19" s="11" t="s">
        <v>181</v>
      </c>
      <c r="J19" s="11"/>
      <c r="K19" s="11"/>
      <c r="M19" s="11" t="s">
        <v>181</v>
      </c>
      <c r="N19" s="11"/>
      <c r="O19" s="11"/>
      <c r="Q19" s="11">
        <f>[19]Diagnostic!$Q$6</f>
        <v>0</v>
      </c>
      <c r="R19" s="147" t="s">
        <v>180</v>
      </c>
      <c r="S19" s="11"/>
      <c r="U19" s="11" t="s">
        <v>181</v>
      </c>
      <c r="V19" s="11"/>
      <c r="W19" s="11"/>
      <c r="Y19" s="11">
        <v>3</v>
      </c>
      <c r="Z19" s="147" t="s">
        <v>180</v>
      </c>
      <c r="AA19" s="11"/>
      <c r="AC19" s="11" t="s">
        <v>181</v>
      </c>
      <c r="AD19" s="11"/>
      <c r="AE19" s="11"/>
      <c r="AG19" s="11" t="s">
        <v>181</v>
      </c>
      <c r="AH19" s="11"/>
      <c r="AI19" s="11"/>
      <c r="AK19" s="11" t="s">
        <v>181</v>
      </c>
      <c r="AL19" s="11"/>
      <c r="AM19" s="11"/>
      <c r="AO19" s="11">
        <v>0</v>
      </c>
      <c r="AP19" s="147" t="s">
        <v>180</v>
      </c>
      <c r="AQ19" s="11"/>
      <c r="AS19" s="11" t="s">
        <v>181</v>
      </c>
      <c r="AT19" s="11"/>
      <c r="AU19" s="11"/>
      <c r="AW19" s="11">
        <v>1</v>
      </c>
      <c r="AX19" s="147" t="s">
        <v>180</v>
      </c>
      <c r="AY19" s="11"/>
      <c r="BA19" s="11">
        <v>0</v>
      </c>
      <c r="BB19" s="147" t="s">
        <v>180</v>
      </c>
      <c r="BC19" s="11"/>
    </row>
    <row r="20" spans="1:55" x14ac:dyDescent="0.25">
      <c r="A20" s="215"/>
      <c r="B20" s="65" t="s">
        <v>104</v>
      </c>
      <c r="C20" s="13" t="s">
        <v>165</v>
      </c>
      <c r="D20" s="131" t="s">
        <v>142</v>
      </c>
      <c r="E20" s="15">
        <v>5</v>
      </c>
      <c r="F20" s="15">
        <f t="shared" si="0"/>
        <v>0.75</v>
      </c>
      <c r="G20" s="14">
        <f>IF(OR(F20="",F20="NA"),"",IF(OR(C20="time",LEFT(C20,3)="DAY"),IF(OR(C20="DAY2",C20="time"),IF((92%-(F20-E20)/(1/10*100))&lt;70%,70%,IF(92%-(F20-E20)/(1/10*100)&gt;105%,105%,92%-(F20-E20)/(1/10*100))),IF(COUNT(E20)=1,IF((112%-(F20-E20)/(1/10*100))&lt;70%,70%,IF(112%-(F20-E20)/(1/10*100)&gt;105%,105%,112%-(F20-E20)/(1/10*100))))),IF(LEFT(C20,5)="month",IF(C20="month1",IF((112%-IF(F20="W1",0,IF(F20="W2",1,MATCH(F20,Sheet1!$A$2:$A$13,0)-MATCH(E20,Sheet1!$A$2:$A$13,0)+1))/(1/10*100))&lt;70%,70%,IF(112%-IF(F20="W1",0,IF(F20="W2",1,MATCH(F20,Sheet1!$A$2:$A$13,0)-MATCH(E20,Sheet1!$A$2:$A$13,0)+1))/(1/10*100)&gt;105%,105%,112%-IF(F20="W1",0,IF(F20="W2",1,MATCH(F20,Sheet1!$A$2:$A$13,0)-MATCH(E20,Sheet1!$A$2:$A$13,0)+1))/(1/10*100))),IF((92%-(IF(OR(F20="w1",F20="w2"),1,MATCH(F20,Sheet1!$A$2:$A$13,0))-MATCH(E20,Sheet1!$A$2:$A$13,0))/(1/10*100))&lt;70%,70%,IF(92%-(IF(OR(F20="w1",F20="w2"),1,MATCH(F20,Sheet1!$A$2:$A$13,0))-MATCH(E20,Sheet1!$A$2:$A$13,0))/(1/10*100)&gt;105%,105%,92%-(IF(OR(F20="w1",F20="w2"),1,MATCH(F20,Sheet1!$A$2:$A$13,0))-MATCH(E20,Sheet1!$A$2:$A$13,0))/(1/10*100)))),IF(MID(D20,3,1)="+",IF(E20&lt;100,IF(112%-(E20-F20)/(1/IF(E20&lt;4,(40/E20),10)*100)&gt;105%,105%,IF(112%-(E20-F20)/(1/IF(E20&lt;4,(40/E20),10)*100)&lt;=72%,72%,112%-(E20-F20)/(1/IF(E20&lt;4,(40/E20),10)*100))),IF(112%-(E20-F20)/E20*10&gt;105%,105%,IF(112%-(E20-F20)/E20*10&lt;72%,72%,112%-(E20-F20)/E20*10))),IF(MID(D20,3,1)="-",IF(92%+((E20-F20)/(E20))*0.4&gt;105%,105%,IF(92%+((E20-F20)/(E20))*0.4&lt;72%,72%,92%+((E20-F20)/(E20))*0.4)),IF(OR(B20="BOTO",B20="NPI",B20="FF"),IF(102%+((E20-F20)/(E20))*0.4&gt;105%,105%,IF(102%+((E20-F20)/(E20))*0.4&lt;72%,72%,102%+((E20-F20)/(E20))*0.4)),""))))))</f>
        <v>1.05</v>
      </c>
      <c r="I20" s="11">
        <f>[20]PC!$P$6</f>
        <v>0</v>
      </c>
      <c r="J20" s="147" t="s">
        <v>180</v>
      </c>
      <c r="K20" s="11"/>
      <c r="M20" s="11">
        <f>[21]PC!$P$5</f>
        <v>3</v>
      </c>
      <c r="N20" s="147" t="s">
        <v>180</v>
      </c>
      <c r="O20" s="11"/>
      <c r="Q20" s="11" t="s">
        <v>181</v>
      </c>
      <c r="R20" s="11"/>
      <c r="S20" s="11"/>
      <c r="U20" s="11" t="s">
        <v>181</v>
      </c>
      <c r="V20" s="11"/>
      <c r="W20" s="11"/>
      <c r="Y20" s="11" t="s">
        <v>181</v>
      </c>
      <c r="Z20" s="11"/>
      <c r="AA20" s="11"/>
      <c r="AC20" s="11" t="s">
        <v>181</v>
      </c>
      <c r="AD20" s="11"/>
      <c r="AE20" s="11"/>
      <c r="AG20" s="11">
        <v>0</v>
      </c>
      <c r="AH20" s="147" t="s">
        <v>180</v>
      </c>
      <c r="AI20" s="11"/>
      <c r="AK20" s="11">
        <v>0</v>
      </c>
      <c r="AL20" s="147" t="s">
        <v>180</v>
      </c>
      <c r="AM20" s="11"/>
      <c r="AO20" s="11">
        <v>0.75</v>
      </c>
      <c r="AP20" s="147" t="s">
        <v>180</v>
      </c>
      <c r="AQ20" s="11"/>
      <c r="AS20" s="11" t="s">
        <v>181</v>
      </c>
      <c r="AT20" s="11"/>
      <c r="AU20" s="11"/>
      <c r="AW20" s="11" t="s">
        <v>181</v>
      </c>
      <c r="AX20" s="11"/>
      <c r="AY20" s="11"/>
      <c r="BA20" s="11" t="s">
        <v>181</v>
      </c>
      <c r="BB20" s="11"/>
      <c r="BC20" s="11"/>
    </row>
    <row r="21" spans="1:55" x14ac:dyDescent="0.25">
      <c r="A21" s="215"/>
      <c r="B21" s="65" t="s">
        <v>79</v>
      </c>
      <c r="C21" s="13" t="s">
        <v>165</v>
      </c>
      <c r="D21" s="131" t="s">
        <v>142</v>
      </c>
      <c r="E21" s="15">
        <v>5</v>
      </c>
      <c r="F21" s="156">
        <f t="shared" si="0"/>
        <v>1.6663636363636363</v>
      </c>
      <c r="G21" s="14">
        <f>IF(OR(F21="",F21="NA"),"",IF(OR(C21="time",LEFT(C21,3)="DAY"),IF(OR(C21="DAY2",C21="time"),IF((92%-(F21-E21)/(1/10*100))&lt;70%,70%,IF(92%-(F21-E21)/(1/10*100)&gt;105%,105%,92%-(F21-E21)/(1/10*100))),IF(COUNT(E21)=1,IF((112%-(F21-E21)/(1/10*100))&lt;70%,70%,IF(112%-(F21-E21)/(1/10*100)&gt;105%,105%,112%-(F21-E21)/(1/10*100))))),IF(LEFT(C21,5)="month",IF(C21="month1",IF((112%-IF(F21="W1",0,IF(F21="W2",1,MATCH(F21,Sheet1!$A$2:$A$13,0)-MATCH(E21,Sheet1!$A$2:$A$13,0)+1))/(1/10*100))&lt;70%,70%,IF(112%-IF(F21="W1",0,IF(F21="W2",1,MATCH(F21,Sheet1!$A$2:$A$13,0)-MATCH(E21,Sheet1!$A$2:$A$13,0)+1))/(1/10*100)&gt;105%,105%,112%-IF(F21="W1",0,IF(F21="W2",1,MATCH(F21,Sheet1!$A$2:$A$13,0)-MATCH(E21,Sheet1!$A$2:$A$13,0)+1))/(1/10*100))),IF((92%-(IF(OR(F21="w1",F21="w2"),1,MATCH(F21,Sheet1!$A$2:$A$13,0))-MATCH(E21,Sheet1!$A$2:$A$13,0))/(1/10*100))&lt;70%,70%,IF(92%-(IF(OR(F21="w1",F21="w2"),1,MATCH(F21,Sheet1!$A$2:$A$13,0))-MATCH(E21,Sheet1!$A$2:$A$13,0))/(1/10*100)&gt;105%,105%,92%-(IF(OR(F21="w1",F21="w2"),1,MATCH(F21,Sheet1!$A$2:$A$13,0))-MATCH(E21,Sheet1!$A$2:$A$13,0))/(1/10*100)))),IF(MID(D21,3,1)="+",IF(E21&lt;100,IF(112%-(E21-F21)/(1/IF(E21&lt;4,(40/E21),10)*100)&gt;105%,105%,IF(112%-(E21-F21)/(1/IF(E21&lt;4,(40/E21),10)*100)&lt;=72%,72%,112%-(E21-F21)/(1/IF(E21&lt;4,(40/E21),10)*100))),IF(112%-(E21-F21)/E21*10&gt;105%,105%,IF(112%-(E21-F21)/E21*10&lt;72%,72%,112%-(E21-F21)/E21*10))),IF(MID(D21,3,1)="-",IF(92%+((E21-F21)/(E21))*0.4&gt;105%,105%,IF(92%+((E21-F21)/(E21))*0.4&lt;72%,72%,92%+((E21-F21)/(E21))*0.4)),IF(OR(B21="BOTO",B21="NPI",B21="FF"),IF(102%+((E21-F21)/(E21))*0.4&gt;105%,105%,IF(102%+((E21-F21)/(E21))*0.4&lt;72%,72%,102%+((E21-F21)/(E21))*0.4)),""))))))</f>
        <v>1.05</v>
      </c>
      <c r="I21" s="11">
        <f>'[22]Printer&amp;Peripheral'!$P$5</f>
        <v>1</v>
      </c>
      <c r="J21" s="147" t="s">
        <v>180</v>
      </c>
      <c r="K21" s="11"/>
      <c r="M21" s="11">
        <f>'[23]Printer&amp;Peripheral'!$P$4</f>
        <v>0</v>
      </c>
      <c r="N21" s="147" t="s">
        <v>180</v>
      </c>
      <c r="O21" s="11"/>
      <c r="Q21" s="11">
        <f>'[24]Printer&amp;Peripheral'!$P$6</f>
        <v>2</v>
      </c>
      <c r="R21" s="147" t="s">
        <v>180</v>
      </c>
      <c r="S21" s="11"/>
      <c r="U21" s="11">
        <v>0</v>
      </c>
      <c r="V21" s="147" t="s">
        <v>180</v>
      </c>
      <c r="W21" s="11"/>
      <c r="Y21" s="11">
        <v>2</v>
      </c>
      <c r="Z21" s="147" t="s">
        <v>180</v>
      </c>
      <c r="AA21" s="11"/>
      <c r="AC21" s="11">
        <v>0</v>
      </c>
      <c r="AD21" s="147" t="s">
        <v>180</v>
      </c>
      <c r="AE21" s="11"/>
      <c r="AG21" s="11">
        <v>0</v>
      </c>
      <c r="AH21" s="147" t="s">
        <v>180</v>
      </c>
      <c r="AI21" s="11"/>
      <c r="AK21" s="11">
        <v>6</v>
      </c>
      <c r="AL21" s="147" t="s">
        <v>180</v>
      </c>
      <c r="AM21" s="11"/>
      <c r="AO21" s="11">
        <v>6.75</v>
      </c>
      <c r="AP21" s="147" t="s">
        <v>180</v>
      </c>
      <c r="AQ21" s="11"/>
      <c r="AS21" s="11" t="s">
        <v>181</v>
      </c>
      <c r="AT21" s="11"/>
      <c r="AU21" s="11"/>
      <c r="AW21" s="11">
        <v>0.25</v>
      </c>
      <c r="AX21" s="147" t="s">
        <v>180</v>
      </c>
      <c r="AY21" s="11"/>
      <c r="BA21" s="11">
        <v>0.33</v>
      </c>
      <c r="BB21" s="147" t="s">
        <v>180</v>
      </c>
      <c r="BC21" s="11"/>
    </row>
    <row r="22" spans="1:55" x14ac:dyDescent="0.25">
      <c r="A22" s="215"/>
      <c r="B22" s="65" t="s">
        <v>105</v>
      </c>
      <c r="C22" s="13" t="s">
        <v>165</v>
      </c>
      <c r="D22" s="131" t="s">
        <v>142</v>
      </c>
      <c r="E22" s="15">
        <v>2</v>
      </c>
      <c r="F22" s="15">
        <f t="shared" si="0"/>
        <v>0</v>
      </c>
      <c r="G22" s="14">
        <f>IF(OR(F22="",F22="NA"),"",IF(OR(C22="time",LEFT(C22,3)="DAY"),IF(OR(C22="DAY2",C22="time"),IF((92%-(F22-E22)/(1/10*100))&lt;70%,70%,IF(92%-(F22-E22)/(1/10*100)&gt;105%,105%,92%-(F22-E22)/(1/10*100))),IF(COUNT(E22)=1,IF((112%-(F22-E22)/(1/10*100))&lt;70%,70%,IF(112%-(F22-E22)/(1/10*100)&gt;105%,105%,112%-(F22-E22)/(1/10*100))))),IF(LEFT(C22,5)="month",IF(C22="month1",IF((112%-IF(F22="W1",0,IF(F22="W2",1,MATCH(F22,Sheet1!$A$2:$A$13,0)-MATCH(E22,Sheet1!$A$2:$A$13,0)+1))/(1/10*100))&lt;70%,70%,IF(112%-IF(F22="W1",0,IF(F22="W2",1,MATCH(F22,Sheet1!$A$2:$A$13,0)-MATCH(E22,Sheet1!$A$2:$A$13,0)+1))/(1/10*100)&gt;105%,105%,112%-IF(F22="W1",0,IF(F22="W2",1,MATCH(F22,Sheet1!$A$2:$A$13,0)-MATCH(E22,Sheet1!$A$2:$A$13,0)+1))/(1/10*100))),IF((92%-(IF(OR(F22="w1",F22="w2"),1,MATCH(F22,Sheet1!$A$2:$A$13,0))-MATCH(E22,Sheet1!$A$2:$A$13,0))/(1/10*100))&lt;70%,70%,IF(92%-(IF(OR(F22="w1",F22="w2"),1,MATCH(F22,Sheet1!$A$2:$A$13,0))-MATCH(E22,Sheet1!$A$2:$A$13,0))/(1/10*100)&gt;105%,105%,92%-(IF(OR(F22="w1",F22="w2"),1,MATCH(F22,Sheet1!$A$2:$A$13,0))-MATCH(E22,Sheet1!$A$2:$A$13,0))/(1/10*100)))),IF(MID(D22,3,1)="+",IF(E22&lt;100,IF(112%-(E22-F22)/(1/IF(E22&lt;4,(40/E22),10)*100)&gt;105%,105%,IF(112%-(E22-F22)/(1/IF(E22&lt;4,(40/E22),10)*100)&lt;=72%,72%,112%-(E22-F22)/(1/IF(E22&lt;4,(40/E22),10)*100))),IF(112%-(E22-F22)/E22*10&gt;105%,105%,IF(112%-(E22-F22)/E22*10&lt;72%,72%,112%-(E22-F22)/E22*10))),IF(MID(D22,3,1)="-",IF(92%+((E22-F22)/(E22))*0.4&gt;105%,105%,IF(92%+((E22-F22)/(E22))*0.4&lt;72%,72%,92%+((E22-F22)/(E22))*0.4)),IF(OR(B22="BOTO",B22="NPI",B22="FF"),IF(102%+((E22-F22)/(E22))*0.4&gt;105%,105%,IF(102%+((E22-F22)/(E22))*0.4&lt;72%,72%,102%+((E22-F22)/(E22))*0.4)),""))))))</f>
        <v>1.05</v>
      </c>
      <c r="I22" s="11" t="s">
        <v>181</v>
      </c>
      <c r="J22" s="11"/>
      <c r="K22" s="11"/>
      <c r="M22" s="11" t="s">
        <v>181</v>
      </c>
      <c r="N22" s="11"/>
      <c r="O22" s="11"/>
      <c r="Q22" s="11" t="s">
        <v>181</v>
      </c>
      <c r="R22" s="11"/>
      <c r="S22" s="11"/>
      <c r="U22" s="11" t="s">
        <v>181</v>
      </c>
      <c r="V22" s="11"/>
      <c r="W22" s="11"/>
      <c r="Y22" s="11" t="s">
        <v>181</v>
      </c>
      <c r="Z22" s="11"/>
      <c r="AA22" s="11"/>
      <c r="AC22" s="11" t="s">
        <v>181</v>
      </c>
      <c r="AD22" s="11"/>
      <c r="AE22" s="11"/>
      <c r="AG22" s="11">
        <v>0</v>
      </c>
      <c r="AH22" s="147" t="s">
        <v>180</v>
      </c>
      <c r="AI22" s="11"/>
      <c r="AK22" s="11" t="s">
        <v>181</v>
      </c>
      <c r="AL22" s="11"/>
      <c r="AM22" s="11"/>
      <c r="AO22" s="11">
        <v>0</v>
      </c>
      <c r="AP22" s="147" t="s">
        <v>180</v>
      </c>
      <c r="AQ22" s="11"/>
      <c r="AS22" s="11">
        <v>0</v>
      </c>
      <c r="AT22" s="147" t="s">
        <v>180</v>
      </c>
      <c r="AU22" s="11"/>
      <c r="AW22" s="11" t="s">
        <v>181</v>
      </c>
      <c r="AX22" s="11"/>
      <c r="AY22" s="11"/>
      <c r="BA22" s="11" t="s">
        <v>181</v>
      </c>
      <c r="BB22" s="11"/>
      <c r="BC22" s="11"/>
    </row>
    <row r="23" spans="1:55" x14ac:dyDescent="0.25">
      <c r="A23" s="215"/>
      <c r="B23" s="65" t="s">
        <v>106</v>
      </c>
      <c r="C23" s="13" t="s">
        <v>165</v>
      </c>
      <c r="D23" s="131" t="s">
        <v>142</v>
      </c>
      <c r="E23" s="15">
        <v>2</v>
      </c>
      <c r="F23" s="156">
        <f t="shared" si="0"/>
        <v>2.25</v>
      </c>
      <c r="G23" s="14">
        <f>IF(OR(F23="",F23="NA"),"",IF(OR(C23="time",LEFT(C23,3)="DAY"),IF(OR(C23="DAY2",C23="time"),IF((92%-(F23-E23)/(1/10*100))&lt;70%,70%,IF(92%-(F23-E23)/(1/10*100)&gt;105%,105%,92%-(F23-E23)/(1/10*100))),IF(COUNT(E23)=1,IF((112%-(F23-E23)/(1/10*100))&lt;70%,70%,IF(112%-(F23-E23)/(1/10*100)&gt;105%,105%,112%-(F23-E23)/(1/10*100))))),IF(LEFT(C23,5)="month",IF(C23="month1",IF((112%-IF(F23="W1",0,IF(F23="W2",1,MATCH(F23,Sheet1!$A$2:$A$13,0)-MATCH(E23,Sheet1!$A$2:$A$13,0)+1))/(1/10*100))&lt;70%,70%,IF(112%-IF(F23="W1",0,IF(F23="W2",1,MATCH(F23,Sheet1!$A$2:$A$13,0)-MATCH(E23,Sheet1!$A$2:$A$13,0)+1))/(1/10*100)&gt;105%,105%,112%-IF(F23="W1",0,IF(F23="W2",1,MATCH(F23,Sheet1!$A$2:$A$13,0)-MATCH(E23,Sheet1!$A$2:$A$13,0)+1))/(1/10*100))),IF((92%-(IF(OR(F23="w1",F23="w2"),1,MATCH(F23,Sheet1!$A$2:$A$13,0))-MATCH(E23,Sheet1!$A$2:$A$13,0))/(1/10*100))&lt;70%,70%,IF(92%-(IF(OR(F23="w1",F23="w2"),1,MATCH(F23,Sheet1!$A$2:$A$13,0))-MATCH(E23,Sheet1!$A$2:$A$13,0))/(1/10*100)&gt;105%,105%,92%-(IF(OR(F23="w1",F23="w2"),1,MATCH(F23,Sheet1!$A$2:$A$13,0))-MATCH(E23,Sheet1!$A$2:$A$13,0))/(1/10*100)))),IF(MID(D23,3,1)="+",IF(E23&lt;100,IF(112%-(E23-F23)/(1/IF(E23&lt;4,(40/E23),10)*100)&gt;105%,105%,IF(112%-(E23-F23)/(1/IF(E23&lt;4,(40/E23),10)*100)&lt;=72%,72%,112%-(E23-F23)/(1/IF(E23&lt;4,(40/E23),10)*100))),IF(112%-(E23-F23)/E23*10&gt;105%,105%,IF(112%-(E23-F23)/E23*10&lt;72%,72%,112%-(E23-F23)/E23*10))),IF(MID(D23,3,1)="-",IF(92%+((E23-F23)/(E23))*0.4&gt;105%,105%,IF(92%+((E23-F23)/(E23))*0.4&lt;72%,72%,92%+((E23-F23)/(E23))*0.4)),IF(OR(B23="BOTO",B23="NPI",B23="FF"),IF(102%+((E23-F23)/(E23))*0.4&gt;105%,105%,IF(102%+((E23-F23)/(E23))*0.4&lt;72%,72%,102%+((E23-F23)/(E23))*0.4)),""))))))</f>
        <v>1.05</v>
      </c>
      <c r="I23" s="11">
        <f>[25]Jaringan!$P$5</f>
        <v>2</v>
      </c>
      <c r="J23" s="147" t="s">
        <v>180</v>
      </c>
      <c r="K23" s="11"/>
      <c r="M23" s="11" t="s">
        <v>181</v>
      </c>
      <c r="N23" s="11"/>
      <c r="O23" s="11"/>
      <c r="Q23" s="11" t="s">
        <v>181</v>
      </c>
      <c r="R23" s="11"/>
      <c r="S23" s="11"/>
      <c r="U23" s="11" t="s">
        <v>181</v>
      </c>
      <c r="V23" s="11"/>
      <c r="W23" s="11"/>
      <c r="Y23" s="11">
        <v>2</v>
      </c>
      <c r="Z23" s="147" t="s">
        <v>180</v>
      </c>
      <c r="AA23" s="11"/>
      <c r="AC23" s="11" t="s">
        <v>181</v>
      </c>
      <c r="AD23" s="11"/>
      <c r="AE23" s="11"/>
      <c r="AG23" s="11">
        <v>0</v>
      </c>
      <c r="AH23" s="147" t="s">
        <v>180</v>
      </c>
      <c r="AI23" s="11"/>
      <c r="AK23" s="11" t="s">
        <v>181</v>
      </c>
      <c r="AL23" s="11"/>
      <c r="AM23" s="11"/>
      <c r="AO23" s="11" t="s">
        <v>181</v>
      </c>
      <c r="AP23" s="11"/>
      <c r="AQ23" s="11"/>
      <c r="AS23" s="11" t="s">
        <v>181</v>
      </c>
      <c r="AT23" s="11"/>
      <c r="AU23" s="11"/>
      <c r="AW23" s="11">
        <v>5</v>
      </c>
      <c r="AX23" s="147" t="s">
        <v>180</v>
      </c>
      <c r="AY23" s="11"/>
      <c r="BA23" s="11" t="s">
        <v>181</v>
      </c>
      <c r="BB23" s="11"/>
      <c r="BC23" s="11"/>
    </row>
    <row r="24" spans="1:55" x14ac:dyDescent="0.25">
      <c r="A24" s="222"/>
      <c r="B24" s="12" t="s">
        <v>107</v>
      </c>
      <c r="C24" s="13" t="s">
        <v>165</v>
      </c>
      <c r="D24" s="131" t="s">
        <v>142</v>
      </c>
      <c r="E24" s="15">
        <v>3</v>
      </c>
      <c r="F24" s="156">
        <f t="shared" si="0"/>
        <v>0.5</v>
      </c>
      <c r="G24" s="14">
        <f>IF(OR(F24="",F24="NA"),"",IF(OR(C24="time",LEFT(C24,3)="DAY"),IF(OR(C24="DAY2",C24="time"),IF((92%-(F24-E24)/(1/10*100))&lt;70%,70%,IF(92%-(F24-E24)/(1/10*100)&gt;105%,105%,92%-(F24-E24)/(1/10*100))),IF(COUNT(E24)=1,IF((112%-(F24-E24)/(1/10*100))&lt;70%,70%,IF(112%-(F24-E24)/(1/10*100)&gt;105%,105%,112%-(F24-E24)/(1/10*100))))),IF(LEFT(C24,5)="month",IF(C24="month1",IF((112%-IF(F24="W1",0,IF(F24="W2",1,MATCH(F24,Sheet1!$A$2:$A$13,0)-MATCH(E24,Sheet1!$A$2:$A$13,0)+1))/(1/10*100))&lt;70%,70%,IF(112%-IF(F24="W1",0,IF(F24="W2",1,MATCH(F24,Sheet1!$A$2:$A$13,0)-MATCH(E24,Sheet1!$A$2:$A$13,0)+1))/(1/10*100)&gt;105%,105%,112%-IF(F24="W1",0,IF(F24="W2",1,MATCH(F24,Sheet1!$A$2:$A$13,0)-MATCH(E24,Sheet1!$A$2:$A$13,0)+1))/(1/10*100))),IF((92%-(IF(OR(F24="w1",F24="w2"),1,MATCH(F24,Sheet1!$A$2:$A$13,0))-MATCH(E24,Sheet1!$A$2:$A$13,0))/(1/10*100))&lt;70%,70%,IF(92%-(IF(OR(F24="w1",F24="w2"),1,MATCH(F24,Sheet1!$A$2:$A$13,0))-MATCH(E24,Sheet1!$A$2:$A$13,0))/(1/10*100)&gt;105%,105%,92%-(IF(OR(F24="w1",F24="w2"),1,MATCH(F24,Sheet1!$A$2:$A$13,0))-MATCH(E24,Sheet1!$A$2:$A$13,0))/(1/10*100)))),IF(MID(D24,3,1)="+",IF(E24&lt;100,IF(112%-(E24-F24)/(1/IF(E24&lt;4,(40/E24),10)*100)&gt;105%,105%,IF(112%-(E24-F24)/(1/IF(E24&lt;4,(40/E24),10)*100)&lt;=72%,72%,112%-(E24-F24)/(1/IF(E24&lt;4,(40/E24),10)*100))),IF(112%-(E24-F24)/E24*10&gt;105%,105%,IF(112%-(E24-F24)/E24*10&lt;72%,72%,112%-(E24-F24)/E24*10))),IF(MID(D24,3,1)="-",IF(92%+((E24-F24)/(E24))*0.4&gt;105%,105%,IF(92%+((E24-F24)/(E24))*0.4&lt;72%,72%,92%+((E24-F24)/(E24))*0.4)),IF(OR(B24="BOTO",B24="NPI",B24="FF"),IF(102%+((E24-F24)/(E24))*0.4&gt;105%,105%,IF(102%+((E24-F24)/(E24))*0.4&lt;72%,72%,102%+((E24-F24)/(E24))*0.4)),""))))))</f>
        <v>1.05</v>
      </c>
      <c r="I24" s="11" t="s">
        <v>181</v>
      </c>
      <c r="J24" s="11"/>
      <c r="K24" s="11"/>
      <c r="M24" s="11" t="s">
        <v>181</v>
      </c>
      <c r="N24" s="11"/>
      <c r="O24" s="11"/>
      <c r="Q24" s="11" t="s">
        <v>181</v>
      </c>
      <c r="R24" s="11"/>
      <c r="S24" s="11"/>
      <c r="U24" s="11">
        <v>2</v>
      </c>
      <c r="V24" s="147" t="s">
        <v>180</v>
      </c>
      <c r="W24" s="11"/>
      <c r="Y24" s="11" t="s">
        <v>181</v>
      </c>
      <c r="Z24" s="11"/>
      <c r="AA24" s="11"/>
      <c r="AC24" s="11" t="s">
        <v>181</v>
      </c>
      <c r="AD24" s="11"/>
      <c r="AE24" s="11"/>
      <c r="AG24" s="11" t="s">
        <v>181</v>
      </c>
      <c r="AH24" s="11"/>
      <c r="AI24" s="11"/>
      <c r="AK24" s="11">
        <v>0</v>
      </c>
      <c r="AL24" s="147" t="s">
        <v>180</v>
      </c>
      <c r="AM24" s="11"/>
      <c r="AO24" s="11">
        <v>0</v>
      </c>
      <c r="AP24" s="147" t="s">
        <v>180</v>
      </c>
      <c r="AQ24" s="11"/>
      <c r="AS24" s="11">
        <v>0</v>
      </c>
      <c r="AT24" s="147" t="s">
        <v>180</v>
      </c>
      <c r="AU24" s="11"/>
      <c r="AW24" s="11" t="s">
        <v>181</v>
      </c>
      <c r="AX24" s="11"/>
      <c r="AY24" s="11"/>
      <c r="BA24" s="11" t="s">
        <v>181</v>
      </c>
      <c r="BB24" s="11"/>
      <c r="BC24" s="11"/>
    </row>
    <row r="25" spans="1:55" ht="15.75" thickBot="1" x14ac:dyDescent="0.3">
      <c r="A25" s="223"/>
      <c r="B25" s="31" t="s">
        <v>108</v>
      </c>
      <c r="C25" s="113" t="s">
        <v>23</v>
      </c>
      <c r="D25" s="110" t="s">
        <v>164</v>
      </c>
      <c r="E25" s="111">
        <v>95</v>
      </c>
      <c r="F25" s="152">
        <f t="shared" si="0"/>
        <v>94.766666666666666</v>
      </c>
      <c r="G25" s="35">
        <f>IF(OR(F25="",F25="NA"),"",IF(OR(C25="time",LEFT(C25,3)="DAY"),IF(OR(C25="DAY2",C25="time"),IF((92%-(F25-E25)/(1/10*100))&lt;70%,70%,IF(92%-(F25-E25)/(1/10*100)&gt;105%,105%,92%-(F25-E25)/(1/10*100))),IF(COUNT(E25)=1,IF((112%-(F25-E25)/(1/10*100))&lt;70%,70%,IF(112%-(F25-E25)/(1/10*100)&gt;105%,105%,112%-(F25-E25)/(1/10*100))))),IF(LEFT(C25,5)="month",IF(C25="month1",IF((112%-IF(F25="W1",0,IF(F25="W2",1,MATCH(F25,Sheet1!$A$2:$A$13,0)-MATCH(E25,Sheet1!$A$2:$A$13,0)+1))/(1/10*100))&lt;70%,70%,IF(112%-IF(F25="W1",0,IF(F25="W2",1,MATCH(F25,Sheet1!$A$2:$A$13,0)-MATCH(E25,Sheet1!$A$2:$A$13,0)+1))/(1/10*100)&gt;105%,105%,112%-IF(F25="W1",0,IF(F25="W2",1,MATCH(F25,Sheet1!$A$2:$A$13,0)-MATCH(E25,Sheet1!$A$2:$A$13,0)+1))/(1/10*100))),IF((92%-(IF(OR(F25="w1",F25="w2"),1,MATCH(F25,Sheet1!$A$2:$A$13,0))-1)/(1/10*100))&lt;70%,70%,IF(92%-(IF(OR(F25="w1",F25="w2"),1,MATCH(F25,Sheet1!$A$2:$A$13,0))-1)/(1/10*100)&gt;105%,105%,92%-(IF(OR(F25="w1",F25="w2"),1,MATCH(F25,Sheet1!$A$2:$A$13,0))-1)/(1/10*100)))),IF(MID(D25,3,1)="+",IF(E25&lt;100,IF(112%-(E25-F25)/(1/IF(E25&lt;4,(40/E25),10)*100)&gt;105%,105%,IF(112%-(E25-F25)/(1/IF(E25&lt;4,(40/E25),10)*100)&lt;=72%,72%,112%-(E25-F25)/(1/IF(E25&lt;4,(40/E25),10)*100))),IF(112%-(E25-F25)/E25*10&gt;105%,105%,IF(112%-(E25-F25)/E25*10&lt;72%,72%,112%-(E25-F25)/E25*10))),IF(MID(D25,3,1)="-",IF(92%+((E25-F25)/(E25))*0.4&gt;105%,105%,IF(92%+((E25-F25)/(E25))*0.4&lt;72%,72%,92%+((E25-F25)/(E25))*0.4)),IF(OR(B25="BOTO",B25="NPI",B25="FF"),IF(102%+((E25-F25)/(E25))*0.4&gt;105%,105%,IF(102%+((E25-F25)/(E25))*0.4&lt;72%,72%,102%+((E25-F25)/(E25))*0.4)),""))))))</f>
        <v>1.05</v>
      </c>
      <c r="I25" s="11">
        <f>87.5</f>
        <v>87.5</v>
      </c>
      <c r="J25" s="147" t="s">
        <v>180</v>
      </c>
      <c r="K25" s="11"/>
      <c r="M25" s="151">
        <v>87.5</v>
      </c>
      <c r="N25" s="147" t="s">
        <v>180</v>
      </c>
      <c r="O25" s="11"/>
      <c r="Q25" s="11">
        <v>87.5</v>
      </c>
      <c r="R25" s="147" t="s">
        <v>180</v>
      </c>
      <c r="S25" s="11"/>
      <c r="U25" s="11">
        <v>87.5</v>
      </c>
      <c r="V25" s="147" t="s">
        <v>180</v>
      </c>
      <c r="W25" s="11"/>
      <c r="Y25" s="11">
        <v>87.5</v>
      </c>
      <c r="Z25" s="147" t="s">
        <v>180</v>
      </c>
      <c r="AA25" s="11"/>
      <c r="AC25" s="11">
        <v>99.7</v>
      </c>
      <c r="AD25" s="147" t="s">
        <v>180</v>
      </c>
      <c r="AE25" s="11"/>
      <c r="AG25" s="11">
        <v>100</v>
      </c>
      <c r="AH25" s="147" t="s">
        <v>180</v>
      </c>
      <c r="AI25" s="11"/>
      <c r="AK25" s="11">
        <v>100</v>
      </c>
      <c r="AL25" s="147" t="s">
        <v>180</v>
      </c>
      <c r="AM25" s="11"/>
      <c r="AO25" s="11">
        <v>100</v>
      </c>
      <c r="AP25" s="147" t="s">
        <v>180</v>
      </c>
      <c r="AQ25" s="11"/>
      <c r="AS25" s="11">
        <v>100</v>
      </c>
      <c r="AT25" s="147" t="s">
        <v>180</v>
      </c>
      <c r="AU25" s="11"/>
      <c r="AW25" s="11">
        <v>100</v>
      </c>
      <c r="AX25" s="147" t="s">
        <v>180</v>
      </c>
      <c r="AY25" s="11"/>
      <c r="BA25" s="11">
        <v>100</v>
      </c>
      <c r="BB25" s="147" t="s">
        <v>180</v>
      </c>
      <c r="BC25" s="11"/>
    </row>
    <row r="26" spans="1:55" x14ac:dyDescent="0.25">
      <c r="A26" s="224" t="s">
        <v>55</v>
      </c>
      <c r="B26" s="38" t="s">
        <v>82</v>
      </c>
      <c r="C26" s="36" t="s">
        <v>24</v>
      </c>
      <c r="D26" s="9" t="s">
        <v>144</v>
      </c>
      <c r="E26" s="16">
        <v>5</v>
      </c>
      <c r="F26" s="16">
        <f t="shared" si="0"/>
        <v>0</v>
      </c>
      <c r="G26" s="107">
        <f>IF(OR(F26="",F26="NA"),"",IF(OR(C26="time",LEFT(C26,3)="DAY"),IF(OR(C26="DAY2",C26="time"),IF((92%-(F26-E26)/(1/10*100))&lt;70%,70%,IF(92%-(F26-E26)/(1/10*100)&gt;105%,105%,92%-(F26-E26)/(1/10*100))),IF(COUNT(E26)=1,IF((112%-(F26-E26)/(1/10*100))&lt;70%,70%,IF(112%-(F26-E26)/(1/10*100)&gt;105%,105%,112%-(F26-E26)/(1/10*100))))),IF(LEFT(C26,5)="month",IF(C26="month1",IF((112%-IF(F26="W1",0,IF(F26="W2",1,MATCH(F26,Sheet1!$A$2:$A$13,0)-MATCH(E26,Sheet1!$A$2:$A$13,0)+1))/(1/10*100))&lt;70%,70%,IF(112%-IF(F26="W1",0,IF(F26="W2",1,MATCH(F26,Sheet1!$A$2:$A$13,0)-MATCH(E26,Sheet1!$A$2:$A$13,0)+1))/(1/10*100)&gt;105%,105%,112%-IF(F26="W1",0,IF(F26="W2",1,MATCH(F26,Sheet1!$A$2:$A$13,0)-MATCH(E26,Sheet1!$A$2:$A$13,0)+1))/(1/10*100))),IF((92%-(IF(OR(F26="w1",F26="w2"),1,MATCH(F26,Sheet1!$A$2:$A$13,0))-1)/(1/10*100))&lt;70%,70%,IF(92%-(IF(OR(F26="w1",F26="w2"),1,MATCH(F26,Sheet1!$A$2:$A$13,0))-1)/(1/10*100)&gt;105%,105%,92%-(IF(OR(F26="w1",F26="w2"),1,MATCH(F26,Sheet1!$A$2:$A$13,0))-1)/(1/10*100)))),IF(MID(D26,3,1)="+",IF(E26&lt;100,IF(112%-(E26-F26)/(1/IF(E26&lt;4,(40/E26),10)*100)&gt;105%,105%,IF(112%-(E26-F26)/(1/IF(E26&lt;4,(40/E26),10)*100)&lt;=72%,72%,112%-(E26-F26)/(1/IF(E26&lt;4,(40/E26),10)*100))),IF(112%-(E26-F26)/E26*10&gt;105%,105%,IF(112%-(E26-F26)/E26*10&lt;72%,72%,112%-(E26-F26)/E26*10))),IF(MID(D26,3,1)="-",IF(92%+((E26-F26)/(E26))*0.4&gt;105%,105%,IF(92%+((E26-F26)/(E26))*0.4&lt;72%,72%,92%+((E26-F26)/(E26))*0.4)),IF(OR(B26="BOTO",B26="NPI",B26="FF"),IF(102%+((E26-F26)/(E26))*0.4&gt;105%,105%,IF(102%+((E26-F26)/(E26))*0.4&lt;72%,72%,102%+((E26-F26)/(E26))*0.4)),""))))))</f>
        <v>0.72</v>
      </c>
      <c r="I26" s="11">
        <v>0</v>
      </c>
      <c r="J26" s="11"/>
      <c r="K26" s="11"/>
      <c r="M26" s="11">
        <v>0</v>
      </c>
      <c r="N26" s="11"/>
      <c r="O26" s="11"/>
      <c r="Q26" s="11">
        <v>0</v>
      </c>
      <c r="R26" s="11"/>
      <c r="S26" s="11"/>
      <c r="U26" s="11">
        <v>0</v>
      </c>
      <c r="V26" s="147"/>
      <c r="W26" s="11"/>
      <c r="Y26" s="11">
        <v>0</v>
      </c>
      <c r="Z26" s="11"/>
      <c r="AA26" s="11"/>
      <c r="AC26" s="11">
        <v>0</v>
      </c>
      <c r="AD26" s="11"/>
      <c r="AE26" s="11"/>
      <c r="AG26" s="11">
        <v>0</v>
      </c>
      <c r="AH26" s="11"/>
      <c r="AI26" s="11"/>
      <c r="AK26" s="11">
        <v>0</v>
      </c>
      <c r="AL26" s="11"/>
      <c r="AM26" s="11"/>
      <c r="AO26" s="11">
        <v>0</v>
      </c>
      <c r="AP26" s="11"/>
      <c r="AQ26" s="11"/>
      <c r="AS26" s="11">
        <v>0</v>
      </c>
      <c r="AT26" s="11"/>
      <c r="AU26" s="11"/>
      <c r="AW26" s="11">
        <v>0</v>
      </c>
      <c r="AX26" s="11"/>
      <c r="AY26" s="11"/>
      <c r="BA26" s="11">
        <v>0</v>
      </c>
      <c r="BB26" s="11"/>
      <c r="BC26" s="11"/>
    </row>
    <row r="27" spans="1:55" ht="15.75" thickBot="1" x14ac:dyDescent="0.3">
      <c r="A27" s="225"/>
      <c r="B27" s="108" t="s">
        <v>83</v>
      </c>
      <c r="C27" s="109" t="s">
        <v>24</v>
      </c>
      <c r="D27" s="110" t="s">
        <v>144</v>
      </c>
      <c r="E27" s="111">
        <v>1</v>
      </c>
      <c r="F27" s="111">
        <f t="shared" si="0"/>
        <v>1</v>
      </c>
      <c r="G27" s="112">
        <f>IF(OR(F27="",F27="NA"),"",IF(OR(C27="time",LEFT(C27,3)="DAY"),IF(OR(C27="DAY2",C27="time"),IF((92%-(F27-E27)/(1/10*100))&lt;70%,70%,IF(92%-(F27-E27)/(1/10*100)&gt;105%,105%,92%-(F27-E27)/(1/10*100))),IF(COUNT(E27)=1,IF((112%-(F27-E27)/(1/10*100))&lt;70%,70%,IF(112%-(F27-E27)/(1/10*100)&gt;105%,105%,112%-(F27-E27)/(1/10*100))))),IF(LEFT(C27,5)="month",IF(C27="month1",IF((112%-IF(F27="W1",0,IF(F27="W2",1,MATCH(F27,Sheet1!$A$2:$A$13,0)-MATCH(E27,Sheet1!$A$2:$A$13,0)+1))/(1/10*100))&lt;70%,70%,IF(112%-IF(F27="W1",0,IF(F27="W2",1,MATCH(F27,Sheet1!$A$2:$A$13,0)-MATCH(E27,Sheet1!$A$2:$A$13,0)+1))/(1/10*100)&gt;105%,105%,112%-IF(F27="W1",0,IF(F27="W2",1,MATCH(F27,Sheet1!$A$2:$A$13,0)-MATCH(E27,Sheet1!$A$2:$A$13,0)+1))/(1/10*100))),IF((92%-(IF(OR(F27="w1",F27="w2"),1,MATCH(F27,Sheet1!$A$2:$A$13,0))-1)/(1/10*100))&lt;70%,70%,IF(92%-(IF(OR(F27="w1",F27="w2"),1,MATCH(F27,Sheet1!$A$2:$A$13,0))-1)/(1/10*100)&gt;105%,105%,92%-(IF(OR(F27="w1",F27="w2"),1,MATCH(F27,Sheet1!$A$2:$A$13,0))-1)/(1/10*100)))),IF(MID(D27,3,1)="+",IF(E27&lt;100,IF(112%-(E27-F27)/(1/IF(E27&lt;4,(40/E27),10)*100)&gt;105%,105%,IF(112%-(E27-F27)/(1/IF(E27&lt;4,(40/E27),10)*100)&lt;=72%,72%,112%-(E27-F27)/(1/IF(E27&lt;4,(40/E27),10)*100))),IF(112%-(E27-F27)/E27*10&gt;105%,105%,IF(112%-(E27-F27)/E27*10&lt;72%,72%,112%-(E27-F27)/E27*10))),IF(MID(D27,3,1)="-",IF(92%+((E27-F27)/(E27))*0.4&gt;105%,105%,IF(92%+((E27-F27)/(E27))*0.4&lt;72%,72%,92%+((E27-F27)/(E27))*0.4)),IF(OR(B27="BOTO",B27="NPI",B27="FF"),IF(102%+((E27-F27)/(E27))*0.4&gt;105%,105%,IF(102%+((E27-F27)/(E27))*0.4&lt;72%,72%,102%+((E27-F27)/(E27))*0.4)),""))))))</f>
        <v>1.05</v>
      </c>
      <c r="I27" s="11" t="s">
        <v>181</v>
      </c>
      <c r="J27" s="11"/>
      <c r="K27" s="11"/>
      <c r="M27" s="11" t="s">
        <v>181</v>
      </c>
      <c r="N27" s="11"/>
      <c r="O27" s="11"/>
      <c r="Q27" s="11" t="s">
        <v>181</v>
      </c>
      <c r="R27" s="11"/>
      <c r="S27" s="11"/>
      <c r="U27" s="11" t="s">
        <v>181</v>
      </c>
      <c r="V27" s="11"/>
      <c r="W27" s="11"/>
      <c r="Y27" s="11" t="s">
        <v>181</v>
      </c>
      <c r="Z27" s="11"/>
      <c r="AA27" s="11"/>
      <c r="AC27" s="11" t="s">
        <v>181</v>
      </c>
      <c r="AD27" s="11"/>
      <c r="AE27" s="11"/>
      <c r="AG27" s="11" t="s">
        <v>181</v>
      </c>
      <c r="AH27" s="11"/>
      <c r="AI27" s="11"/>
      <c r="AK27" s="11" t="s">
        <v>181</v>
      </c>
      <c r="AL27" s="11"/>
      <c r="AM27" s="11"/>
      <c r="AO27" s="11" t="s">
        <v>181</v>
      </c>
      <c r="AP27" s="11"/>
      <c r="AQ27" s="11"/>
      <c r="AS27" s="11">
        <v>1</v>
      </c>
      <c r="AT27" s="147" t="s">
        <v>180</v>
      </c>
      <c r="AU27" s="11"/>
      <c r="AW27" s="11" t="s">
        <v>181</v>
      </c>
      <c r="AX27" s="11"/>
      <c r="AY27" s="11"/>
      <c r="BA27" s="11" t="s">
        <v>181</v>
      </c>
      <c r="BB27" s="11"/>
      <c r="BC27" s="11"/>
    </row>
    <row r="28" spans="1:55" x14ac:dyDescent="0.25">
      <c r="A28" s="1"/>
      <c r="B28" s="2"/>
      <c r="C28" s="2"/>
      <c r="D28" s="2"/>
      <c r="E28" s="2"/>
      <c r="F28" s="2"/>
      <c r="G28" s="3"/>
    </row>
    <row r="29" spans="1:55" ht="15.75" thickBot="1" x14ac:dyDescent="0.3">
      <c r="A29" s="1"/>
      <c r="B29" s="2"/>
      <c r="C29" s="2"/>
      <c r="D29" s="2"/>
      <c r="E29" s="2"/>
      <c r="F29" s="2"/>
      <c r="G29" s="3"/>
    </row>
    <row r="30" spans="1:55" ht="15.75" thickBot="1" x14ac:dyDescent="0.3">
      <c r="A30" s="210" t="s">
        <v>25</v>
      </c>
      <c r="B30" s="211"/>
      <c r="C30" s="211"/>
      <c r="D30" s="211"/>
      <c r="E30" s="211"/>
      <c r="F30" s="212"/>
      <c r="G30" s="3"/>
    </row>
    <row r="31" spans="1:55" ht="30" customHeight="1" thickBot="1" x14ac:dyDescent="0.3">
      <c r="A31" s="4" t="s">
        <v>15</v>
      </c>
      <c r="B31" s="40" t="s">
        <v>52</v>
      </c>
      <c r="C31" s="104" t="s">
        <v>53</v>
      </c>
      <c r="D31" s="104" t="s">
        <v>54</v>
      </c>
      <c r="E31" s="192" t="s">
        <v>55</v>
      </c>
      <c r="F31" s="193"/>
      <c r="G31" s="3"/>
    </row>
    <row r="32" spans="1:55" x14ac:dyDescent="0.25">
      <c r="A32" s="21" t="s">
        <v>26</v>
      </c>
      <c r="B32" s="72">
        <f>IFERROR(AVERAGE(G11:G15),"")</f>
        <v>1.05</v>
      </c>
      <c r="C32" s="73">
        <f>IFERROR(AVERAGE(G16:G16),"")</f>
        <v>1.05</v>
      </c>
      <c r="D32" s="73">
        <f>IFERROR(AVERAGE(G17:G25),"")</f>
        <v>1.05</v>
      </c>
      <c r="E32" s="206">
        <f>IFERROR(AVERAGE(G26:G27),"")</f>
        <v>0.88500000000000001</v>
      </c>
      <c r="F32" s="207"/>
      <c r="G32" s="3"/>
    </row>
    <row r="33" spans="1:7" x14ac:dyDescent="0.25">
      <c r="A33" s="74" t="s">
        <v>19</v>
      </c>
      <c r="B33" s="42">
        <f>IF(F5="Foreman/Officer",30%,20%)</f>
        <v>0.3</v>
      </c>
      <c r="C33" s="43">
        <f>IF(F5="MANAGER",30%,20%)</f>
        <v>0.2</v>
      </c>
      <c r="D33" s="43">
        <f>IF(F5="Foreman/Officer",20%,30%)</f>
        <v>0.2</v>
      </c>
      <c r="E33" s="202">
        <f>IF(F5="MANAGER",20%,30%)</f>
        <v>0.3</v>
      </c>
      <c r="F33" s="203"/>
      <c r="G33" s="3"/>
    </row>
    <row r="34" spans="1:7" ht="15.75" thickBot="1" x14ac:dyDescent="0.3">
      <c r="A34" s="75" t="s">
        <v>27</v>
      </c>
      <c r="B34" s="70">
        <f>IFERROR(B33*B32,"")</f>
        <v>0.315</v>
      </c>
      <c r="C34" s="71">
        <f t="shared" ref="C34" si="1">IFERROR(C33*C32,"")</f>
        <v>0.21000000000000002</v>
      </c>
      <c r="D34" s="71">
        <f>IFERROR(D33*D32,"")</f>
        <v>0.21000000000000002</v>
      </c>
      <c r="E34" s="204">
        <f>IFERROR(E33*E32,"")</f>
        <v>0.26550000000000001</v>
      </c>
      <c r="F34" s="205"/>
      <c r="G34" s="3"/>
    </row>
    <row r="35" spans="1:7" x14ac:dyDescent="0.25">
      <c r="A35" s="76" t="s">
        <v>28</v>
      </c>
      <c r="B35" s="226">
        <f>SUM(B34:F34)</f>
        <v>1.0005000000000002</v>
      </c>
      <c r="C35" s="227"/>
      <c r="D35" s="227"/>
      <c r="E35" s="227"/>
      <c r="F35" s="228"/>
      <c r="G35" s="3"/>
    </row>
    <row r="36" spans="1:7" ht="15.75" thickBot="1" x14ac:dyDescent="0.3">
      <c r="A36" s="25" t="s">
        <v>29</v>
      </c>
      <c r="B36" s="183" t="str">
        <f>IF(B35&gt;105%,"OUTSTANDING",IF(AND(B35&gt;100%,B35&lt;=105%),"EXCEED",IF(AND(B35&gt;90%,B35&lt;=100%),"MEET EXPECTATION",IF(AND(B35&gt;=75%,B35&lt;=89%),"NEED IMPROVEMENT",IF(B35&lt;75%,"FAILED","")))))</f>
        <v>EXCEED</v>
      </c>
      <c r="C36" s="184"/>
      <c r="D36" s="184"/>
      <c r="E36" s="184"/>
      <c r="F36" s="185"/>
      <c r="G36" s="3"/>
    </row>
    <row r="37" spans="1:7" ht="15.75" thickBot="1" x14ac:dyDescent="0.3">
      <c r="A37" s="1"/>
      <c r="B37" s="2"/>
      <c r="C37" s="2"/>
      <c r="D37" s="2"/>
      <c r="E37" s="2"/>
      <c r="F37" s="2"/>
      <c r="G37" s="3"/>
    </row>
    <row r="38" spans="1:7" ht="15.75" thickBot="1" x14ac:dyDescent="0.3">
      <c r="A38" s="159" t="s">
        <v>56</v>
      </c>
      <c r="B38" s="160"/>
      <c r="C38" s="160"/>
      <c r="D38" s="160"/>
      <c r="E38" s="160"/>
      <c r="F38" s="191"/>
      <c r="G38" s="3"/>
    </row>
    <row r="39" spans="1:7" ht="15.75" thickBot="1" x14ac:dyDescent="0.3">
      <c r="A39" s="77" t="s">
        <v>15</v>
      </c>
      <c r="B39" s="40" t="s">
        <v>57</v>
      </c>
      <c r="C39" s="104" t="s">
        <v>17</v>
      </c>
      <c r="D39" s="104" t="s">
        <v>19</v>
      </c>
      <c r="E39" s="192" t="s">
        <v>29</v>
      </c>
      <c r="F39" s="193"/>
      <c r="G39" s="3"/>
    </row>
    <row r="40" spans="1:7" ht="26.25" customHeight="1" thickBot="1" x14ac:dyDescent="0.3">
      <c r="A40" s="78" t="s">
        <v>58</v>
      </c>
      <c r="B40" s="45" t="s">
        <v>59</v>
      </c>
      <c r="C40" s="46" t="s">
        <v>23</v>
      </c>
      <c r="D40" s="47">
        <v>1</v>
      </c>
      <c r="E40" s="194" t="str">
        <f>IF(D40&gt;105%,"OUTSTANDING",IF(AND(D40&gt;100%,D40&lt;=105%),"EXCEED",IF(AND(D40&gt;=90%,D40&lt;=100%),"MEET EXPECTATION",IF(AND(D40&gt;=75%,D40&lt;90%),"NEED IMPROVEMENT",IF(D40&lt;75%,"FAILED","")))))</f>
        <v>MEET EXPECTATION</v>
      </c>
      <c r="F40" s="195"/>
      <c r="G40" s="3"/>
    </row>
    <row r="41" spans="1:7" ht="15.75" thickBot="1" x14ac:dyDescent="0.3">
      <c r="A41" s="1"/>
      <c r="B41" s="2"/>
      <c r="C41" s="2"/>
      <c r="D41" s="2"/>
      <c r="E41" s="2"/>
      <c r="F41" s="2"/>
      <c r="G41" s="3"/>
    </row>
    <row r="42" spans="1:7" ht="15.75" thickBot="1" x14ac:dyDescent="0.3">
      <c r="A42" s="196" t="s">
        <v>60</v>
      </c>
      <c r="B42" s="197"/>
      <c r="C42" s="197"/>
      <c r="D42" s="197"/>
      <c r="E42" s="198"/>
      <c r="F42" s="2"/>
      <c r="G42" s="3"/>
    </row>
    <row r="43" spans="1:7" x14ac:dyDescent="0.25">
      <c r="A43" s="79" t="s">
        <v>15</v>
      </c>
      <c r="B43" s="44" t="s">
        <v>57</v>
      </c>
      <c r="C43" s="48" t="s">
        <v>61</v>
      </c>
      <c r="D43" s="44" t="s">
        <v>26</v>
      </c>
      <c r="E43" s="52" t="s">
        <v>62</v>
      </c>
      <c r="F43" s="2"/>
      <c r="G43" s="3"/>
    </row>
    <row r="44" spans="1:7" ht="15.75" thickBot="1" x14ac:dyDescent="0.3">
      <c r="A44" s="80" t="s">
        <v>63</v>
      </c>
      <c r="B44" s="49" t="s">
        <v>64</v>
      </c>
      <c r="C44" s="50">
        <v>1</v>
      </c>
      <c r="D44" s="51">
        <f>IF(F5="Foreman/Officer",30%,IF(F5="Section Head/SPV",40%,IF(F5="Dept. Head",60%,IF(F5="MANAGER",70%,""))))</f>
        <v>0.3</v>
      </c>
      <c r="E44" s="53">
        <f>C44*D44</f>
        <v>0.3</v>
      </c>
      <c r="F44" s="2"/>
      <c r="G44" s="3"/>
    </row>
    <row r="45" spans="1:7" ht="15.75" thickBot="1" x14ac:dyDescent="0.3">
      <c r="A45" s="1"/>
      <c r="B45" s="2"/>
      <c r="C45" s="2"/>
      <c r="D45" s="2"/>
      <c r="E45" s="2"/>
      <c r="F45" s="2"/>
      <c r="G45" s="3"/>
    </row>
    <row r="46" spans="1:7" ht="15.75" thickBot="1" x14ac:dyDescent="0.3">
      <c r="A46" s="190" t="s">
        <v>65</v>
      </c>
      <c r="B46" s="160"/>
      <c r="C46" s="160"/>
      <c r="D46" s="160"/>
      <c r="E46" s="160"/>
      <c r="F46" s="160"/>
      <c r="G46" s="191"/>
    </row>
    <row r="47" spans="1:7" ht="15.75" thickBot="1" x14ac:dyDescent="0.3">
      <c r="A47" s="190" t="s">
        <v>66</v>
      </c>
      <c r="B47" s="160"/>
      <c r="C47" s="160"/>
      <c r="D47" s="160"/>
      <c r="E47" s="160"/>
      <c r="F47" s="160"/>
      <c r="G47" s="191"/>
    </row>
    <row r="48" spans="1:7" ht="15.75" thickBot="1" x14ac:dyDescent="0.3">
      <c r="A48" s="186" t="s">
        <v>67</v>
      </c>
      <c r="B48" s="187"/>
      <c r="C48" s="88" t="s">
        <v>19</v>
      </c>
      <c r="D48" s="89" t="s">
        <v>26</v>
      </c>
      <c r="E48" s="90" t="s">
        <v>68</v>
      </c>
      <c r="F48" s="188" t="s">
        <v>69</v>
      </c>
      <c r="G48" s="189"/>
    </row>
    <row r="49" spans="1:7" x14ac:dyDescent="0.25">
      <c r="A49" s="162" t="s">
        <v>52</v>
      </c>
      <c r="B49" s="163"/>
      <c r="C49" s="155">
        <f>B35</f>
        <v>1.0005000000000002</v>
      </c>
      <c r="D49" s="86">
        <f>IF(F5="Foreman/Officer",70%,IF(F5="Section Head/SPV",60%,IF(F5="Dept. Head",40%,IF(F5="MANAGER",30%,""))))</f>
        <v>0.7</v>
      </c>
      <c r="E49" s="87">
        <f>C49*D49</f>
        <v>0.70035000000000003</v>
      </c>
      <c r="F49" s="166">
        <f>E49+E50</f>
        <v>1.0003500000000001</v>
      </c>
      <c r="G49" s="167"/>
    </row>
    <row r="50" spans="1:7" ht="15.75" thickBot="1" x14ac:dyDescent="0.3">
      <c r="A50" s="164" t="s">
        <v>70</v>
      </c>
      <c r="B50" s="165"/>
      <c r="C50" s="84">
        <f>C44</f>
        <v>1</v>
      </c>
      <c r="D50" s="54">
        <f>IF(F5="Foreman/Officer",30%,IF(F5="Section Head/SPV",40%,IF(F5="Dept. Head",60%,IF(F5="MANAGER",70%,""))))</f>
        <v>0.3</v>
      </c>
      <c r="E50" s="55">
        <f>C50*D50</f>
        <v>0.3</v>
      </c>
      <c r="F50" s="168"/>
      <c r="G50" s="169"/>
    </row>
    <row r="51" spans="1:7" ht="15.75" thickBot="1" x14ac:dyDescent="0.3">
      <c r="A51" s="1"/>
      <c r="B51" s="2"/>
      <c r="C51" s="2"/>
      <c r="D51" s="2"/>
      <c r="E51" s="2"/>
      <c r="F51" s="2"/>
      <c r="G51" s="3"/>
    </row>
    <row r="52" spans="1:7" ht="15.75" thickBot="1" x14ac:dyDescent="0.3">
      <c r="A52" s="159" t="s">
        <v>71</v>
      </c>
      <c r="B52" s="160"/>
      <c r="C52" s="160"/>
      <c r="D52" s="160"/>
      <c r="E52" s="160"/>
      <c r="F52" s="160"/>
      <c r="G52" s="161"/>
    </row>
    <row r="53" spans="1:7" ht="15.75" thickBot="1" x14ac:dyDescent="0.3">
      <c r="A53" s="81" t="s">
        <v>67</v>
      </c>
      <c r="B53" s="62" t="s">
        <v>19</v>
      </c>
      <c r="C53" s="63" t="s">
        <v>26</v>
      </c>
      <c r="D53" s="64" t="s">
        <v>62</v>
      </c>
      <c r="E53" s="91" t="s">
        <v>71</v>
      </c>
      <c r="F53" s="157" t="s">
        <v>29</v>
      </c>
      <c r="G53" s="158"/>
    </row>
    <row r="54" spans="1:7" ht="15" customHeight="1" x14ac:dyDescent="0.25">
      <c r="A54" s="82" t="s">
        <v>66</v>
      </c>
      <c r="B54" s="59">
        <f>F49</f>
        <v>1.0003500000000001</v>
      </c>
      <c r="C54" s="60">
        <v>0.8</v>
      </c>
      <c r="D54" s="61">
        <f>B54*C54</f>
        <v>0.8002800000000001</v>
      </c>
      <c r="E54" s="174">
        <f>D54+D55</f>
        <v>1.0002800000000001</v>
      </c>
      <c r="F54" s="176" t="str">
        <f>IF(E54&gt;105%,"OUTSTANDING",IF(AND(E54&gt;100%,E54&lt;=105%),"EXCEED",IF(AND(E54&gt;=90%,E54&lt;=100%),"MEET EXPECTATION",IF(AND(E54&gt;=75%,E54&lt;90%),"NEED IMPROVEMENT",IF(E54&lt;75%,"FAILED","")))))</f>
        <v>EXCEED</v>
      </c>
      <c r="G54" s="177"/>
    </row>
    <row r="55" spans="1:7" ht="15.75" thickBot="1" x14ac:dyDescent="0.3">
      <c r="A55" s="83" t="s">
        <v>58</v>
      </c>
      <c r="B55" s="58">
        <f>D40</f>
        <v>1</v>
      </c>
      <c r="C55" s="56">
        <v>0.2</v>
      </c>
      <c r="D55" s="57">
        <f>B55*C55</f>
        <v>0.2</v>
      </c>
      <c r="E55" s="175"/>
      <c r="F55" s="178"/>
      <c r="G55" s="179"/>
    </row>
    <row r="56" spans="1:7" ht="15.75" thickBot="1" x14ac:dyDescent="0.3">
      <c r="A56" s="1"/>
      <c r="B56" s="2"/>
      <c r="C56" s="2"/>
      <c r="D56" s="2"/>
      <c r="E56" s="2"/>
      <c r="F56" s="2"/>
      <c r="G56" s="3"/>
    </row>
    <row r="57" spans="1:7" ht="30.75" thickBot="1" x14ac:dyDescent="0.3">
      <c r="A57" s="4" t="s">
        <v>29</v>
      </c>
      <c r="B57" s="17" t="s">
        <v>30</v>
      </c>
      <c r="C57" s="18" t="s">
        <v>31</v>
      </c>
      <c r="D57" s="19" t="s">
        <v>32</v>
      </c>
      <c r="E57" s="19" t="s">
        <v>33</v>
      </c>
      <c r="F57" s="20" t="s">
        <v>34</v>
      </c>
      <c r="G57" s="3"/>
    </row>
    <row r="58" spans="1:7" x14ac:dyDescent="0.25">
      <c r="A58" s="21" t="s">
        <v>35</v>
      </c>
      <c r="B58" s="22" t="s">
        <v>36</v>
      </c>
      <c r="C58" s="23" t="s">
        <v>37</v>
      </c>
      <c r="D58" s="23" t="s">
        <v>38</v>
      </c>
      <c r="E58" s="23" t="s">
        <v>39</v>
      </c>
      <c r="F58" s="24" t="s">
        <v>40</v>
      </c>
      <c r="G58" s="3"/>
    </row>
    <row r="59" spans="1:7" ht="15.75" thickBot="1" x14ac:dyDescent="0.3">
      <c r="A59" s="25" t="s">
        <v>41</v>
      </c>
      <c r="B59" s="26">
        <f>COUNTIF(G11:G27,"&gt;=105%")</f>
        <v>16</v>
      </c>
      <c r="C59" s="27">
        <f>COUNTIFS(G11:G27,"&gt;=99%",G11:G27,"&lt;105%")</f>
        <v>0</v>
      </c>
      <c r="D59" s="27">
        <f>COUNTIFS(G11:G27,"&gt;=88%",G11:G27,"&lt;99%")</f>
        <v>0</v>
      </c>
      <c r="E59" s="27">
        <f>COUNTIFS(G11:G27,"&gt;=75%",G11:G27,"&lt;88%")</f>
        <v>0</v>
      </c>
      <c r="F59" s="28">
        <f>COUNTIF(G11:G27,"&lt;75%")</f>
        <v>1</v>
      </c>
      <c r="G59" s="3"/>
    </row>
    <row r="60" spans="1:7" x14ac:dyDescent="0.25">
      <c r="A60" s="1"/>
      <c r="B60" s="2"/>
      <c r="C60" s="2"/>
      <c r="D60" s="2"/>
      <c r="E60" s="2"/>
      <c r="F60" s="2"/>
      <c r="G60" s="3"/>
    </row>
    <row r="61" spans="1:7" x14ac:dyDescent="0.25">
      <c r="A61" s="1"/>
      <c r="B61" s="2"/>
      <c r="C61" s="2"/>
      <c r="D61" s="2"/>
      <c r="E61" s="2"/>
      <c r="F61" s="2"/>
      <c r="G61" s="3"/>
    </row>
    <row r="62" spans="1:7" x14ac:dyDescent="0.25">
      <c r="A62" s="1" t="s">
        <v>42</v>
      </c>
      <c r="B62" s="2"/>
      <c r="C62" s="172" t="s">
        <v>43</v>
      </c>
      <c r="D62" s="172"/>
      <c r="E62" s="2"/>
      <c r="F62" s="172" t="s">
        <v>44</v>
      </c>
      <c r="G62" s="173"/>
    </row>
    <row r="63" spans="1:7" x14ac:dyDescent="0.25">
      <c r="A63" s="1"/>
      <c r="B63" s="2"/>
      <c r="C63" s="2"/>
      <c r="D63" s="2"/>
      <c r="E63" s="2"/>
      <c r="F63" s="2"/>
      <c r="G63" s="3"/>
    </row>
    <row r="64" spans="1:7" x14ac:dyDescent="0.25">
      <c r="A64" s="1"/>
      <c r="B64" s="2"/>
      <c r="C64" s="2"/>
      <c r="D64" s="2"/>
      <c r="E64" s="2"/>
      <c r="F64" s="2"/>
      <c r="G64" s="3"/>
    </row>
    <row r="65" spans="1:7" x14ac:dyDescent="0.25">
      <c r="A65" s="1"/>
      <c r="B65" s="2"/>
      <c r="C65" s="2"/>
      <c r="D65" s="2"/>
      <c r="E65" s="2"/>
      <c r="F65" s="2"/>
      <c r="G65" s="3"/>
    </row>
    <row r="66" spans="1:7" x14ac:dyDescent="0.25">
      <c r="A66" s="1"/>
      <c r="B66" s="2"/>
      <c r="C66" s="2"/>
      <c r="D66" s="2"/>
      <c r="E66" s="2"/>
      <c r="F66" s="2"/>
      <c r="G66" s="3"/>
    </row>
    <row r="67" spans="1:7" x14ac:dyDescent="0.25">
      <c r="A67" s="1"/>
      <c r="B67" s="2"/>
      <c r="C67" s="172"/>
      <c r="D67" s="172"/>
      <c r="E67" s="2"/>
      <c r="F67" s="172"/>
      <c r="G67" s="173"/>
    </row>
    <row r="68" spans="1:7" ht="15.75" thickBot="1" x14ac:dyDescent="0.3">
      <c r="A68" s="29"/>
      <c r="B68" s="30"/>
      <c r="C68" s="170"/>
      <c r="D68" s="170"/>
      <c r="E68" s="30"/>
      <c r="F68" s="170"/>
      <c r="G68" s="171"/>
    </row>
    <row r="69" spans="1:7" ht="15.75" thickTop="1" x14ac:dyDescent="0.25"/>
  </sheetData>
  <mergeCells count="47">
    <mergeCell ref="C67:D67"/>
    <mergeCell ref="F67:G67"/>
    <mergeCell ref="C68:D68"/>
    <mergeCell ref="F68:G68"/>
    <mergeCell ref="A52:G52"/>
    <mergeCell ref="F53:G53"/>
    <mergeCell ref="E54:E55"/>
    <mergeCell ref="F54:G55"/>
    <mergeCell ref="C62:D62"/>
    <mergeCell ref="F62:G62"/>
    <mergeCell ref="A46:G46"/>
    <mergeCell ref="A47:G47"/>
    <mergeCell ref="A48:B48"/>
    <mergeCell ref="F48:G48"/>
    <mergeCell ref="A49:B49"/>
    <mergeCell ref="F49:G50"/>
    <mergeCell ref="A50:B50"/>
    <mergeCell ref="A42:E42"/>
    <mergeCell ref="A26:A27"/>
    <mergeCell ref="A30:F30"/>
    <mergeCell ref="E31:F31"/>
    <mergeCell ref="E32:F32"/>
    <mergeCell ref="E33:F33"/>
    <mergeCell ref="E34:F34"/>
    <mergeCell ref="B35:F35"/>
    <mergeCell ref="B36:F36"/>
    <mergeCell ref="A38:F38"/>
    <mergeCell ref="E39:F39"/>
    <mergeCell ref="E40:F40"/>
    <mergeCell ref="AO9:AQ9"/>
    <mergeCell ref="AS9:AU9"/>
    <mergeCell ref="AW9:AY9"/>
    <mergeCell ref="BA9:BC9"/>
    <mergeCell ref="A11:A15"/>
    <mergeCell ref="AG9:AI9"/>
    <mergeCell ref="AK9:AM9"/>
    <mergeCell ref="A17:A25"/>
    <mergeCell ref="Q9:S9"/>
    <mergeCell ref="U9:W9"/>
    <mergeCell ref="Y9:AA9"/>
    <mergeCell ref="AC9:AE9"/>
    <mergeCell ref="M9:O9"/>
    <mergeCell ref="B2:F2"/>
    <mergeCell ref="B3:F3"/>
    <mergeCell ref="F5:G5"/>
    <mergeCell ref="A9:G9"/>
    <mergeCell ref="I9:K9"/>
  </mergeCells>
  <conditionalFormatting sqref="B36">
    <cfRule type="containsText" dxfId="29" priority="11" operator="containsText" text="EXCEED">
      <formula>NOT(ISERROR(SEARCH("EXCEED",B36)))</formula>
    </cfRule>
    <cfRule type="containsText" dxfId="28" priority="12" operator="containsText" text="NEED IMPROVEMENT">
      <formula>NOT(ISERROR(SEARCH("NEED IMPROVEMENT",B36)))</formula>
    </cfRule>
    <cfRule type="containsText" dxfId="27" priority="13" operator="containsText" text="MEET EXPECTATION">
      <formula>NOT(ISERROR(SEARCH("MEET EXPECTATION",B36)))</formula>
    </cfRule>
    <cfRule type="containsText" dxfId="26" priority="14" operator="containsText" text="FAILED">
      <formula>NOT(ISERROR(SEARCH("FAILED",B36)))</formula>
    </cfRule>
    <cfRule type="containsText" dxfId="25" priority="15" operator="containsText" text="OUTSTANDING">
      <formula>NOT(ISERROR(SEARCH("OUTSTANDING",B36)))</formula>
    </cfRule>
  </conditionalFormatting>
  <conditionalFormatting sqref="E40">
    <cfRule type="containsText" dxfId="24" priority="6" operator="containsText" text="EXCEED">
      <formula>NOT(ISERROR(SEARCH("EXCEED",E40)))</formula>
    </cfRule>
    <cfRule type="containsText" dxfId="23" priority="7" operator="containsText" text="NEED IMPROVEMENT">
      <formula>NOT(ISERROR(SEARCH("NEED IMPROVEMENT",E40)))</formula>
    </cfRule>
    <cfRule type="containsText" dxfId="22" priority="8" operator="containsText" text="MEET EXPECTATION">
      <formula>NOT(ISERROR(SEARCH("MEET EXPECTATION",E40)))</formula>
    </cfRule>
    <cfRule type="containsText" dxfId="21" priority="9" operator="containsText" text="FAILED">
      <formula>NOT(ISERROR(SEARCH("FAILED",E40)))</formula>
    </cfRule>
    <cfRule type="containsText" dxfId="20" priority="10" operator="containsText" text="OUTSTANDING">
      <formula>NOT(ISERROR(SEARCH("OUTSTANDING",E40)))</formula>
    </cfRule>
  </conditionalFormatting>
  <conditionalFormatting sqref="F54">
    <cfRule type="containsText" dxfId="19" priority="1" operator="containsText" text="EXCEED">
      <formula>NOT(ISERROR(SEARCH("EXCEED",F54)))</formula>
    </cfRule>
    <cfRule type="containsText" dxfId="18" priority="2" operator="containsText" text="NEED IMPROVEMENT">
      <formula>NOT(ISERROR(SEARCH("NEED IMPROVEMENT",F54)))</formula>
    </cfRule>
    <cfRule type="containsText" dxfId="17" priority="3" operator="containsText" text="MEET EXPECTATION">
      <formula>NOT(ISERROR(SEARCH("MEET EXPECTATION",F54)))</formula>
    </cfRule>
    <cfRule type="containsText" dxfId="16" priority="4" operator="containsText" text="FAILED">
      <formula>NOT(ISERROR(SEARCH("FAILED",F54)))</formula>
    </cfRule>
    <cfRule type="containsText" dxfId="15" priority="5" operator="containsText" text="OUTSTANDING">
      <formula>NOT(ISERROR(SEARCH("OUTSTANDING",F54)))</formula>
    </cfRule>
  </conditionalFormatting>
  <dataValidations count="2">
    <dataValidation type="list" allowBlank="1" showInputMessage="1" showErrorMessage="1" sqref="D11:D27" xr:uid="{89B51220-613C-40BD-A931-ADFE17876CF3}">
      <formula1>"A(-),A(+),S(-),S(+)"</formula1>
    </dataValidation>
    <dataValidation type="list" allowBlank="1" showInputMessage="1" showErrorMessage="1" sqref="F5:G5" xr:uid="{CA85CBA0-DDCE-4355-8027-5941EAA182D7}">
      <formula1>"MANAGER,Dept. Head,Section Head/SPV,Foreman/Officer"</formula1>
    </dataValidation>
  </dataValidations>
  <hyperlinks>
    <hyperlink ref="J14" r:id="rId1" xr:uid="{0D17DA9D-21F1-409E-91A9-0399C0FFF0E9}"/>
    <hyperlink ref="N14" r:id="rId2" xr:uid="{032B22E5-5FA5-4E5D-A167-DB8052BE19B6}"/>
    <hyperlink ref="R14" r:id="rId3" xr:uid="{55B26E1A-D959-4B6A-A0AD-491419E8F191}"/>
    <hyperlink ref="V14" r:id="rId4" xr:uid="{D4FD5BFF-7C8F-41A6-8BC6-17FF4EA8BBD5}"/>
    <hyperlink ref="Z14" r:id="rId5" xr:uid="{669DD0B9-3042-42FC-9DCE-27931507FF15}"/>
    <hyperlink ref="AD14" r:id="rId6" xr:uid="{D3A5052D-C576-434D-8C8A-4A96970FABD8}"/>
    <hyperlink ref="AH18" r:id="rId7" xr:uid="{86AD78EA-4C79-4EC2-BFA4-7210BF07F912}"/>
    <hyperlink ref="AH12" r:id="rId8" xr:uid="{AC97835B-50CA-4580-81D5-C8D7E4F4B583}"/>
    <hyperlink ref="AH13" r:id="rId9" xr:uid="{24B8F8B6-242A-47EC-86E6-35B7A09119B8}"/>
    <hyperlink ref="R15" r:id="rId10" xr:uid="{46812DBF-1F75-4935-8731-9E9F81B709BC}"/>
    <hyperlink ref="V15" r:id="rId11" xr:uid="{428D2D16-41E6-48A8-B3C0-1E674B189346}"/>
    <hyperlink ref="AH15" r:id="rId12" xr:uid="{EF1C50DE-6D28-4B71-8FA2-16847062AB9A}"/>
    <hyperlink ref="AH14" r:id="rId13" xr:uid="{6B669F6F-F642-437D-8AE3-EB1D913C9CDB}"/>
    <hyperlink ref="J20" r:id="rId14" xr:uid="{CECB2BAB-B90F-4A28-AE29-F5495C4AF300}"/>
    <hyperlink ref="J21" r:id="rId15" xr:uid="{552412B0-FF5B-4E99-AE8E-D1EF7415D940}"/>
    <hyperlink ref="J23" r:id="rId16" xr:uid="{3367E14B-B123-4E78-8781-1C2976026A47}"/>
    <hyperlink ref="N20" r:id="rId17" xr:uid="{6D0B6914-44FD-4B76-B3C0-4A89319EE5EE}"/>
    <hyperlink ref="N21" r:id="rId18" xr:uid="{6F6352C8-705B-4071-B747-B4907C006285}"/>
    <hyperlink ref="N25" r:id="rId19" xr:uid="{61034F35-1590-4836-95B0-E9AD36B5F9BE}"/>
    <hyperlink ref="J25" r:id="rId20" xr:uid="{35C713EC-8113-4FF6-A346-EE119DA4EB6F}"/>
    <hyperlink ref="R19" r:id="rId21" xr:uid="{B037FA67-2718-4C18-888C-A6FD359B7924}"/>
    <hyperlink ref="R21" r:id="rId22" xr:uid="{225A471E-88FF-4ABE-B244-AEB28D03B533}"/>
    <hyperlink ref="R25" r:id="rId23" xr:uid="{B5AFF5C0-A758-4DD9-85BA-4AA3117B87C4}"/>
    <hyperlink ref="V25" r:id="rId24" xr:uid="{3C0CCAF0-0E0F-4671-A363-C82119C4D59E}"/>
    <hyperlink ref="Z25" r:id="rId25" xr:uid="{BAE31FF3-C132-46E9-8F35-5595E6978497}"/>
    <hyperlink ref="AD25" r:id="rId26" xr:uid="{71474F44-35C7-4A18-8F7A-BC55FDB552F2}"/>
    <hyperlink ref="AH25" r:id="rId27" xr:uid="{3283F836-4FFB-47F5-A81A-289224A55500}"/>
    <hyperlink ref="AL17" r:id="rId28" xr:uid="{D1EB38D8-4E9E-4ED6-A711-4468939D81DF}"/>
    <hyperlink ref="AL25" r:id="rId29" xr:uid="{3C1A57E2-66C5-4E1E-8716-9ABCBF871308}"/>
    <hyperlink ref="AP25" r:id="rId30" xr:uid="{740DF87F-FB84-4F0B-822B-6D9467B3CCD4}"/>
    <hyperlink ref="AT25" r:id="rId31" xr:uid="{B234D3A5-A5BC-4ED0-9334-A2EDC86D9D86}"/>
    <hyperlink ref="AX16" r:id="rId32" xr:uid="{72005E64-C740-48E6-9804-1062AB720490}"/>
    <hyperlink ref="AL15" r:id="rId33" xr:uid="{1AF5FC52-09C3-4970-A51A-526D1CD2F315}"/>
    <hyperlink ref="AP15" r:id="rId34" xr:uid="{0CAA96C0-9AFB-4222-B17E-571CFE62E048}"/>
    <hyperlink ref="AT15" r:id="rId35" xr:uid="{FD2C14E1-2399-40B0-8866-78E24FD66954}"/>
    <hyperlink ref="AT27" r:id="rId36" xr:uid="{3E098FBB-07E0-4D5D-85FD-44CD400A42C7}"/>
    <hyperlink ref="AX15" r:id="rId37" xr:uid="{F62FFE4B-BBFB-4CD7-A66B-2023B84B290E}"/>
    <hyperlink ref="BB15" r:id="rId38" xr:uid="{99773291-F2EC-416A-9B88-7CC4C46C50FB}"/>
    <hyperlink ref="AL14" r:id="rId39" xr:uid="{A57622C4-497A-4C26-A480-E125A5955F87}"/>
    <hyperlink ref="AP14" r:id="rId40" xr:uid="{8CAD14F3-20D9-4088-A6CE-4D10673F2206}"/>
    <hyperlink ref="AT14" r:id="rId41" xr:uid="{CA071E72-EBB8-48C8-84AA-0613E05BBCCC}"/>
    <hyperlink ref="AL11" r:id="rId42" xr:uid="{9F9B39FE-2321-4FB5-BCA8-F7F128C4D445}"/>
    <hyperlink ref="AL13" r:id="rId43" xr:uid="{6BF1598D-40C2-4FBE-A0AF-B69D13B248B9}"/>
    <hyperlink ref="AX25" r:id="rId44" xr:uid="{898169C5-8A1C-45D0-B721-56FC89342E9E}"/>
    <hyperlink ref="BB11" r:id="rId45" xr:uid="{F4A7DF5E-19B9-44A4-95A7-69FE1C3D5F0B}"/>
    <hyperlink ref="BB13" r:id="rId46" xr:uid="{58D8A92D-9DCD-41B3-8019-6AEAD6D49FC5}"/>
    <hyperlink ref="BB17" r:id="rId47" xr:uid="{ED0A977B-7AB0-4F8F-BE15-9AF96D3BC0B2}"/>
    <hyperlink ref="BB18" r:id="rId48" xr:uid="{7F1DF0BD-8F31-4CD0-97BE-8EA2FA5334C4}"/>
    <hyperlink ref="BB25" r:id="rId49" xr:uid="{DA30144B-B339-4CEB-9B79-4BAB1CBCCA62}"/>
    <hyperlink ref="V21" r:id="rId50" xr:uid="{32B995B6-DEE2-4743-9BAC-0ABFCA9DAAAF}"/>
    <hyperlink ref="V24" r:id="rId51" xr:uid="{F58E4F8B-CA22-4661-B544-5F756585DB8E}"/>
    <hyperlink ref="Z19" r:id="rId52" xr:uid="{1A88B4A7-7D0C-4076-8B95-E7F82164F562}"/>
    <hyperlink ref="Z21" r:id="rId53" xr:uid="{20975F53-ACF9-498F-B2DE-4825F18691C2}"/>
    <hyperlink ref="Z23" r:id="rId54" xr:uid="{5079AABC-1AA9-48C0-B098-FFBEDBEEB28D}"/>
    <hyperlink ref="AD21" r:id="rId55" xr:uid="{4914421F-0236-456A-AFF6-B5FF4C82CF44}"/>
    <hyperlink ref="AH20" r:id="rId56" xr:uid="{670AE6EE-3D82-48DF-83DD-0B44AB0EB8B1}"/>
    <hyperlink ref="AH21" r:id="rId57" xr:uid="{28C7195A-69B4-4974-A769-8A151996D2E1}"/>
    <hyperlink ref="AH22" r:id="rId58" xr:uid="{1AA2D4A0-A63D-429B-81FE-802A6605052D}"/>
    <hyperlink ref="AH23" r:id="rId59" xr:uid="{10512AF2-259D-49FF-8DF0-6A3FAFE2BCCA}"/>
    <hyperlink ref="AL20" r:id="rId60" xr:uid="{8C3D6A28-CFFF-4A72-A001-91738032B24B}"/>
    <hyperlink ref="AL21" r:id="rId61" xr:uid="{5B8A63CF-950F-4ED4-9DDC-DA991F62A609}"/>
    <hyperlink ref="AL24" r:id="rId62" xr:uid="{1A45B2C0-D7EA-4850-AA68-4035C59AC397}"/>
    <hyperlink ref="AP19" r:id="rId63" xr:uid="{37E61D95-8E87-4A16-A2B8-D420E1CB4D53}"/>
    <hyperlink ref="AP20" r:id="rId64" xr:uid="{95A33B05-1718-45EB-AC3B-8C89E4FA2D41}"/>
    <hyperlink ref="AP21" r:id="rId65" xr:uid="{C391F3CC-81A7-49B8-97C4-1DA3DEA38C99}"/>
    <hyperlink ref="AP22" r:id="rId66" xr:uid="{34235294-36C5-490E-9355-39FC86516538}"/>
    <hyperlink ref="AP24" r:id="rId67" xr:uid="{6A9B9F61-10E2-4A10-9B51-3F12F47BA197}"/>
    <hyperlink ref="AT22" r:id="rId68" xr:uid="{B6D27BF9-DC17-49AA-96ED-D76699F99EB4}"/>
    <hyperlink ref="AT24" r:id="rId69" xr:uid="{7F0DEAA1-6C91-4FC5-8D39-8151552F5545}"/>
    <hyperlink ref="AX19" r:id="rId70" xr:uid="{F97BC1D7-FF6B-4B46-96E7-CD6CA223B81A}"/>
    <hyperlink ref="AX21" r:id="rId71" xr:uid="{3E0F1AB1-78D1-48A7-AC55-49272610ECC7}"/>
    <hyperlink ref="AX23" r:id="rId72" xr:uid="{ED26D348-0A3A-44D9-B6ED-1136B11EBD65}"/>
    <hyperlink ref="BB19" r:id="rId73" xr:uid="{7984CFF1-2EB7-453B-9755-1773651EFD37}"/>
    <hyperlink ref="BB21" r:id="rId74" xr:uid="{B584D9F8-9A69-4382-AE5B-9D8AA5A5900F}"/>
    <hyperlink ref="BB12" r:id="rId75" xr:uid="{355EC3D1-54F0-4AF4-81A1-A2F7BB3FD1A0}"/>
    <hyperlink ref="AX14" r:id="rId76" xr:uid="{61F8AF2B-8F34-45EF-AFCA-BBD728035585}"/>
    <hyperlink ref="BB14" r:id="rId77" xr:uid="{69F8F749-18D6-4ADD-BC95-59D39C2290D4}"/>
  </hyperlinks>
  <pageMargins left="0.25" right="0.25" top="0.75" bottom="0.75" header="0.3" footer="0.3"/>
  <pageSetup scale="77" orientation="portrait" r:id="rId78"/>
  <rowBreaks count="1" manualBreakCount="1">
    <brk id="36" max="6" man="1"/>
  </rowBreaks>
  <drawing r:id="rId7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C70"/>
  <sheetViews>
    <sheetView view="pageBreakPreview" topLeftCell="A5" zoomScaleNormal="100" zoomScaleSheetLayoutView="100" workbookViewId="0">
      <selection activeCell="G29" sqref="G29"/>
    </sheetView>
  </sheetViews>
  <sheetFormatPr defaultRowHeight="15" x14ac:dyDescent="0.25"/>
  <cols>
    <col min="1" max="1" width="14.140625" customWidth="1"/>
    <col min="2" max="2" width="41.28515625" customWidth="1"/>
    <col min="3" max="3" width="19.140625" customWidth="1"/>
    <col min="4" max="4" width="14.5703125" customWidth="1"/>
    <col min="5" max="5" width="14.85546875" bestFit="1" customWidth="1"/>
    <col min="6" max="6" width="10.5703125" bestFit="1" customWidth="1"/>
    <col min="8" max="8" width="3.85546875" customWidth="1"/>
    <col min="11" max="11" width="8.7109375" customWidth="1"/>
    <col min="12" max="12" width="3.85546875" customWidth="1"/>
    <col min="13" max="13" width="10.140625" bestFit="1" customWidth="1"/>
    <col min="16" max="16" width="3.140625" customWidth="1"/>
    <col min="20" max="20" width="2.5703125" customWidth="1"/>
    <col min="24" max="24" width="2.28515625" customWidth="1"/>
    <col min="28" max="28" width="3" customWidth="1"/>
    <col min="32" max="32" width="3" customWidth="1"/>
    <col min="36" max="36" width="2.5703125" customWidth="1"/>
    <col min="40" max="40" width="3.42578125" customWidth="1"/>
    <col min="44" max="44" width="3" customWidth="1"/>
    <col min="48" max="48" width="3" customWidth="1"/>
    <col min="52" max="52" width="3" customWidth="1"/>
  </cols>
  <sheetData>
    <row r="2" spans="1:55" ht="23.25" x14ac:dyDescent="0.35">
      <c r="B2" s="216" t="s">
        <v>0</v>
      </c>
      <c r="C2" s="216"/>
      <c r="D2" s="216"/>
      <c r="E2" s="216"/>
      <c r="F2" s="216"/>
    </row>
    <row r="3" spans="1:55" ht="23.25" x14ac:dyDescent="0.35">
      <c r="B3" s="216" t="s">
        <v>1</v>
      </c>
      <c r="C3" s="216"/>
      <c r="D3" s="216"/>
      <c r="E3" s="216"/>
      <c r="F3" s="216"/>
    </row>
    <row r="4" spans="1:55" ht="15.75" thickBot="1" x14ac:dyDescent="0.3"/>
    <row r="5" spans="1:55" ht="15.75" thickTop="1" x14ac:dyDescent="0.25">
      <c r="A5" s="92" t="s">
        <v>45</v>
      </c>
      <c r="B5" s="93" t="s">
        <v>157</v>
      </c>
      <c r="C5" s="94" t="s">
        <v>48</v>
      </c>
      <c r="D5" s="132">
        <v>10917</v>
      </c>
      <c r="E5" s="93" t="s">
        <v>51</v>
      </c>
      <c r="F5" s="220" t="s">
        <v>158</v>
      </c>
      <c r="G5" s="221"/>
    </row>
    <row r="6" spans="1:55" x14ac:dyDescent="0.25">
      <c r="A6" s="95" t="s">
        <v>46</v>
      </c>
      <c r="B6" s="133" t="s">
        <v>159</v>
      </c>
      <c r="C6" s="134" t="s">
        <v>49</v>
      </c>
      <c r="D6" s="135" t="s">
        <v>160</v>
      </c>
      <c r="E6" s="133"/>
      <c r="F6" s="133"/>
      <c r="G6" s="96"/>
    </row>
    <row r="7" spans="1:55" ht="15.75" thickBot="1" x14ac:dyDescent="0.3">
      <c r="A7" s="97" t="s">
        <v>47</v>
      </c>
      <c r="B7" s="98" t="s">
        <v>161</v>
      </c>
      <c r="C7" s="99" t="s">
        <v>50</v>
      </c>
      <c r="D7" s="136">
        <v>2022</v>
      </c>
      <c r="E7" s="98"/>
      <c r="F7" s="98"/>
      <c r="G7" s="100"/>
    </row>
    <row r="8" spans="1:55" ht="15.75" thickBot="1" x14ac:dyDescent="0.3">
      <c r="A8" s="1"/>
      <c r="B8" s="2"/>
      <c r="C8" s="2"/>
      <c r="D8" s="2"/>
      <c r="E8" s="2"/>
      <c r="F8" s="2"/>
      <c r="G8" s="3"/>
    </row>
    <row r="9" spans="1:55" ht="15.75" thickBot="1" x14ac:dyDescent="0.3">
      <c r="A9" s="217" t="s">
        <v>2</v>
      </c>
      <c r="B9" s="218"/>
      <c r="C9" s="218"/>
      <c r="D9" s="218"/>
      <c r="E9" s="218"/>
      <c r="F9" s="218"/>
      <c r="G9" s="219"/>
      <c r="I9" s="213" t="s">
        <v>3</v>
      </c>
      <c r="J9" s="213"/>
      <c r="K9" s="213"/>
      <c r="M9" s="213" t="s">
        <v>4</v>
      </c>
      <c r="N9" s="213"/>
      <c r="O9" s="213"/>
      <c r="Q9" s="213" t="s">
        <v>5</v>
      </c>
      <c r="R9" s="213"/>
      <c r="S9" s="213"/>
      <c r="U9" s="213" t="s">
        <v>6</v>
      </c>
      <c r="V9" s="213"/>
      <c r="W9" s="213"/>
      <c r="Y9" s="213" t="s">
        <v>7</v>
      </c>
      <c r="Z9" s="213"/>
      <c r="AA9" s="213"/>
      <c r="AC9" s="213" t="s">
        <v>8</v>
      </c>
      <c r="AD9" s="213"/>
      <c r="AE9" s="213"/>
      <c r="AG9" s="213" t="s">
        <v>9</v>
      </c>
      <c r="AH9" s="213"/>
      <c r="AI9" s="213"/>
      <c r="AK9" s="213" t="s">
        <v>10</v>
      </c>
      <c r="AL9" s="213"/>
      <c r="AM9" s="213"/>
      <c r="AO9" s="213" t="s">
        <v>11</v>
      </c>
      <c r="AP9" s="213"/>
      <c r="AQ9" s="213"/>
      <c r="AS9" s="213" t="s">
        <v>12</v>
      </c>
      <c r="AT9" s="213"/>
      <c r="AU9" s="213"/>
      <c r="AW9" s="213" t="s">
        <v>13</v>
      </c>
      <c r="AX9" s="213"/>
      <c r="AY9" s="213"/>
      <c r="BA9" s="213" t="s">
        <v>14</v>
      </c>
      <c r="BB9" s="213"/>
      <c r="BC9" s="213"/>
    </row>
    <row r="10" spans="1:55" ht="30.75" thickBot="1" x14ac:dyDescent="0.3">
      <c r="A10" s="4" t="s">
        <v>15</v>
      </c>
      <c r="B10" s="5" t="s">
        <v>16</v>
      </c>
      <c r="C10" s="101" t="s">
        <v>17</v>
      </c>
      <c r="D10" s="18" t="s">
        <v>18</v>
      </c>
      <c r="E10" s="19" t="s">
        <v>121</v>
      </c>
      <c r="F10" s="19" t="s">
        <v>122</v>
      </c>
      <c r="G10" s="20" t="s">
        <v>19</v>
      </c>
      <c r="I10" s="102" t="s">
        <v>20</v>
      </c>
      <c r="J10" s="102" t="s">
        <v>21</v>
      </c>
      <c r="K10" s="102" t="s">
        <v>22</v>
      </c>
      <c r="M10" s="102" t="s">
        <v>20</v>
      </c>
      <c r="N10" s="102" t="s">
        <v>21</v>
      </c>
      <c r="O10" s="102" t="s">
        <v>22</v>
      </c>
      <c r="Q10" s="102" t="s">
        <v>20</v>
      </c>
      <c r="R10" s="102" t="s">
        <v>21</v>
      </c>
      <c r="S10" s="102" t="s">
        <v>22</v>
      </c>
      <c r="U10" s="102" t="s">
        <v>20</v>
      </c>
      <c r="V10" s="102" t="s">
        <v>21</v>
      </c>
      <c r="W10" s="102" t="s">
        <v>22</v>
      </c>
      <c r="Y10" s="102" t="s">
        <v>20</v>
      </c>
      <c r="Z10" s="102" t="s">
        <v>21</v>
      </c>
      <c r="AA10" s="102" t="s">
        <v>22</v>
      </c>
      <c r="AC10" s="102" t="s">
        <v>20</v>
      </c>
      <c r="AD10" s="102" t="s">
        <v>21</v>
      </c>
      <c r="AE10" s="102" t="s">
        <v>22</v>
      </c>
      <c r="AG10" s="102" t="s">
        <v>20</v>
      </c>
      <c r="AH10" s="102" t="s">
        <v>21</v>
      </c>
      <c r="AI10" s="102" t="s">
        <v>22</v>
      </c>
      <c r="AK10" s="102" t="s">
        <v>20</v>
      </c>
      <c r="AL10" s="102" t="s">
        <v>21</v>
      </c>
      <c r="AM10" s="102" t="s">
        <v>22</v>
      </c>
      <c r="AO10" s="102" t="s">
        <v>20</v>
      </c>
      <c r="AP10" s="102" t="s">
        <v>21</v>
      </c>
      <c r="AQ10" s="102" t="s">
        <v>22</v>
      </c>
      <c r="AS10" s="102" t="s">
        <v>20</v>
      </c>
      <c r="AT10" s="102" t="s">
        <v>21</v>
      </c>
      <c r="AU10" s="102" t="s">
        <v>22</v>
      </c>
      <c r="AW10" s="102" t="s">
        <v>20</v>
      </c>
      <c r="AX10" s="102" t="s">
        <v>21</v>
      </c>
      <c r="AY10" s="102" t="s">
        <v>22</v>
      </c>
      <c r="BA10" s="102" t="s">
        <v>20</v>
      </c>
      <c r="BB10" s="102" t="s">
        <v>21</v>
      </c>
      <c r="BC10" s="102" t="s">
        <v>22</v>
      </c>
    </row>
    <row r="11" spans="1:55" ht="18.75" customHeight="1" x14ac:dyDescent="0.25">
      <c r="A11" s="214" t="s">
        <v>52</v>
      </c>
      <c r="B11" s="65" t="s">
        <v>139</v>
      </c>
      <c r="C11" s="66" t="s">
        <v>162</v>
      </c>
      <c r="D11" s="67" t="s">
        <v>142</v>
      </c>
      <c r="E11" s="34">
        <v>3</v>
      </c>
      <c r="F11" s="68" t="str">
        <f t="shared" ref="F11:F29" si="0">IF(LEFT(C11,5)="MONTH",IF(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=0,"",IF(OR(I11="",I11="NA"),IF(OR(M11="",M11="NA"),IF(OR(Q11="",Q11="NA"),IF(OR(U11="",U11="NA"),IF(OR(Y11="",Y11="NA"),IF(OR(AC11="",AC11="NA"),IF(OR(AG11="",AG11="NA"),IF(OR(AK11="",AK11="NA"),IF(OR(AO11="",AO11="NA"),IF(OR(AS11="",AS11="NA"),IF(OR(AW11="",AW11="NA"),BA11,AW11),AS11),AO11),AK11),AG11),AC11),Y11),U11),Q11),M11),I11)),IF(COUNT(I11,M11,Q11,U11,Y11,AC11,AG11,AK11,AO11,AS11,AW11,BA11)&lt;1,"",IF(OR(D11="A(-)",D11="A(+)"),AVERAGE(I11,M11,Q11,U11,Y11,AC11,AG11,AK11,AO11,AS11,AW11,BA11),IF(OR(D11="S(-)",D11="S(+)"),SUM(I11,M11,Q11,U11,Y11,AC11,AG11,AK11,AO11,AS11,AW11,BA11),""))))</f>
        <v/>
      </c>
      <c r="G11" s="69" t="str">
        <f>IF(OR(F11="",F11="NA"),"",IF(OR(C11="time",LEFT(C11,3)="DAY"),IF(OR(C11="DAY2",C11="time"),IF((92%-(F11-E11)/(1/10*100))&lt;70%,70%,IF(92%-(F11-E11)/(1/10*100)&gt;105%,105%,92%-(F11-E11)/(1/10*100))),IF(COUNT(E11)=1,IF((112%-(F11-E11)/(1/10*100))&lt;70%,70%,IF(112%-(F11-E11)/(1/10*100)&gt;105%,105%,112%-(F11-E11)/(1/10*100))))),IF(LEFT(C11,5)="month",IF(C11="month1",IF((112%-IF(F11="W1",0,IF(F11="W2",1,MATCH(F11,Sheet1!$A$2:$A$13,0)-MATCH(E11,Sheet1!$A$2:$A$13,0)+1))/(1/10*100))&lt;70%,70%,IF(112%-IF(F11="W1",0,IF(F11="W2",1,MATCH(F11,Sheet1!$A$2:$A$13,0)-MATCH(E11,Sheet1!$A$2:$A$13,0)+1))/(1/10*100)&gt;105%,105%,112%-IF(F11="W1",0,IF(F11="W2",1,MATCH(F11,Sheet1!$A$2:$A$13,0)-MATCH(E11,Sheet1!$A$2:$A$13,0)+1))/(1/10*100))),IF((92%-(IF(OR(F11="w1",F11="w2"),1,MATCH(F11,Sheet1!$A$2:$A$13,0))-MATCH(E11,Sheet1!$A$2:$A$13,0))/(1/10*100))&lt;70%,70%,IF(92%-(IF(OR(F11="w1",F11="w2"),1,MATCH(F11,Sheet1!$A$2:$A$13,0))-MATCH(E11,Sheet1!$A$2:$A$13,0))/(1/10*100)&gt;105%,105%,92%-(IF(OR(F11="w1",F11="w2"),1,MATCH(F11,Sheet1!$A$2:$A$13,0))-MATCH(E11,Sheet1!$A$2:$A$13,0))/(1/10*100)))),IF(MID(D11,3,1)="+",IF(E11&lt;100,IF(112%-(E11-F11)/(1/IF(E11&lt;4,(40/E11),10)*100)&gt;105%,105%,IF(112%-(E11-F11)/(1/IF(E11&lt;4,(40/E11),10)*100)&lt;=72%,72%,112%-(E11-F11)/(1/IF(E11&lt;4,(40/E11),10)*100))),IF(112%-(E11-F11)/E11*10&gt;105%,105%,IF(112%-(E11-F11)/E11*10&lt;72%,72%,112%-(E11-F11)/E11*10))),IF(MID(D11,3,1)="-",IF(92%+((E11-F11)/(E11))*0.4&gt;105%,105%,IF(92%+((E11-F11)/(E11))*0.4&lt;72%,72%,92%+((E11-F11)/(E11))*0.4)),IF(OR(B11="BOTO",B11="NPI",B11="FF"),IF(102%+((E11-F11)/(E11))*0.4&gt;105%,105%,IF(102%+((E11-F11)/(E11))*0.4&lt;72%,72%,102%+((E11-F11)/(E11))*0.4)),""))))))</f>
        <v/>
      </c>
      <c r="I11" s="11"/>
      <c r="J11" s="11"/>
      <c r="K11" s="11"/>
      <c r="M11" s="11"/>
      <c r="N11" s="11"/>
      <c r="O11" s="11"/>
      <c r="Q11" s="11"/>
      <c r="R11" s="11"/>
      <c r="S11" s="11"/>
      <c r="U11" s="11"/>
      <c r="V11" s="11"/>
      <c r="W11" s="11"/>
      <c r="Y11" s="11"/>
      <c r="Z11" s="11"/>
      <c r="AA11" s="11"/>
      <c r="AC11" s="11"/>
      <c r="AD11" s="11"/>
      <c r="AE11" s="11"/>
      <c r="AG11" s="11"/>
      <c r="AH11" s="11"/>
      <c r="AI11" s="11"/>
      <c r="AK11" s="11"/>
      <c r="AL11" s="11"/>
      <c r="AM11" s="11"/>
      <c r="AO11" s="11"/>
      <c r="AP11" s="11"/>
      <c r="AQ11" s="11"/>
      <c r="AS11" s="11"/>
      <c r="AT11" s="11"/>
      <c r="AU11" s="11"/>
      <c r="AW11" s="11"/>
      <c r="AX11" s="11"/>
      <c r="AY11" s="11"/>
      <c r="BA11" s="11"/>
      <c r="BB11" s="11"/>
      <c r="BC11" s="11"/>
    </row>
    <row r="12" spans="1:55" ht="30" x14ac:dyDescent="0.25">
      <c r="A12" s="215"/>
      <c r="B12" s="65" t="s">
        <v>163</v>
      </c>
      <c r="C12" s="66" t="s">
        <v>162</v>
      </c>
      <c r="D12" s="67" t="s">
        <v>142</v>
      </c>
      <c r="E12" s="15">
        <v>3</v>
      </c>
      <c r="F12" s="68" t="str">
        <f t="shared" si="0"/>
        <v/>
      </c>
      <c r="G12" s="69" t="str">
        <f>IF(OR(F12="",F12="NA"),"",IF(OR(C12="time",LEFT(C12,3)="DAY"),IF(OR(C12="DAY2",C12="time"),IF((92%-(F12-E12)/(1/10*100))&lt;70%,70%,IF(92%-(F12-E12)/(1/10*100)&gt;105%,105%,92%-(F12-E12)/(1/10*100))),IF(COUNT(E12)=1,IF((112%-(F12-E12)/(1/10*100))&lt;70%,70%,IF(112%-(F12-E12)/(1/10*100)&gt;105%,105%,112%-(F12-E12)/(1/10*100))))),IF(LEFT(C12,5)="month",IF(C12="month1",IF((112%-IF(F12="W1",0,IF(F12="W2",1,MATCH(F12,Sheet1!$A$2:$A$13,0)-MATCH(E12,Sheet1!$A$2:$A$13,0)+1))/(1/10*100))&lt;70%,70%,IF(112%-IF(F12="W1",0,IF(F12="W2",1,MATCH(F12,Sheet1!$A$2:$A$13,0)-MATCH(E12,Sheet1!$A$2:$A$13,0)+1))/(1/10*100)&gt;105%,105%,112%-IF(F12="W1",0,IF(F12="W2",1,MATCH(F12,Sheet1!$A$2:$A$13,0)-MATCH(E12,Sheet1!$A$2:$A$13,0)+1))/(1/10*100))),IF((92%-(IF(OR(F12="w1",F12="w2"),1,MATCH(F12,Sheet1!$A$2:$A$13,0))-MATCH(E12,Sheet1!$A$2:$A$13,0))/(1/10*100))&lt;70%,70%,IF(92%-(IF(OR(F12="w1",F12="w2"),1,MATCH(F12,Sheet1!$A$2:$A$13,0))-MATCH(E12,Sheet1!$A$2:$A$13,0))/(1/10*100)&gt;105%,105%,92%-(IF(OR(F12="w1",F12="w2"),1,MATCH(F12,Sheet1!$A$2:$A$13,0))-MATCH(E12,Sheet1!$A$2:$A$13,0))/(1/10*100)))),IF(MID(D12,3,1)="+",IF(E12&lt;100,IF(112%-(E12-F12)/(1/IF(E12&lt;4,(40/E12),10)*100)&gt;105%,105%,IF(112%-(E12-F12)/(1/IF(E12&lt;4,(40/E12),10)*100)&lt;=72%,72%,112%-(E12-F12)/(1/IF(E12&lt;4,(40/E12),10)*100))),IF(112%-(E12-F12)/E12*10&gt;105%,105%,IF(112%-(E12-F12)/E12*10&lt;72%,72%,112%-(E12-F12)/E12*10))),IF(MID(D12,3,1)="-",IF(92%+((E12-F12)/(E12))*0.4&gt;105%,105%,IF(92%+((E12-F12)/(E12))*0.4&lt;72%,72%,92%+((E12-F12)/(E12))*0.4)),IF(OR(B12="BOTO",B12="NPI",B12="FF"),IF(102%+((E12-F12)/(E12))*0.4&gt;105%,105%,IF(102%+((E12-F12)/(E12))*0.4&lt;72%,72%,102%+((E12-F12)/(E12))*0.4)),""))))))</f>
        <v/>
      </c>
      <c r="I12" s="11"/>
      <c r="J12" s="11"/>
      <c r="K12" s="11"/>
      <c r="M12" s="11"/>
      <c r="N12" s="11"/>
      <c r="O12" s="11"/>
      <c r="Q12" s="11"/>
      <c r="R12" s="11"/>
      <c r="S12" s="11"/>
      <c r="U12" s="11"/>
      <c r="V12" s="11"/>
      <c r="W12" s="11"/>
      <c r="Y12" s="11"/>
      <c r="Z12" s="11"/>
      <c r="AA12" s="11"/>
      <c r="AC12" s="11"/>
      <c r="AD12" s="11"/>
      <c r="AE12" s="11"/>
      <c r="AG12" s="11"/>
      <c r="AH12" s="11"/>
      <c r="AI12" s="11"/>
      <c r="AK12" s="11"/>
      <c r="AL12" s="11"/>
      <c r="AM12" s="11"/>
      <c r="AO12" s="11"/>
      <c r="AP12" s="11"/>
      <c r="AQ12" s="11"/>
      <c r="AS12" s="11"/>
      <c r="AT12" s="11"/>
      <c r="AU12" s="11"/>
      <c r="AW12" s="11"/>
      <c r="AX12" s="11"/>
      <c r="AY12" s="11"/>
      <c r="BA12" s="11"/>
      <c r="BB12" s="11"/>
      <c r="BC12" s="11"/>
    </row>
    <row r="13" spans="1:55" x14ac:dyDescent="0.25">
      <c r="A13" s="215"/>
      <c r="B13" s="65" t="s">
        <v>109</v>
      </c>
      <c r="C13" s="66" t="s">
        <v>23</v>
      </c>
      <c r="D13" s="67" t="s">
        <v>164</v>
      </c>
      <c r="E13" s="68">
        <v>99</v>
      </c>
      <c r="F13" s="68" t="str">
        <f t="shared" si="0"/>
        <v/>
      </c>
      <c r="G13" s="69" t="str">
        <f>IF(OR(F13="",F13="NA"),"",IF(OR(C13="time",LEFT(C13,3)="DAY"),IF(OR(C13="DAY2",C13="time"),IF((92%-(F13-E13)/(1/10*100))&lt;70%,70%,IF(92%-(F13-E13)/(1/10*100)&gt;105%,105%,92%-(F13-E13)/(1/10*100))),IF(COUNT(E13)=1,IF((112%-(F13-E13)/(1/10*100))&lt;70%,70%,IF(112%-(F13-E13)/(1/10*100)&gt;105%,105%,112%-(F13-E13)/(1/10*100))))),IF(LEFT(C13,5)="month",IF(C13="month1",IF((112%-IF(F13="W1",0,IF(F13="W2",1,MATCH(F13,Sheet1!$A$2:$A$13,0)-MATCH(E13,Sheet1!$A$2:$A$13,0)+1))/(1/10*100))&lt;70%,70%,IF(112%-IF(F13="W1",0,IF(F13="W2",1,MATCH(F13,Sheet1!$A$2:$A$13,0)-MATCH(E13,Sheet1!$A$2:$A$13,0)+1))/(1/10*100)&gt;105%,105%,112%-IF(F13="W1",0,IF(F13="W2",1,MATCH(F13,Sheet1!$A$2:$A$13,0)-MATCH(E13,Sheet1!$A$2:$A$13,0)+1))/(1/10*100))),IF((92%-(IF(OR(F13="w1",F13="w2"),1,MATCH(F13,Sheet1!$A$2:$A$13,0))-MATCH(E13,Sheet1!$A$2:$A$13,0))/(1/10*100))&lt;70%,70%,IF(92%-(IF(OR(F13="w1",F13="w2"),1,MATCH(F13,Sheet1!$A$2:$A$13,0))-MATCH(E13,Sheet1!$A$2:$A$13,0))/(1/10*100)&gt;105%,105%,92%-(IF(OR(F13="w1",F13="w2"),1,MATCH(F13,Sheet1!$A$2:$A$13,0))-MATCH(E13,Sheet1!$A$2:$A$13,0))/(1/10*100)))),IF(MID(D13,3,1)="+",IF(E13&lt;100,IF(112%-(E13-F13)/(1/IF(E13&lt;4,(40/E13),10)*100)&gt;105%,105%,IF(112%-(E13-F13)/(1/IF(E13&lt;4,(40/E13),10)*100)&lt;=72%,72%,112%-(E13-F13)/(1/IF(E13&lt;4,(40/E13),10)*100))),IF(112%-(E13-F13)/E13*10&gt;105%,105%,IF(112%-(E13-F13)/E13*10&lt;72%,72%,112%-(E13-F13)/E13*10))),IF(MID(D13,3,1)="-",IF(92%+((E13-F13)/(E13))*0.4&gt;105%,105%,IF(92%+((E13-F13)/(E13))*0.4&lt;72%,72%,92%+((E13-F13)/(E13))*0.4)),IF(OR(B13="BOTO",B13="NPI",B13="FF"),IF(102%+((E13-F13)/(E13))*0.4&gt;105%,105%,IF(102%+((E13-F13)/(E13))*0.4&lt;72%,72%,102%+((E13-F13)/(E13))*0.4)),""))))))</f>
        <v/>
      </c>
      <c r="I13" s="11"/>
      <c r="J13" s="11"/>
      <c r="K13" s="11"/>
      <c r="M13" s="11"/>
      <c r="N13" s="11"/>
      <c r="O13" s="11"/>
      <c r="Q13" s="11"/>
      <c r="R13" s="11"/>
      <c r="S13" s="11"/>
      <c r="U13" s="11"/>
      <c r="V13" s="11"/>
      <c r="W13" s="11"/>
      <c r="Y13" s="11"/>
      <c r="Z13" s="11"/>
      <c r="AA13" s="11"/>
      <c r="AC13" s="11"/>
      <c r="AD13" s="11"/>
      <c r="AE13" s="11"/>
      <c r="AG13" s="11"/>
      <c r="AH13" s="11"/>
      <c r="AI13" s="11"/>
      <c r="AK13" s="11"/>
      <c r="AL13" s="11"/>
      <c r="AM13" s="11"/>
      <c r="AO13" s="11"/>
      <c r="AP13" s="11"/>
      <c r="AQ13" s="11"/>
      <c r="AS13" s="11"/>
      <c r="AT13" s="11"/>
      <c r="AU13" s="11"/>
      <c r="AW13" s="11"/>
      <c r="AX13" s="11"/>
      <c r="AY13" s="11"/>
      <c r="BA13" s="11"/>
      <c r="BB13" s="11"/>
      <c r="BC13" s="11"/>
    </row>
    <row r="14" spans="1:55" x14ac:dyDescent="0.25">
      <c r="A14" s="215"/>
      <c r="B14" s="65" t="s">
        <v>110</v>
      </c>
      <c r="C14" s="66" t="s">
        <v>120</v>
      </c>
      <c r="D14" s="67" t="s">
        <v>144</v>
      </c>
      <c r="E14" s="68">
        <v>12</v>
      </c>
      <c r="F14" s="68" t="str">
        <f t="shared" si="0"/>
        <v/>
      </c>
      <c r="G14" s="69" t="str">
        <f>IF(OR(F14="",F14="NA"),"",IF(OR(C14="time",LEFT(C14,3)="DAY"),IF(OR(C14="DAY2",C14="time"),IF((92%-(F14-E14)/(1/10*100))&lt;70%,70%,IF(92%-(F14-E14)/(1/10*100)&gt;105%,105%,92%-(F14-E14)/(1/10*100))),IF(COUNT(E14)=1,IF((112%-(F14-E14)/(1/10*100))&lt;70%,70%,IF(112%-(F14-E14)/(1/10*100)&gt;105%,105%,112%-(F14-E14)/(1/10*100))))),IF(LEFT(C14,5)="month",IF(C14="month1",IF((112%-IF(F14="W1",0,IF(F14="W2",1,MATCH(F14,Sheet1!$A$2:$A$13,0)-MATCH(E14,Sheet1!$A$2:$A$13,0)+1))/(1/10*100))&lt;70%,70%,IF(112%-IF(F14="W1",0,IF(F14="W2",1,MATCH(F14,Sheet1!$A$2:$A$13,0)-MATCH(E14,Sheet1!$A$2:$A$13,0)+1))/(1/10*100)&gt;105%,105%,112%-IF(F14="W1",0,IF(F14="W2",1,MATCH(F14,Sheet1!$A$2:$A$13,0)-MATCH(E14,Sheet1!$A$2:$A$13,0)+1))/(1/10*100))),IF((92%-(IF(OR(F14="w1",F14="w2"),1,MATCH(F14,Sheet1!$A$2:$A$13,0))-MATCH(E14,Sheet1!$A$2:$A$13,0))/(1/10*100))&lt;70%,70%,IF(92%-(IF(OR(F14="w1",F14="w2"),1,MATCH(F14,Sheet1!$A$2:$A$13,0))-MATCH(E14,Sheet1!$A$2:$A$13,0))/(1/10*100)&gt;105%,105%,92%-(IF(OR(F14="w1",F14="w2"),1,MATCH(F14,Sheet1!$A$2:$A$13,0))-MATCH(E14,Sheet1!$A$2:$A$13,0))/(1/10*100)))),IF(MID(D14,3,1)="+",IF(E14&lt;100,IF(112%-(E14-F14)/(1/IF(E14&lt;4,(40/E14),10)*100)&gt;105%,105%,IF(112%-(E14-F14)/(1/IF(E14&lt;4,(40/E14),10)*100)&lt;=72%,72%,112%-(E14-F14)/(1/IF(E14&lt;4,(40/E14),10)*100))),IF(112%-(E14-F14)/E14*10&gt;105%,105%,IF(112%-(E14-F14)/E14*10&lt;72%,72%,112%-(E14-F14)/E14*10))),IF(MID(D14,3,1)="-",IF(92%+((E14-F14)/(E14))*0.4&gt;105%,105%,IF(92%+((E14-F14)/(E14))*0.4&lt;72%,72%,92%+((E14-F14)/(E14))*0.4)),IF(OR(B14="BOTO",B14="NPI",B14="FF"),IF(102%+((E14-F14)/(E14))*0.4&gt;105%,105%,IF(102%+((E14-F14)/(E14))*0.4&lt;72%,72%,102%+((E14-F14)/(E14))*0.4)),""))))))</f>
        <v/>
      </c>
      <c r="I14" s="11"/>
      <c r="J14" s="11"/>
      <c r="K14" s="11"/>
      <c r="M14" s="11"/>
      <c r="N14" s="11"/>
      <c r="O14" s="11"/>
      <c r="Q14" s="11"/>
      <c r="R14" s="11"/>
      <c r="S14" s="11"/>
      <c r="U14" s="11"/>
      <c r="V14" s="11"/>
      <c r="W14" s="11"/>
      <c r="Y14" s="11"/>
      <c r="Z14" s="11"/>
      <c r="AA14" s="11"/>
      <c r="AC14" s="11"/>
      <c r="AD14" s="11"/>
      <c r="AE14" s="11"/>
      <c r="AG14" s="11"/>
      <c r="AH14" s="11"/>
      <c r="AI14" s="11"/>
      <c r="AK14" s="11"/>
      <c r="AL14" s="11"/>
      <c r="AM14" s="11"/>
      <c r="AO14" s="11"/>
      <c r="AP14" s="11"/>
      <c r="AQ14" s="11"/>
      <c r="AS14" s="11"/>
      <c r="AT14" s="11"/>
      <c r="AU14" s="11"/>
      <c r="AW14" s="11"/>
      <c r="AX14" s="11"/>
      <c r="AY14" s="11"/>
      <c r="BA14" s="11"/>
      <c r="BB14" s="11"/>
      <c r="BC14" s="11"/>
    </row>
    <row r="15" spans="1:55" x14ac:dyDescent="0.25">
      <c r="A15" s="215"/>
      <c r="B15" s="65" t="s">
        <v>111</v>
      </c>
      <c r="C15" s="66" t="s">
        <v>24</v>
      </c>
      <c r="D15" s="67" t="s">
        <v>144</v>
      </c>
      <c r="E15" s="15">
        <v>2</v>
      </c>
      <c r="F15" s="68" t="str">
        <f t="shared" si="0"/>
        <v/>
      </c>
      <c r="G15" s="69" t="str">
        <f>IF(OR(F15="",F15="NA"),"",IF(OR(C15="time",LEFT(C15,3)="DAY"),IF(OR(C15="DAY2",C15="time"),IF((92%-(F15-E15)/(1/10*100))&lt;70%,70%,IF(92%-(F15-E15)/(1/10*100)&gt;105%,105%,92%-(F15-E15)/(1/10*100))),IF(COUNT(E15)=1,IF((112%-(F15-E15)/(1/10*100))&lt;70%,70%,IF(112%-(F15-E15)/(1/10*100)&gt;105%,105%,112%-(F15-E15)/(1/10*100))))),IF(LEFT(C15,5)="month",IF(C15="month1",IF((112%-IF(F15="W1",0,IF(F15="W2",1,MATCH(F15,Sheet1!$A$2:$A$13,0)-MATCH(E15,Sheet1!$A$2:$A$13,0)+1))/(1/10*100))&lt;70%,70%,IF(112%-IF(F15="W1",0,IF(F15="W2",1,MATCH(F15,Sheet1!$A$2:$A$13,0)-MATCH(E15,Sheet1!$A$2:$A$13,0)+1))/(1/10*100)&gt;105%,105%,112%-IF(F15="W1",0,IF(F15="W2",1,MATCH(F15,Sheet1!$A$2:$A$13,0)-MATCH(E15,Sheet1!$A$2:$A$13,0)+1))/(1/10*100))),IF((92%-(IF(OR(F15="w1",F15="w2"),1,MATCH(F15,Sheet1!$A$2:$A$13,0))-MATCH(E15,Sheet1!$A$2:$A$13,0))/(1/10*100))&lt;70%,70%,IF(92%-(IF(OR(F15="w1",F15="w2"),1,MATCH(F15,Sheet1!$A$2:$A$13,0))-MATCH(E15,Sheet1!$A$2:$A$13,0))/(1/10*100)&gt;105%,105%,92%-(IF(OR(F15="w1",F15="w2"),1,MATCH(F15,Sheet1!$A$2:$A$13,0))-MATCH(E15,Sheet1!$A$2:$A$13,0))/(1/10*100)))),IF(MID(D15,3,1)="+",IF(E15&lt;100,IF(112%-(E15-F15)/(1/IF(E15&lt;4,(40/E15),10)*100)&gt;105%,105%,IF(112%-(E15-F15)/(1/IF(E15&lt;4,(40/E15),10)*100)&lt;=72%,72%,112%-(E15-F15)/(1/IF(E15&lt;4,(40/E15),10)*100))),IF(112%-(E15-F15)/E15*10&gt;105%,105%,IF(112%-(E15-F15)/E15*10&lt;72%,72%,112%-(E15-F15)/E15*10))),IF(MID(D15,3,1)="-",IF(92%+((E15-F15)/(E15))*0.4&gt;105%,105%,IF(92%+((E15-F15)/(E15))*0.4&lt;72%,72%,92%+((E15-F15)/(E15))*0.4)),IF(OR(B15="BOTO",B15="NPI",B15="FF"),IF(102%+((E15-F15)/(E15))*0.4&gt;105%,105%,IF(102%+((E15-F15)/(E15))*0.4&lt;72%,72%,102%+((E15-F15)/(E15))*0.4)),""))))))</f>
        <v/>
      </c>
      <c r="I15" s="11"/>
      <c r="J15" s="11"/>
      <c r="K15" s="11"/>
      <c r="M15" s="11"/>
      <c r="N15" s="11"/>
      <c r="O15" s="11"/>
      <c r="Q15" s="11"/>
      <c r="R15" s="11"/>
      <c r="S15" s="11"/>
      <c r="U15" s="11"/>
      <c r="V15" s="11"/>
      <c r="W15" s="11"/>
      <c r="Y15" s="11"/>
      <c r="Z15" s="11"/>
      <c r="AA15" s="11"/>
      <c r="AC15" s="11"/>
      <c r="AD15" s="11"/>
      <c r="AE15" s="11"/>
      <c r="AG15" s="11"/>
      <c r="AH15" s="11"/>
      <c r="AI15" s="11"/>
      <c r="AK15" s="11"/>
      <c r="AL15" s="11"/>
      <c r="AM15" s="11"/>
      <c r="AO15" s="11"/>
      <c r="AP15" s="11"/>
      <c r="AQ15" s="11"/>
      <c r="AS15" s="11"/>
      <c r="AT15" s="11"/>
      <c r="AU15" s="11"/>
      <c r="AW15" s="11"/>
      <c r="AX15" s="11"/>
      <c r="AY15" s="11"/>
      <c r="BA15" s="11"/>
      <c r="BB15" s="11"/>
      <c r="BC15" s="11"/>
    </row>
    <row r="16" spans="1:55" ht="15.75" thickBot="1" x14ac:dyDescent="0.3">
      <c r="A16" s="215"/>
      <c r="B16" s="119" t="s">
        <v>112</v>
      </c>
      <c r="C16" s="120" t="s">
        <v>24</v>
      </c>
      <c r="D16" s="121" t="s">
        <v>144</v>
      </c>
      <c r="E16" s="122">
        <v>2</v>
      </c>
      <c r="F16" s="122" t="str">
        <f t="shared" si="0"/>
        <v/>
      </c>
      <c r="G16" s="35" t="str">
        <f>IF(OR(F16="",F16="NA"),"",IF(OR(C16="time",LEFT(C16,3)="DAY"),IF(OR(C16="DAY2",C16="time"),IF((92%-(F16-E16)/(1/10*100))&lt;70%,70%,IF(92%-(F16-E16)/(1/10*100)&gt;105%,105%,92%-(F16-E16)/(1/10*100))),IF(COUNT(E16)=1,IF((112%-(F16-E16)/(1/10*100))&lt;70%,70%,IF(112%-(F16-E16)/(1/10*100)&gt;105%,105%,112%-(F16-E16)/(1/10*100))))),IF(LEFT(C16,5)="month",IF(C16="month1",IF((112%-IF(F16="W1",0,IF(F16="W2",1,MATCH(F16,Sheet1!$A$2:$A$13,0)-MATCH(E16,Sheet1!$A$2:$A$13,0)+1))/(1/10*100))&lt;70%,70%,IF(112%-IF(F16="W1",0,IF(F16="W2",1,MATCH(F16,Sheet1!$A$2:$A$13,0)-MATCH(E16,Sheet1!$A$2:$A$13,0)+1))/(1/10*100)&gt;105%,105%,112%-IF(F16="W1",0,IF(F16="W2",1,MATCH(F16,Sheet1!$A$2:$A$13,0)-MATCH(E16,Sheet1!$A$2:$A$13,0)+1))/(1/10*100))),IF((92%-(IF(OR(F16="w1",F16="w2"),1,MATCH(F16,Sheet1!$A$2:$A$13,0))-MATCH(E16,Sheet1!$A$2:$A$13,0))/(1/10*100))&lt;70%,70%,IF(92%-(IF(OR(F16="w1",F16="w2"),1,MATCH(F16,Sheet1!$A$2:$A$13,0))-MATCH(E16,Sheet1!$A$2:$A$13,0))/(1/10*100)&gt;105%,105%,92%-(IF(OR(F16="w1",F16="w2"),1,MATCH(F16,Sheet1!$A$2:$A$13,0))-MATCH(E16,Sheet1!$A$2:$A$13,0))/(1/10*100)))),IF(MID(D16,3,1)="+",IF(E16&lt;100,IF(112%-(E16-F16)/(1/IF(E16&lt;4,(40/E16),10)*100)&gt;105%,105%,IF(112%-(E16-F16)/(1/IF(E16&lt;4,(40/E16),10)*100)&lt;=72%,72%,112%-(E16-F16)/(1/IF(E16&lt;4,(40/E16),10)*100))),IF(112%-(E16-F16)/E16*10&gt;105%,105%,IF(112%-(E16-F16)/E16*10&lt;72%,72%,112%-(E16-F16)/E16*10))),IF(MID(D16,3,1)="-",IF(92%+((E16-F16)/(E16))*0.4&gt;105%,105%,IF(92%+((E16-F16)/(E16))*0.4&lt;72%,72%,92%+((E16-F16)/(E16))*0.4)),IF(OR(B16="BOTO",B16="NPI",B16="FF"),IF(102%+((E16-F16)/(E16))*0.4&gt;105%,105%,IF(102%+((E16-F16)/(E16))*0.4&lt;72%,72%,102%+((E16-F16)/(E16))*0.4)),""))))))</f>
        <v/>
      </c>
      <c r="I16" s="11"/>
      <c r="J16" s="11"/>
      <c r="K16" s="11"/>
      <c r="M16" s="11"/>
      <c r="N16" s="11"/>
      <c r="O16" s="11"/>
      <c r="Q16" s="11"/>
      <c r="R16" s="11"/>
      <c r="S16" s="11"/>
      <c r="U16" s="11"/>
      <c r="V16" s="11"/>
      <c r="W16" s="11"/>
      <c r="Y16" s="11"/>
      <c r="Z16" s="11"/>
      <c r="AA16" s="11"/>
      <c r="AC16" s="11"/>
      <c r="AD16" s="11"/>
      <c r="AE16" s="11"/>
      <c r="AG16" s="11"/>
      <c r="AH16" s="11"/>
      <c r="AI16" s="11"/>
      <c r="AK16" s="11"/>
      <c r="AL16" s="11"/>
      <c r="AM16" s="11"/>
      <c r="AO16" s="11"/>
      <c r="AP16" s="11"/>
      <c r="AQ16" s="11"/>
      <c r="AS16" s="11"/>
      <c r="AT16" s="11"/>
      <c r="AU16" s="11"/>
      <c r="AW16" s="11"/>
      <c r="AX16" s="11"/>
      <c r="AY16" s="11"/>
      <c r="BA16" s="11"/>
      <c r="BB16" s="11"/>
      <c r="BC16" s="11"/>
    </row>
    <row r="17" spans="1:55" ht="30.75" customHeight="1" x14ac:dyDescent="0.25">
      <c r="A17" s="224" t="s">
        <v>53</v>
      </c>
      <c r="B17" s="38" t="s">
        <v>113</v>
      </c>
      <c r="C17" s="36" t="s">
        <v>165</v>
      </c>
      <c r="D17" s="9" t="s">
        <v>142</v>
      </c>
      <c r="E17" s="16">
        <v>1</v>
      </c>
      <c r="F17" s="16" t="str">
        <f t="shared" si="0"/>
        <v/>
      </c>
      <c r="G17" s="107" t="str">
        <f>IF(OR(F17="",F17="NA"),"",IF(OR(C17="time",LEFT(C17,3)="DAY"),IF(OR(C17="DAY2",C17="time"),IF((92%-(F17-E17)/(1/10*100))&lt;70%,70%,IF(92%-(F17-E17)/(1/10*100)&gt;105%,105%,92%-(F17-E17)/(1/10*100))),IF(COUNT(E17)=1,IF((112%-(F17-E17)/(1/10*100))&lt;70%,70%,IF(112%-(F17-E17)/(1/10*100)&gt;105%,105%,112%-(F17-E17)/(1/10*100))))),IF(LEFT(C17,5)="month",IF(C17="month1",IF((112%-IF(F17="W1",0,IF(F17="W2",1,MATCH(F17,Sheet1!$A$2:$A$13,0)-MATCH(E17,Sheet1!$A$2:$A$13,0)+1))/(1/10*100))&lt;70%,70%,IF(112%-IF(F17="W1",0,IF(F17="W2",1,MATCH(F17,Sheet1!$A$2:$A$13,0)-MATCH(E17,Sheet1!$A$2:$A$13,0)+1))/(1/10*100)&gt;105%,105%,112%-IF(F17="W1",0,IF(F17="W2",1,MATCH(F17,Sheet1!$A$2:$A$13,0)-MATCH(E17,Sheet1!$A$2:$A$13,0)+1))/(1/10*100))),IF((92%-(IF(OR(F17="w1",F17="w2"),1,MATCH(F17,Sheet1!$A$2:$A$13,0))-MATCH(E17,Sheet1!$A$2:$A$13,0))/(1/10*100))&lt;70%,70%,IF(92%-(IF(OR(F17="w1",F17="w2"),1,MATCH(F17,Sheet1!$A$2:$A$13,0))-MATCH(E17,Sheet1!$A$2:$A$13,0))/(1/10*100)&gt;105%,105%,92%-(IF(OR(F17="w1",F17="w2"),1,MATCH(F17,Sheet1!$A$2:$A$13,0))-MATCH(E17,Sheet1!$A$2:$A$13,0))/(1/10*100)))),IF(MID(D17,3,1)="+",IF(E17&lt;100,IF(112%-(E17-F17)/(1/IF(E17&lt;4,(40/E17),10)*100)&gt;105%,105%,IF(112%-(E17-F17)/(1/IF(E17&lt;4,(40/E17),10)*100)&lt;=72%,72%,112%-(E17-F17)/(1/IF(E17&lt;4,(40/E17),10)*100))),IF(112%-(E17-F17)/E17*10&gt;105%,105%,IF(112%-(E17-F17)/E17*10&lt;72%,72%,112%-(E17-F17)/E17*10))),IF(MID(D17,3,1)="-",IF(92%+((E17-F17)/(E17))*0.4&gt;105%,105%,IF(92%+((E17-F17)/(E17))*0.4&lt;72%,72%,92%+((E17-F17)/(E17))*0.4)),IF(OR(B17="BOTO",B17="NPI",B17="FF"),IF(102%+((E17-F17)/(E17))*0.4&gt;105%,105%,IF(102%+((E17-F17)/(E17))*0.4&lt;72%,72%,102%+((E17-F17)/(E17))*0.4)),""))))))</f>
        <v/>
      </c>
      <c r="I17" s="11"/>
      <c r="J17" s="11"/>
      <c r="K17" s="11"/>
      <c r="M17" s="11"/>
      <c r="N17" s="11"/>
      <c r="O17" s="11"/>
      <c r="Q17" s="11"/>
      <c r="R17" s="11"/>
      <c r="S17" s="11"/>
      <c r="U17" s="11"/>
      <c r="V17" s="11"/>
      <c r="W17" s="11"/>
      <c r="Y17" s="11"/>
      <c r="Z17" s="11"/>
      <c r="AA17" s="11"/>
      <c r="AC17" s="11"/>
      <c r="AD17" s="11"/>
      <c r="AE17" s="11"/>
      <c r="AG17" s="11"/>
      <c r="AH17" s="11"/>
      <c r="AI17" s="11"/>
      <c r="AK17" s="11"/>
      <c r="AL17" s="11"/>
      <c r="AM17" s="11"/>
      <c r="AO17" s="11"/>
      <c r="AP17" s="11"/>
      <c r="AQ17" s="11"/>
      <c r="AS17" s="11"/>
      <c r="AT17" s="11"/>
      <c r="AU17" s="11"/>
      <c r="AW17" s="11"/>
      <c r="AX17" s="11"/>
      <c r="AY17" s="11"/>
      <c r="BA17" s="11"/>
      <c r="BB17" s="11"/>
      <c r="BC17" s="11"/>
    </row>
    <row r="18" spans="1:55" x14ac:dyDescent="0.25">
      <c r="A18" s="230"/>
      <c r="B18" s="39" t="s">
        <v>118</v>
      </c>
      <c r="C18" s="37" t="s">
        <v>23</v>
      </c>
      <c r="D18" s="131" t="s">
        <v>164</v>
      </c>
      <c r="E18" s="15">
        <v>95</v>
      </c>
      <c r="F18" s="15" t="str">
        <f t="shared" si="0"/>
        <v/>
      </c>
      <c r="G18" s="123" t="str">
        <f>IF(OR(F18="",F18="NA"),"",IF(OR(C18="time",LEFT(C18,3)="DAY"),IF(OR(C18="DAY2",C18="time"),IF((92%-(F18-E18)/(1/10*100))&lt;70%,70%,IF(92%-(F18-E18)/(1/10*100)&gt;105%,105%,92%-(F18-E18)/(1/10*100))),IF(COUNT(E18)=1,IF((112%-(F18-E18)/(1/10*100))&lt;70%,70%,IF(112%-(F18-E18)/(1/10*100)&gt;105%,105%,112%-(F18-E18)/(1/10*100))))),IF(LEFT(C18,5)="month",IF(C18="month1",IF((112%-IF(F18="W1",0,IF(F18="W2",1,MATCH(F18,Sheet1!$A$2:$A$13,0)-MATCH(E18,Sheet1!$A$2:$A$13,0)+1))/(1/10*100))&lt;70%,70%,IF(112%-IF(F18="W1",0,IF(F18="W2",1,MATCH(F18,Sheet1!$A$2:$A$13,0)-MATCH(E18,Sheet1!$A$2:$A$13,0)+1))/(1/10*100)&gt;105%,105%,112%-IF(F18="W1",0,IF(F18="W2",1,MATCH(F18,Sheet1!$A$2:$A$13,0)-MATCH(E18,Sheet1!$A$2:$A$13,0)+1))/(1/10*100))),IF((92%-(IF(OR(F18="w1",F18="w2"),1,MATCH(F18,Sheet1!$A$2:$A$13,0))-MATCH(E18,Sheet1!$A$2:$A$13,0))/(1/10*100))&lt;70%,70%,IF(92%-(IF(OR(F18="w1",F18="w2"),1,MATCH(F18,Sheet1!$A$2:$A$13,0))-MATCH(E18,Sheet1!$A$2:$A$13,0))/(1/10*100)&gt;105%,105%,92%-(IF(OR(F18="w1",F18="w2"),1,MATCH(F18,Sheet1!$A$2:$A$13,0))-MATCH(E18,Sheet1!$A$2:$A$13,0))/(1/10*100)))),IF(MID(D18,3,1)="+",IF(E18&lt;100,IF(112%-(E18-F18)/(1/IF(E18&lt;4,(40/E18),10)*100)&gt;105%,105%,IF(112%-(E18-F18)/(1/IF(E18&lt;4,(40/E18),10)*100)&lt;=72%,72%,112%-(E18-F18)/(1/IF(E18&lt;4,(40/E18),10)*100))),IF(112%-(E18-F18)/E18*10&gt;105%,105%,IF(112%-(E18-F18)/E18*10&lt;72%,72%,112%-(E18-F18)/E18*10))),IF(MID(D18,3,1)="-",IF(92%+((E18-F18)/(E18))*0.4&gt;105%,105%,IF(92%+((E18-F18)/(E18))*0.4&lt;72%,72%,92%+((E18-F18)/(E18))*0.4)),IF(OR(B18="BOTO",B18="NPI",B18="FF"),IF(102%+((E18-F18)/(E18))*0.4&gt;105%,105%,IF(102%+((E18-F18)/(E18))*0.4&lt;72%,72%,102%+((E18-F18)/(E18))*0.4)),""))))))</f>
        <v/>
      </c>
      <c r="I18" s="11"/>
      <c r="J18" s="11"/>
      <c r="K18" s="11"/>
      <c r="M18" s="11"/>
      <c r="N18" s="11"/>
      <c r="O18" s="11"/>
      <c r="Q18" s="11"/>
      <c r="R18" s="11"/>
      <c r="S18" s="11"/>
      <c r="U18" s="11"/>
      <c r="V18" s="11"/>
      <c r="W18" s="11"/>
      <c r="Y18" s="11"/>
      <c r="Z18" s="11"/>
      <c r="AA18" s="11"/>
      <c r="AC18" s="11"/>
      <c r="AD18" s="11"/>
      <c r="AE18" s="11"/>
      <c r="AG18" s="11"/>
      <c r="AH18" s="11"/>
      <c r="AI18" s="11"/>
      <c r="AK18" s="11"/>
      <c r="AL18" s="11"/>
      <c r="AM18" s="11"/>
      <c r="AO18" s="11"/>
      <c r="AP18" s="11"/>
      <c r="AQ18" s="11"/>
      <c r="AS18" s="11"/>
      <c r="AT18" s="11"/>
      <c r="AU18" s="11"/>
      <c r="AW18" s="11"/>
      <c r="AX18" s="11"/>
      <c r="AY18" s="11"/>
      <c r="BA18" s="11"/>
      <c r="BB18" s="11"/>
      <c r="BC18" s="11"/>
    </row>
    <row r="19" spans="1:55" ht="15.75" thickBot="1" x14ac:dyDescent="0.3">
      <c r="A19" s="225"/>
      <c r="B19" s="108" t="s">
        <v>119</v>
      </c>
      <c r="C19" s="109" t="s">
        <v>23</v>
      </c>
      <c r="D19" s="110" t="s">
        <v>164</v>
      </c>
      <c r="E19" s="111">
        <v>90</v>
      </c>
      <c r="F19" s="111" t="str">
        <f t="shared" si="0"/>
        <v/>
      </c>
      <c r="G19" s="112" t="str">
        <f>IF(OR(F19="",F19="NA"),"",IF(OR(C19="time",LEFT(C19,3)="DAY"),IF(OR(C19="DAY2",C19="time"),IF((92%-(F19-E19)/(1/10*100))&lt;70%,70%,IF(92%-(F19-E19)/(1/10*100)&gt;105%,105%,92%-(F19-E19)/(1/10*100))),IF(COUNT(E19)=1,IF((112%-(F19-E19)/(1/10*100))&lt;70%,70%,IF(112%-(F19-E19)/(1/10*100)&gt;105%,105%,112%-(F19-E19)/(1/10*100))))),IF(LEFT(C19,5)="month",IF(C19="month1",IF((112%-IF(F19="W1",0,IF(F19="W2",1,MATCH(F19,Sheet1!$A$2:$A$13,0)-MATCH(E19,Sheet1!$A$2:$A$13,0)+1))/(1/10*100))&lt;70%,70%,IF(112%-IF(F19="W1",0,IF(F19="W2",1,MATCH(F19,Sheet1!$A$2:$A$13,0)-MATCH(E19,Sheet1!$A$2:$A$13,0)+1))/(1/10*100)&gt;105%,105%,112%-IF(F19="W1",0,IF(F19="W2",1,MATCH(F19,Sheet1!$A$2:$A$13,0)-MATCH(E19,Sheet1!$A$2:$A$13,0)+1))/(1/10*100))),IF((92%-(IF(OR(F19="w1",F19="w2"),1,MATCH(F19,Sheet1!$A$2:$A$13,0))-MATCH(E19,Sheet1!$A$2:$A$13,0))/(1/10*100))&lt;70%,70%,IF(92%-(IF(OR(F19="w1",F19="w2"),1,MATCH(F19,Sheet1!$A$2:$A$13,0))-MATCH(E19,Sheet1!$A$2:$A$13,0))/(1/10*100)&gt;105%,105%,92%-(IF(OR(F19="w1",F19="w2"),1,MATCH(F19,Sheet1!$A$2:$A$13,0))-MATCH(E19,Sheet1!$A$2:$A$13,0))/(1/10*100)))),IF(MID(D19,3,1)="+",IF(E19&lt;100,IF(112%-(E19-F19)/(1/IF(E19&lt;4,(40/E19),10)*100)&gt;105%,105%,IF(112%-(E19-F19)/(1/IF(E19&lt;4,(40/E19),10)*100)&lt;=72%,72%,112%-(E19-F19)/(1/IF(E19&lt;4,(40/E19),10)*100))),IF(112%-(E19-F19)/E19*10&gt;105%,105%,IF(112%-(E19-F19)/E19*10&lt;72%,72%,112%-(E19-F19)/E19*10))),IF(MID(D19,3,1)="-",IF(92%+((E19-F19)/(E19))*0.4&gt;105%,105%,IF(92%+((E19-F19)/(E19))*0.4&lt;72%,72%,92%+((E19-F19)/(E19))*0.4)),IF(OR(B19="BOTO",B19="NPI",B19="FF"),IF(102%+((E19-F19)/(E19))*0.4&gt;105%,105%,IF(102%+((E19-F19)/(E19))*0.4&lt;72%,72%,102%+((E19-F19)/(E19))*0.4)),""))))))</f>
        <v/>
      </c>
      <c r="I19" s="11"/>
      <c r="J19" s="11"/>
      <c r="K19" s="11"/>
      <c r="M19" s="11"/>
      <c r="N19" s="11"/>
      <c r="O19" s="11"/>
      <c r="Q19" s="11"/>
      <c r="R19" s="11"/>
      <c r="S19" s="11"/>
      <c r="U19" s="11"/>
      <c r="V19" s="11"/>
      <c r="W19" s="11"/>
      <c r="Y19" s="11"/>
      <c r="Z19" s="11"/>
      <c r="AA19" s="11"/>
      <c r="AC19" s="11"/>
      <c r="AD19" s="11"/>
      <c r="AE19" s="11"/>
      <c r="AG19" s="11"/>
      <c r="AH19" s="11"/>
      <c r="AI19" s="11"/>
      <c r="AK19" s="11"/>
      <c r="AL19" s="11"/>
      <c r="AM19" s="11"/>
      <c r="AO19" s="11"/>
      <c r="AP19" s="11"/>
      <c r="AQ19" s="11"/>
      <c r="AS19" s="11"/>
      <c r="AT19" s="11"/>
      <c r="AU19" s="11"/>
      <c r="AW19" s="11"/>
      <c r="AX19" s="11"/>
      <c r="AY19" s="11"/>
      <c r="BA19" s="11"/>
      <c r="BB19" s="11"/>
      <c r="BC19" s="11"/>
    </row>
    <row r="20" spans="1:55" ht="30" x14ac:dyDescent="0.25">
      <c r="A20" s="215" t="s">
        <v>54</v>
      </c>
      <c r="B20" s="65" t="s">
        <v>140</v>
      </c>
      <c r="C20" s="66" t="s">
        <v>165</v>
      </c>
      <c r="D20" s="67" t="s">
        <v>142</v>
      </c>
      <c r="E20" s="106">
        <v>30</v>
      </c>
      <c r="F20" s="106" t="str">
        <f t="shared" si="0"/>
        <v/>
      </c>
      <c r="G20" s="69" t="str">
        <f>IF(OR(F20="",F20="NA"),"",IF(OR(C20="time",LEFT(C20,3)="DAY"),IF(OR(C20="DAY2",C20="time"),IF((92%-(F20-E20)/(1/10*100))&lt;70%,70%,IF(92%-(F20-E20)/(1/10*100)&gt;105%,105%,92%-(F20-E20)/(1/10*100))),IF(COUNT(E20)=1,IF((112%-(F20-E20)/(1/10*100))&lt;70%,70%,IF(112%-(F20-E20)/(1/10*100)&gt;105%,105%,112%-(F20-E20)/(1/10*100))))),IF(LEFT(C20,5)="month",IF(C20="month1",IF((112%-IF(F20="W1",0,IF(F20="W2",1,MATCH(F20,Sheet1!$A$2:$A$13,0)-MATCH(E20,Sheet1!$A$2:$A$13,0)+1))/(1/10*100))&lt;70%,70%,IF(112%-IF(F20="W1",0,IF(F20="W2",1,MATCH(F20,Sheet1!$A$2:$A$13,0)-MATCH(E20,Sheet1!$A$2:$A$13,0)+1))/(1/10*100)&gt;105%,105%,112%-IF(F20="W1",0,IF(F20="W2",1,MATCH(F20,Sheet1!$A$2:$A$13,0)-MATCH(E20,Sheet1!$A$2:$A$13,0)+1))/(1/10*100))),IF((92%-(IF(OR(F20="w1",F20="w2"),1,MATCH(F20,Sheet1!$A$2:$A$13,0))-MATCH(E20,Sheet1!$A$2:$A$13,0))/(1/10*100))&lt;70%,70%,IF(92%-(IF(OR(F20="w1",F20="w2"),1,MATCH(F20,Sheet1!$A$2:$A$13,0))-MATCH(E20,Sheet1!$A$2:$A$13,0))/(1/10*100)&gt;105%,105%,92%-(IF(OR(F20="w1",F20="w2"),1,MATCH(F20,Sheet1!$A$2:$A$13,0))-MATCH(E20,Sheet1!$A$2:$A$13,0))/(1/10*100)))),IF(MID(D20,3,1)="+",IF(E20&lt;100,IF(112%-(E20-F20)/(1/IF(E20&lt;4,(40/E20),10)*100)&gt;105%,105%,IF(112%-(E20-F20)/(1/IF(E20&lt;4,(40/E20),10)*100)&lt;=72%,72%,112%-(E20-F20)/(1/IF(E20&lt;4,(40/E20),10)*100))),IF(112%-(E20-F20)/E20*10&gt;105%,105%,IF(112%-(E20-F20)/E20*10&lt;72%,72%,112%-(E20-F20)/E20*10))),IF(MID(D20,3,1)="-",IF(92%+((E20-F20)/(E20))*0.4&gt;105%,105%,IF(92%+((E20-F20)/(E20))*0.4&lt;72%,72%,92%+((E20-F20)/(E20))*0.4)),IF(OR(B20="BOTO",B20="NPI",B20="FF"),IF(102%+((E20-F20)/(E20))*0.4&gt;105%,105%,IF(102%+((E20-F20)/(E20))*0.4&lt;72%,72%,102%+((E20-F20)/(E20))*0.4)),""))))))</f>
        <v/>
      </c>
      <c r="I20" s="11"/>
      <c r="J20" s="11"/>
      <c r="K20" s="11"/>
      <c r="M20" s="11"/>
      <c r="N20" s="11"/>
      <c r="O20" s="11"/>
      <c r="Q20" s="11"/>
      <c r="R20" s="11"/>
      <c r="S20" s="11"/>
      <c r="U20" s="11"/>
      <c r="V20" s="11"/>
      <c r="W20" s="11"/>
      <c r="Y20" s="11"/>
      <c r="Z20" s="11"/>
      <c r="AA20" s="11"/>
      <c r="AC20" s="11"/>
      <c r="AD20" s="11"/>
      <c r="AE20" s="11"/>
      <c r="AG20" s="11"/>
      <c r="AH20" s="11"/>
      <c r="AI20" s="11"/>
      <c r="AK20" s="11"/>
      <c r="AL20" s="11"/>
      <c r="AM20" s="11"/>
      <c r="AO20" s="11"/>
      <c r="AP20" s="11"/>
      <c r="AQ20" s="11"/>
      <c r="AS20" s="11"/>
      <c r="AT20" s="11"/>
      <c r="AU20" s="11"/>
      <c r="AW20" s="11"/>
      <c r="AX20" s="11"/>
      <c r="AY20" s="11"/>
      <c r="BA20" s="11"/>
      <c r="BB20" s="11"/>
      <c r="BC20" s="11"/>
    </row>
    <row r="21" spans="1:55" x14ac:dyDescent="0.25">
      <c r="A21" s="215"/>
      <c r="B21" s="65" t="s">
        <v>114</v>
      </c>
      <c r="C21" s="13" t="s">
        <v>120</v>
      </c>
      <c r="D21" s="131" t="s">
        <v>144</v>
      </c>
      <c r="E21" s="15">
        <v>2</v>
      </c>
      <c r="F21" s="15" t="str">
        <f t="shared" si="0"/>
        <v/>
      </c>
      <c r="G21" s="14" t="str">
        <f>IF(OR(F21="",F21="NA"),"",IF(OR(C21="time",LEFT(C21,3)="DAY"),IF(OR(C21="DAY2",C21="time"),IF((92%-(F21-E21)/(1/10*100))&lt;70%,70%,IF(92%-(F21-E21)/(1/10*100)&gt;105%,105%,92%-(F21-E21)/(1/10*100))),IF(COUNT(E21)=1,IF((112%-(F21-E21)/(1/10*100))&lt;70%,70%,IF(112%-(F21-E21)/(1/10*100)&gt;105%,105%,112%-(F21-E21)/(1/10*100))))),IF(LEFT(C21,5)="month",IF(C21="month1",IF((112%-IF(F21="W1",0,IF(F21="W2",1,MATCH(F21,Sheet1!$A$2:$A$13,0)-MATCH(E21,Sheet1!$A$2:$A$13,0)+1))/(1/10*100))&lt;70%,70%,IF(112%-IF(F21="W1",0,IF(F21="W2",1,MATCH(F21,Sheet1!$A$2:$A$13,0)-MATCH(E21,Sheet1!$A$2:$A$13,0)+1))/(1/10*100)&gt;105%,105%,112%-IF(F21="W1",0,IF(F21="W2",1,MATCH(F21,Sheet1!$A$2:$A$13,0)-MATCH(E21,Sheet1!$A$2:$A$13,0)+1))/(1/10*100))),IF((92%-(IF(OR(F21="w1",F21="w2"),1,MATCH(F21,Sheet1!$A$2:$A$13,0))-MATCH(E21,Sheet1!$A$2:$A$13,0))/(1/10*100))&lt;70%,70%,IF(92%-(IF(OR(F21="w1",F21="w2"),1,MATCH(F21,Sheet1!$A$2:$A$13,0))-MATCH(E21,Sheet1!$A$2:$A$13,0))/(1/10*100)&gt;105%,105%,92%-(IF(OR(F21="w1",F21="w2"),1,MATCH(F21,Sheet1!$A$2:$A$13,0))-MATCH(E21,Sheet1!$A$2:$A$13,0))/(1/10*100)))),IF(MID(D21,3,1)="+",IF(E21&lt;100,IF(112%-(E21-F21)/(1/IF(E21&lt;4,(40/E21),10)*100)&gt;105%,105%,IF(112%-(E21-F21)/(1/IF(E21&lt;4,(40/E21),10)*100)&lt;=72%,72%,112%-(E21-F21)/(1/IF(E21&lt;4,(40/E21),10)*100))),IF(112%-(E21-F21)/E21*10&gt;105%,105%,IF(112%-(E21-F21)/E21*10&lt;72%,72%,112%-(E21-F21)/E21*10))),IF(MID(D21,3,1)="-",IF(92%+((E21-F21)/(E21))*0.4&gt;105%,105%,IF(92%+((E21-F21)/(E21))*0.4&lt;72%,72%,92%+((E21-F21)/(E21))*0.4)),IF(OR(B21="BOTO",B21="NPI",B21="FF"),IF(102%+((E21-F21)/(E21))*0.4&gt;105%,105%,IF(102%+((E21-F21)/(E21))*0.4&lt;72%,72%,102%+((E21-F21)/(E21))*0.4)),""))))))</f>
        <v/>
      </c>
      <c r="I21" s="11"/>
      <c r="J21" s="11"/>
      <c r="K21" s="11"/>
      <c r="M21" s="11"/>
      <c r="N21" s="11"/>
      <c r="O21" s="11"/>
      <c r="Q21" s="11"/>
      <c r="R21" s="11"/>
      <c r="S21" s="11"/>
      <c r="U21" s="11"/>
      <c r="V21" s="11"/>
      <c r="W21" s="11"/>
      <c r="Y21" s="11"/>
      <c r="Z21" s="11"/>
      <c r="AA21" s="11"/>
      <c r="AC21" s="11"/>
      <c r="AD21" s="11"/>
      <c r="AE21" s="11"/>
      <c r="AG21" s="11"/>
      <c r="AH21" s="11"/>
      <c r="AI21" s="11"/>
      <c r="AK21" s="11"/>
      <c r="AL21" s="11"/>
      <c r="AM21" s="11"/>
      <c r="AO21" s="11"/>
      <c r="AP21" s="11"/>
      <c r="AQ21" s="11"/>
      <c r="AS21" s="11"/>
      <c r="AT21" s="11"/>
      <c r="AU21" s="11"/>
      <c r="AW21" s="11"/>
      <c r="AX21" s="11"/>
      <c r="AY21" s="11"/>
      <c r="BA21" s="11"/>
      <c r="BB21" s="11"/>
      <c r="BC21" s="11"/>
    </row>
    <row r="22" spans="1:55" ht="30" x14ac:dyDescent="0.25">
      <c r="A22" s="215"/>
      <c r="B22" s="65" t="s">
        <v>115</v>
      </c>
      <c r="C22" s="13" t="s">
        <v>165</v>
      </c>
      <c r="D22" s="131" t="s">
        <v>142</v>
      </c>
      <c r="E22" s="34">
        <v>30</v>
      </c>
      <c r="F22" s="15" t="str">
        <f t="shared" si="0"/>
        <v/>
      </c>
      <c r="G22" s="14" t="str">
        <f>IF(OR(F22="",F22="NA"),"",IF(OR(C22="time",LEFT(C22,3)="DAY"),IF(OR(C22="DAY2",C22="time"),IF((92%-(F22-E22)/(1/10*100))&lt;70%,70%,IF(92%-(F22-E22)/(1/10*100)&gt;105%,105%,92%-(F22-E22)/(1/10*100))),IF(COUNT(E22)=1,IF((112%-(F22-E22)/(1/10*100))&lt;70%,70%,IF(112%-(F22-E22)/(1/10*100)&gt;105%,105%,112%-(F22-E22)/(1/10*100))))),IF(LEFT(C22,5)="month",IF(C22="month1",IF((112%-IF(F22="W1",0,IF(F22="W2",1,MATCH(F22,Sheet1!$A$2:$A$13,0)-MATCH(E22,Sheet1!$A$2:$A$13,0)+1))/(1/10*100))&lt;70%,70%,IF(112%-IF(F22="W1",0,IF(F22="W2",1,MATCH(F22,Sheet1!$A$2:$A$13,0)-MATCH(E22,Sheet1!$A$2:$A$13,0)+1))/(1/10*100)&gt;105%,105%,112%-IF(F22="W1",0,IF(F22="W2",1,MATCH(F22,Sheet1!$A$2:$A$13,0)-MATCH(E22,Sheet1!$A$2:$A$13,0)+1))/(1/10*100))),IF((92%-(IF(OR(F22="w1",F22="w2"),1,MATCH(F22,Sheet1!$A$2:$A$13,0))-MATCH(E22,Sheet1!$A$2:$A$13,0))/(1/10*100))&lt;70%,70%,IF(92%-(IF(OR(F22="w1",F22="w2"),1,MATCH(F22,Sheet1!$A$2:$A$13,0))-MATCH(E22,Sheet1!$A$2:$A$13,0))/(1/10*100)&gt;105%,105%,92%-(IF(OR(F22="w1",F22="w2"),1,MATCH(F22,Sheet1!$A$2:$A$13,0))-MATCH(E22,Sheet1!$A$2:$A$13,0))/(1/10*100)))),IF(MID(D22,3,1)="+",IF(E22&lt;100,IF(112%-(E22-F22)/(1/IF(E22&lt;4,(40/E22),10)*100)&gt;105%,105%,IF(112%-(E22-F22)/(1/IF(E22&lt;4,(40/E22),10)*100)&lt;=72%,72%,112%-(E22-F22)/(1/IF(E22&lt;4,(40/E22),10)*100))),IF(112%-(E22-F22)/E22*10&gt;105%,105%,IF(112%-(E22-F22)/E22*10&lt;72%,72%,112%-(E22-F22)/E22*10))),IF(MID(D22,3,1)="-",IF(92%+((E22-F22)/(E22))*0.4&gt;105%,105%,IF(92%+((E22-F22)/(E22))*0.4&lt;72%,72%,92%+((E22-F22)/(E22))*0.4)),IF(OR(B22="BOTO",B22="NPI",B22="FF"),IF(102%+((E22-F22)/(E22))*0.4&gt;105%,105%,IF(102%+((E22-F22)/(E22))*0.4&lt;72%,72%,102%+((E22-F22)/(E22))*0.4)),""))))))</f>
        <v/>
      </c>
      <c r="I22" s="11"/>
      <c r="J22" s="11"/>
      <c r="K22" s="11"/>
      <c r="M22" s="11"/>
      <c r="N22" s="11"/>
      <c r="O22" s="11"/>
      <c r="Q22" s="11"/>
      <c r="R22" s="11"/>
      <c r="S22" s="11"/>
      <c r="U22" s="11"/>
      <c r="V22" s="11"/>
      <c r="W22" s="11"/>
      <c r="Y22" s="11"/>
      <c r="Z22" s="11"/>
      <c r="AA22" s="11"/>
      <c r="AC22" s="11"/>
      <c r="AD22" s="11"/>
      <c r="AE22" s="11"/>
      <c r="AG22" s="11"/>
      <c r="AH22" s="11"/>
      <c r="AI22" s="11"/>
      <c r="AK22" s="11"/>
      <c r="AL22" s="11"/>
      <c r="AM22" s="11"/>
      <c r="AO22" s="11"/>
      <c r="AP22" s="11"/>
      <c r="AQ22" s="11"/>
      <c r="AS22" s="11"/>
      <c r="AT22" s="11"/>
      <c r="AU22" s="11"/>
      <c r="AW22" s="11"/>
      <c r="AX22" s="11"/>
      <c r="AY22" s="11"/>
      <c r="BA22" s="11"/>
      <c r="BB22" s="11"/>
      <c r="BC22" s="11"/>
    </row>
    <row r="23" spans="1:55" x14ac:dyDescent="0.25">
      <c r="A23" s="215"/>
      <c r="B23" s="65" t="s">
        <v>116</v>
      </c>
      <c r="C23" s="13" t="s">
        <v>23</v>
      </c>
      <c r="D23" s="131" t="s">
        <v>164</v>
      </c>
      <c r="E23" s="15">
        <v>95</v>
      </c>
      <c r="F23" s="15" t="str">
        <f t="shared" si="0"/>
        <v/>
      </c>
      <c r="G23" s="14" t="str">
        <f>IF(OR(F23="",F23="NA"),"",IF(OR(C23="time",LEFT(C23,3)="DAY"),IF(OR(C23="DAY2",C23="time"),IF((92%-(F23-E23)/(1/10*100))&lt;70%,70%,IF(92%-(F23-E23)/(1/10*100)&gt;105%,105%,92%-(F23-E23)/(1/10*100))),IF(COUNT(E23)=1,IF((112%-(F23-E23)/(1/10*100))&lt;70%,70%,IF(112%-(F23-E23)/(1/10*100)&gt;105%,105%,112%-(F23-E23)/(1/10*100))))),IF(LEFT(C23,5)="month",IF(C23="month1",IF((112%-IF(F23="W1",0,IF(F23="W2",1,MATCH(F23,Sheet1!$A$2:$A$13,0)-MATCH(E23,Sheet1!$A$2:$A$13,0)+1))/(1/10*100))&lt;70%,70%,IF(112%-IF(F23="W1",0,IF(F23="W2",1,MATCH(F23,Sheet1!$A$2:$A$13,0)-MATCH(E23,Sheet1!$A$2:$A$13,0)+1))/(1/10*100)&gt;105%,105%,112%-IF(F23="W1",0,IF(F23="W2",1,MATCH(F23,Sheet1!$A$2:$A$13,0)-MATCH(E23,Sheet1!$A$2:$A$13,0)+1))/(1/10*100))),IF((92%-(IF(OR(F23="w1",F23="w2"),1,MATCH(F23,Sheet1!$A$2:$A$13,0))-MATCH(E23,Sheet1!$A$2:$A$13,0))/(1/10*100))&lt;70%,70%,IF(92%-(IF(OR(F23="w1",F23="w2"),1,MATCH(F23,Sheet1!$A$2:$A$13,0))-MATCH(E23,Sheet1!$A$2:$A$13,0))/(1/10*100)&gt;105%,105%,92%-(IF(OR(F23="w1",F23="w2"),1,MATCH(F23,Sheet1!$A$2:$A$13,0))-MATCH(E23,Sheet1!$A$2:$A$13,0))/(1/10*100)))),IF(MID(D23,3,1)="+",IF(E23&lt;100,IF(112%-(E23-F23)/(1/IF(E23&lt;4,(40/E23),10)*100)&gt;105%,105%,IF(112%-(E23-F23)/(1/IF(E23&lt;4,(40/E23),10)*100)&lt;=72%,72%,112%-(E23-F23)/(1/IF(E23&lt;4,(40/E23),10)*100))),IF(112%-(E23-F23)/E23*10&gt;105%,105%,IF(112%-(E23-F23)/E23*10&lt;72%,72%,112%-(E23-F23)/E23*10))),IF(MID(D23,3,1)="-",IF(92%+((E23-F23)/(E23))*0.4&gt;105%,105%,IF(92%+((E23-F23)/(E23))*0.4&lt;72%,72%,92%+((E23-F23)/(E23))*0.4)),IF(OR(B23="BOTO",B23="NPI",B23="FF"),IF(102%+((E23-F23)/(E23))*0.4&gt;105%,105%,IF(102%+((E23-F23)/(E23))*0.4&lt;72%,72%,102%+((E23-F23)/(E23))*0.4)),""))))))</f>
        <v/>
      </c>
      <c r="I23" s="11"/>
      <c r="J23" s="11"/>
      <c r="K23" s="11"/>
      <c r="M23" s="11"/>
      <c r="N23" s="11"/>
      <c r="O23" s="11"/>
      <c r="Q23" s="11"/>
      <c r="R23" s="11"/>
      <c r="S23" s="11"/>
      <c r="U23" s="11"/>
      <c r="V23" s="11"/>
      <c r="W23" s="11"/>
      <c r="Y23" s="11"/>
      <c r="Z23" s="11"/>
      <c r="AA23" s="11"/>
      <c r="AC23" s="11"/>
      <c r="AD23" s="11"/>
      <c r="AE23" s="11"/>
      <c r="AG23" s="11"/>
      <c r="AH23" s="11"/>
      <c r="AI23" s="11"/>
      <c r="AK23" s="11"/>
      <c r="AL23" s="11"/>
      <c r="AM23" s="11"/>
      <c r="AO23" s="11"/>
      <c r="AP23" s="11"/>
      <c r="AQ23" s="11"/>
      <c r="AS23" s="11"/>
      <c r="AT23" s="11"/>
      <c r="AU23" s="11"/>
      <c r="AW23" s="11"/>
      <c r="AX23" s="11"/>
      <c r="AY23" s="11"/>
      <c r="BA23" s="11"/>
      <c r="BB23" s="11"/>
      <c r="BC23" s="11"/>
    </row>
    <row r="24" spans="1:55" ht="45" x14ac:dyDescent="0.25">
      <c r="A24" s="215"/>
      <c r="B24" s="65" t="s">
        <v>117</v>
      </c>
      <c r="C24" s="13" t="s">
        <v>165</v>
      </c>
      <c r="D24" s="131" t="s">
        <v>142</v>
      </c>
      <c r="E24" s="34">
        <v>30</v>
      </c>
      <c r="F24" s="15" t="str">
        <f t="shared" si="0"/>
        <v/>
      </c>
      <c r="G24" s="14" t="str">
        <f>IF(OR(F24="",F24="NA"),"",IF(OR(C24="time",LEFT(C24,3)="DAY"),IF(OR(C24="DAY2",C24="time"),IF((92%-(F24-E24)/(1/10*100))&lt;70%,70%,IF(92%-(F24-E24)/(1/10*100)&gt;105%,105%,92%-(F24-E24)/(1/10*100))),IF(COUNT(E24)=1,IF((112%-(F24-E24)/(1/10*100))&lt;70%,70%,IF(112%-(F24-E24)/(1/10*100)&gt;105%,105%,112%-(F24-E24)/(1/10*100))))),IF(LEFT(C24,5)="month",IF(C24="month1",IF((112%-IF(F24="W1",0,IF(F24="W2",1,MATCH(F24,Sheet1!$A$2:$A$13,0)-MATCH(E24,Sheet1!$A$2:$A$13,0)+1))/(1/10*100))&lt;70%,70%,IF(112%-IF(F24="W1",0,IF(F24="W2",1,MATCH(F24,Sheet1!$A$2:$A$13,0)-MATCH(E24,Sheet1!$A$2:$A$13,0)+1))/(1/10*100)&gt;105%,105%,112%-IF(F24="W1",0,IF(F24="W2",1,MATCH(F24,Sheet1!$A$2:$A$13,0)-MATCH(E24,Sheet1!$A$2:$A$13,0)+1))/(1/10*100))),IF((92%-(IF(OR(F24="w1",F24="w2"),1,MATCH(F24,Sheet1!$A$2:$A$13,0))-MATCH(E24,Sheet1!$A$2:$A$13,0))/(1/10*100))&lt;70%,70%,IF(92%-(IF(OR(F24="w1",F24="w2"),1,MATCH(F24,Sheet1!$A$2:$A$13,0))-MATCH(E24,Sheet1!$A$2:$A$13,0))/(1/10*100)&gt;105%,105%,92%-(IF(OR(F24="w1",F24="w2"),1,MATCH(F24,Sheet1!$A$2:$A$13,0))-MATCH(E24,Sheet1!$A$2:$A$13,0))/(1/10*100)))),IF(MID(D24,3,1)="+",IF(E24&lt;100,IF(112%-(E24-F24)/(1/IF(E24&lt;4,(40/E24),10)*100)&gt;105%,105%,IF(112%-(E24-F24)/(1/IF(E24&lt;4,(40/E24),10)*100)&lt;=72%,72%,112%-(E24-F24)/(1/IF(E24&lt;4,(40/E24),10)*100))),IF(112%-(E24-F24)/E24*10&gt;105%,105%,IF(112%-(E24-F24)/E24*10&lt;72%,72%,112%-(E24-F24)/E24*10))),IF(MID(D24,3,1)="-",IF(92%+((E24-F24)/(E24))*0.4&gt;105%,105%,IF(92%+((E24-F24)/(E24))*0.4&lt;72%,72%,92%+((E24-F24)/(E24))*0.4)),IF(OR(B24="BOTO",B24="NPI",B24="FF"),IF(102%+((E24-F24)/(E24))*0.4&gt;105%,105%,IF(102%+((E24-F24)/(E24))*0.4&lt;72%,72%,102%+((E24-F24)/(E24))*0.4)),""))))))</f>
        <v/>
      </c>
      <c r="I24" s="11"/>
      <c r="J24" s="11"/>
      <c r="K24" s="11"/>
      <c r="M24" s="11"/>
      <c r="N24" s="11"/>
      <c r="O24" s="11"/>
      <c r="Q24" s="11"/>
      <c r="R24" s="11"/>
      <c r="S24" s="11"/>
      <c r="U24" s="11"/>
      <c r="V24" s="11"/>
      <c r="W24" s="11"/>
      <c r="Y24" s="11"/>
      <c r="Z24" s="11"/>
      <c r="AA24" s="11"/>
      <c r="AC24" s="11"/>
      <c r="AD24" s="11"/>
      <c r="AE24" s="11"/>
      <c r="AG24" s="11"/>
      <c r="AH24" s="11"/>
      <c r="AI24" s="11"/>
      <c r="AK24" s="11"/>
      <c r="AL24" s="11"/>
      <c r="AM24" s="11"/>
      <c r="AO24" s="11"/>
      <c r="AP24" s="11"/>
      <c r="AQ24" s="11"/>
      <c r="AS24" s="11"/>
      <c r="AT24" s="11"/>
      <c r="AU24" s="11"/>
      <c r="AW24" s="11"/>
      <c r="AX24" s="11"/>
      <c r="AY24" s="11"/>
      <c r="BA24" s="11"/>
      <c r="BB24" s="11"/>
      <c r="BC24" s="11"/>
    </row>
    <row r="25" spans="1:55" x14ac:dyDescent="0.25">
      <c r="A25" s="215"/>
      <c r="B25" s="65" t="s">
        <v>141</v>
      </c>
      <c r="C25" s="13" t="s">
        <v>165</v>
      </c>
      <c r="D25" s="131" t="s">
        <v>142</v>
      </c>
      <c r="E25" s="34">
        <v>15</v>
      </c>
      <c r="F25" s="15" t="str">
        <f t="shared" si="0"/>
        <v/>
      </c>
      <c r="G25" s="14" t="str">
        <f>IF(OR(F25="",F25="NA"),"",IF(OR(C25="time",LEFT(C25,3)="DAY"),IF(OR(C25="DAY2",C25="time"),IF((92%-(F25-E25)/(1/10*100))&lt;70%,70%,IF(92%-(F25-E25)/(1/10*100)&gt;105%,105%,92%-(F25-E25)/(1/10*100))),IF(COUNT(E25)=1,IF((112%-(F25-E25)/(1/10*100))&lt;70%,70%,IF(112%-(F25-E25)/(1/10*100)&gt;105%,105%,112%-(F25-E25)/(1/10*100))))),IF(LEFT(C25,5)="month",IF(C25="month1",IF((112%-IF(F25="W1",0,IF(F25="W2",1,MATCH(F25,Sheet1!$A$2:$A$13,0)-MATCH(E25,Sheet1!$A$2:$A$13,0)+1))/(1/10*100))&lt;70%,70%,IF(112%-IF(F25="W1",0,IF(F25="W2",1,MATCH(F25,Sheet1!$A$2:$A$13,0)-MATCH(E25,Sheet1!$A$2:$A$13,0)+1))/(1/10*100)&gt;105%,105%,112%-IF(F25="W1",0,IF(F25="W2",1,MATCH(F25,Sheet1!$A$2:$A$13,0)-MATCH(E25,Sheet1!$A$2:$A$13,0)+1))/(1/10*100))),IF((92%-(IF(OR(F25="w1",F25="w2"),1,MATCH(F25,Sheet1!$A$2:$A$13,0))-MATCH(E25,Sheet1!$A$2:$A$13,0))/(1/10*100))&lt;70%,70%,IF(92%-(IF(OR(F25="w1",F25="w2"),1,MATCH(F25,Sheet1!$A$2:$A$13,0))-MATCH(E25,Sheet1!$A$2:$A$13,0))/(1/10*100)&gt;105%,105%,92%-(IF(OR(F25="w1",F25="w2"),1,MATCH(F25,Sheet1!$A$2:$A$13,0))-MATCH(E25,Sheet1!$A$2:$A$13,0))/(1/10*100)))),IF(MID(D25,3,1)="+",IF(E25&lt;100,IF(112%-(E25-F25)/(1/IF(E25&lt;4,(40/E25),10)*100)&gt;105%,105%,IF(112%-(E25-F25)/(1/IF(E25&lt;4,(40/E25),10)*100)&lt;=72%,72%,112%-(E25-F25)/(1/IF(E25&lt;4,(40/E25),10)*100))),IF(112%-(E25-F25)/E25*10&gt;105%,105%,IF(112%-(E25-F25)/E25*10&lt;72%,72%,112%-(E25-F25)/E25*10))),IF(MID(D25,3,1)="-",IF(92%+((E25-F25)/(E25))*0.4&gt;105%,105%,IF(92%+((E25-F25)/(E25))*0.4&lt;72%,72%,92%+((E25-F25)/(E25))*0.4)),IF(OR(B25="BOTO",B25="NPI",B25="FF"),IF(102%+((E25-F25)/(E25))*0.4&gt;105%,105%,IF(102%+((E25-F25)/(E25))*0.4&lt;72%,72%,102%+((E25-F25)/(E25))*0.4)),""))))))</f>
        <v/>
      </c>
      <c r="I25" s="11"/>
      <c r="J25" s="11"/>
      <c r="K25" s="11"/>
      <c r="M25" s="11"/>
      <c r="N25" s="11"/>
      <c r="O25" s="11"/>
      <c r="Q25" s="11"/>
      <c r="R25" s="11"/>
      <c r="S25" s="11"/>
      <c r="U25" s="11"/>
      <c r="V25" s="11"/>
      <c r="W25" s="11"/>
      <c r="Y25" s="11"/>
      <c r="Z25" s="11"/>
      <c r="AA25" s="11"/>
      <c r="AC25" s="11"/>
      <c r="AD25" s="11"/>
      <c r="AE25" s="11"/>
      <c r="AG25" s="11"/>
      <c r="AH25" s="11"/>
      <c r="AI25" s="11"/>
      <c r="AK25" s="11"/>
      <c r="AL25" s="11"/>
      <c r="AM25" s="11"/>
      <c r="AO25" s="11"/>
      <c r="AP25" s="11"/>
      <c r="AQ25" s="11"/>
      <c r="AS25" s="11"/>
      <c r="AT25" s="11"/>
      <c r="AU25" s="11"/>
      <c r="AW25" s="11"/>
      <c r="AX25" s="11"/>
      <c r="AY25" s="11"/>
      <c r="BA25" s="11"/>
      <c r="BB25" s="11"/>
      <c r="BC25" s="11"/>
    </row>
    <row r="26" spans="1:55" x14ac:dyDescent="0.25">
      <c r="A26" s="222"/>
      <c r="B26" s="12" t="s">
        <v>166</v>
      </c>
      <c r="C26" s="13" t="s">
        <v>165</v>
      </c>
      <c r="D26" s="131" t="s">
        <v>142</v>
      </c>
      <c r="E26" s="34">
        <v>2</v>
      </c>
      <c r="F26" s="15" t="str">
        <f t="shared" si="0"/>
        <v/>
      </c>
      <c r="G26" s="14" t="str">
        <f>IF(OR(F26="",F26="NA"),"",IF(OR(C26="time",LEFT(C26,3)="DAY"),IF(OR(C26="DAY2",C26="time"),IF((92%-(F26-E26)/(1/10*100))&lt;70%,70%,IF(92%-(F26-E26)/(1/10*100)&gt;105%,105%,92%-(F26-E26)/(1/10*100))),IF(COUNT(E26)=1,IF((112%-(F26-E26)/(1/10*100))&lt;70%,70%,IF(112%-(F26-E26)/(1/10*100)&gt;105%,105%,112%-(F26-E26)/(1/10*100))))),IF(LEFT(C26,5)="month",IF(C26="month1",IF((112%-IF(F26="W1",0,IF(F26="W2",1,MATCH(F26,Sheet1!$A$2:$A$13,0)-MATCH(E26,Sheet1!$A$2:$A$13,0)+1))/(1/10*100))&lt;70%,70%,IF(112%-IF(F26="W1",0,IF(F26="W2",1,MATCH(F26,Sheet1!$A$2:$A$13,0)-MATCH(E26,Sheet1!$A$2:$A$13,0)+1))/(1/10*100)&gt;105%,105%,112%-IF(F26="W1",0,IF(F26="W2",1,MATCH(F26,Sheet1!$A$2:$A$13,0)-MATCH(E26,Sheet1!$A$2:$A$13,0)+1))/(1/10*100))),IF((92%-(IF(OR(F26="w1",F26="w2"),1,MATCH(F26,Sheet1!$A$2:$A$13,0))-MATCH(E26,Sheet1!$A$2:$A$13,0))/(1/10*100))&lt;70%,70%,IF(92%-(IF(OR(F26="w1",F26="w2"),1,MATCH(F26,Sheet1!$A$2:$A$13,0))-MATCH(E26,Sheet1!$A$2:$A$13,0))/(1/10*100)&gt;105%,105%,92%-(IF(OR(F26="w1",F26="w2"),1,MATCH(F26,Sheet1!$A$2:$A$13,0))-MATCH(E26,Sheet1!$A$2:$A$13,0))/(1/10*100)))),IF(MID(D26,3,1)="+",IF(E26&lt;100,IF(112%-(E26-F26)/(1/IF(E26&lt;4,(40/E26),10)*100)&gt;105%,105%,IF(112%-(E26-F26)/(1/IF(E26&lt;4,(40/E26),10)*100)&lt;=72%,72%,112%-(E26-F26)/(1/IF(E26&lt;4,(40/E26),10)*100))),IF(112%-(E26-F26)/E26*10&gt;105%,105%,IF(112%-(E26-F26)/E26*10&lt;72%,72%,112%-(E26-F26)/E26*10))),IF(MID(D26,3,1)="-",IF(92%+((E26-F26)/(E26))*0.4&gt;105%,105%,IF(92%+((E26-F26)/(E26))*0.4&lt;72%,72%,92%+((E26-F26)/(E26))*0.4)),IF(OR(B26="BOTO",B26="NPI",B26="FF"),IF(102%+((E26-F26)/(E26))*0.4&gt;105%,105%,IF(102%+((E26-F26)/(E26))*0.4&lt;72%,72%,102%+((E26-F26)/(E26))*0.4)),""))))))</f>
        <v/>
      </c>
      <c r="I26" s="11"/>
      <c r="J26" s="11"/>
      <c r="K26" s="11"/>
      <c r="M26" s="11"/>
      <c r="N26" s="11"/>
      <c r="O26" s="11"/>
      <c r="Q26" s="11"/>
      <c r="R26" s="11"/>
      <c r="S26" s="11"/>
      <c r="U26" s="11"/>
      <c r="V26" s="11"/>
      <c r="W26" s="11"/>
      <c r="Y26" s="11"/>
      <c r="Z26" s="11"/>
      <c r="AA26" s="11"/>
      <c r="AC26" s="11"/>
      <c r="AD26" s="11"/>
      <c r="AE26" s="11"/>
      <c r="AG26" s="11"/>
      <c r="AH26" s="11"/>
      <c r="AI26" s="11"/>
      <c r="AK26" s="11"/>
      <c r="AL26" s="11"/>
      <c r="AM26" s="11"/>
      <c r="AO26" s="11"/>
      <c r="AP26" s="11"/>
      <c r="AQ26" s="11"/>
      <c r="AS26" s="11"/>
      <c r="AT26" s="11"/>
      <c r="AU26" s="11"/>
      <c r="AW26" s="11"/>
      <c r="AX26" s="11"/>
      <c r="AY26" s="11"/>
      <c r="BA26" s="11"/>
      <c r="BB26" s="11"/>
      <c r="BC26" s="11"/>
    </row>
    <row r="27" spans="1:55" ht="15.75" thickBot="1" x14ac:dyDescent="0.3">
      <c r="A27" s="229"/>
      <c r="B27" s="31" t="s">
        <v>167</v>
      </c>
      <c r="C27" s="32" t="s">
        <v>165</v>
      </c>
      <c r="D27" s="33" t="s">
        <v>142</v>
      </c>
      <c r="E27" s="34">
        <v>5</v>
      </c>
      <c r="F27" s="34" t="str">
        <f t="shared" si="0"/>
        <v/>
      </c>
      <c r="G27" s="35" t="str">
        <f>IF(OR(F27="",F27="NA"),"",IF(OR(C27="time",LEFT(C27,3)="DAY"),IF(OR(C27="DAY2",C27="time"),IF((92%-(F27-E27)/(1/10*100))&lt;70%,70%,IF(92%-(F27-E27)/(1/10*100)&gt;105%,105%,92%-(F27-E27)/(1/10*100))),IF(COUNT(E27)=1,IF((112%-(F27-E27)/(1/10*100))&lt;70%,70%,IF(112%-(F27-E27)/(1/10*100)&gt;105%,105%,112%-(F27-E27)/(1/10*100))))),IF(LEFT(C27,5)="month",IF(C27="month1",IF((112%-IF(F27="W1",0,IF(F27="W2",1,MATCH(F27,Sheet1!$A$2:$A$13,0)-MATCH(E27,Sheet1!$A$2:$A$13,0)+1))/(1/10*100))&lt;70%,70%,IF(112%-IF(F27="W1",0,IF(F27="W2",1,MATCH(F27,Sheet1!$A$2:$A$13,0)-MATCH(E27,Sheet1!$A$2:$A$13,0)+1))/(1/10*100)&gt;105%,105%,112%-IF(F27="W1",0,IF(F27="W2",1,MATCH(F27,Sheet1!$A$2:$A$13,0)-MATCH(E27,Sheet1!$A$2:$A$13,0)+1))/(1/10*100))),IF((92%-(IF(OR(F27="w1",F27="w2"),1,MATCH(F27,Sheet1!$A$2:$A$13,0))-MATCH(E27,Sheet1!$A$2:$A$13,0))/(1/10*100))&lt;70%,70%,IF(92%-(IF(OR(F27="w1",F27="w2"),1,MATCH(F27,Sheet1!$A$2:$A$13,0))-MATCH(E27,Sheet1!$A$2:$A$13,0))/(1/10*100)&gt;105%,105%,92%-(IF(OR(F27="w1",F27="w2"),1,MATCH(F27,Sheet1!$A$2:$A$13,0))-MATCH(E27,Sheet1!$A$2:$A$13,0))/(1/10*100)))),IF(MID(D27,3,1)="+",IF(E27&lt;100,IF(112%-(E27-F27)/(1/IF(E27&lt;4,(40/E27),10)*100)&gt;105%,105%,IF(112%-(E27-F27)/(1/IF(E27&lt;4,(40/E27),10)*100)&lt;=72%,72%,112%-(E27-F27)/(1/IF(E27&lt;4,(40/E27),10)*100))),IF(112%-(E27-F27)/E27*10&gt;105%,105%,IF(112%-(E27-F27)/E27*10&lt;72%,72%,112%-(E27-F27)/E27*10))),IF(MID(D27,3,1)="-",IF(92%+((E27-F27)/(E27))*0.4&gt;105%,105%,IF(92%+((E27-F27)/(E27))*0.4&lt;72%,72%,92%+((E27-F27)/(E27))*0.4)),IF(OR(B27="BOTO",B27="NPI",B27="FF"),IF(102%+((E27-F27)/(E27))*0.4&gt;105%,105%,IF(102%+((E27-F27)/(E27))*0.4&lt;72%,72%,102%+((E27-F27)/(E27))*0.4)),""))))))</f>
        <v/>
      </c>
      <c r="I27" s="11"/>
      <c r="J27" s="11"/>
      <c r="K27" s="11"/>
      <c r="M27" s="11"/>
      <c r="N27" s="11"/>
      <c r="O27" s="11"/>
      <c r="Q27" s="11"/>
      <c r="R27" s="11"/>
      <c r="S27" s="11"/>
      <c r="U27" s="11"/>
      <c r="V27" s="11"/>
      <c r="W27" s="11"/>
      <c r="Y27" s="11"/>
      <c r="Z27" s="11"/>
      <c r="AA27" s="11"/>
      <c r="AC27" s="11"/>
      <c r="AD27" s="11"/>
      <c r="AE27" s="11"/>
      <c r="AG27" s="11"/>
      <c r="AH27" s="11"/>
      <c r="AI27" s="11"/>
      <c r="AK27" s="11"/>
      <c r="AL27" s="11"/>
      <c r="AM27" s="11"/>
      <c r="AO27" s="11"/>
      <c r="AP27" s="11"/>
      <c r="AQ27" s="11"/>
      <c r="AS27" s="11"/>
      <c r="AT27" s="11"/>
      <c r="AU27" s="11"/>
      <c r="AW27" s="11"/>
      <c r="AX27" s="11"/>
      <c r="AY27" s="11"/>
      <c r="BA27" s="11"/>
      <c r="BB27" s="11"/>
      <c r="BC27" s="11"/>
    </row>
    <row r="28" spans="1:55" x14ac:dyDescent="0.25">
      <c r="A28" s="231" t="s">
        <v>55</v>
      </c>
      <c r="B28" s="126" t="s">
        <v>82</v>
      </c>
      <c r="C28" s="128" t="s">
        <v>24</v>
      </c>
      <c r="D28" s="9" t="s">
        <v>144</v>
      </c>
      <c r="E28" s="124">
        <v>5</v>
      </c>
      <c r="F28" s="16" t="str">
        <f t="shared" si="0"/>
        <v/>
      </c>
      <c r="G28" s="107" t="str">
        <f>IF(OR(F28="",F28="NA"),"",IF(OR(C28="time",LEFT(C28,3)="DAY"),IF(OR(C28="DAY2",C28="time"),IF((92%-(F28-E28)/(1/10*100))&lt;70%,70%,IF(92%-(F28-E28)/(1/10*100)&gt;105%,105%,92%-(F28-E28)/(1/10*100))),IF(COUNT(E28)=1,IF((112%-(F28-E28)/(1/10*100))&lt;70%,70%,IF(112%-(F28-E28)/(1/10*100)&gt;105%,105%,112%-(F28-E28)/(1/10*100))))),IF(LEFT(C28,5)="month",IF(C28="month1",IF((112%-IF(F28="W1",0,IF(F28="W2",1,MATCH(F28,Sheet1!$A$2:$A$13,0)-MATCH(E28,Sheet1!$A$2:$A$13,0)+1))/(1/10*100))&lt;70%,70%,IF(112%-IF(F28="W1",0,IF(F28="W2",1,MATCH(F28,Sheet1!$A$2:$A$13,0)-MATCH(E28,Sheet1!$A$2:$A$13,0)+1))/(1/10*100)&gt;105%,105%,112%-IF(F28="W1",0,IF(F28="W2",1,MATCH(F28,Sheet1!$A$2:$A$13,0)-MATCH(E28,Sheet1!$A$2:$A$13,0)+1))/(1/10*100))),IF((92%-(IF(OR(F28="w1",F28="w2"),1,MATCH(F28,Sheet1!$A$2:$A$13,0))-MATCH(E28,Sheet1!$A$2:$A$13,0))/(1/10*100))&lt;70%,70%,IF(92%-(IF(OR(F28="w1",F28="w2"),1,MATCH(F28,Sheet1!$A$2:$A$13,0))-MATCH(E28,Sheet1!$A$2:$A$13,0))/(1/10*100)&gt;105%,105%,92%-(IF(OR(F28="w1",F28="w2"),1,MATCH(F28,Sheet1!$A$2:$A$13,0))-MATCH(E28,Sheet1!$A$2:$A$13,0))/(1/10*100)))),IF(MID(D28,3,1)="+",IF(E28&lt;100,IF(112%-(E28-F28)/(1/IF(E28&lt;4,(40/E28),10)*100)&gt;105%,105%,IF(112%-(E28-F28)/(1/IF(E28&lt;4,(40/E28),10)*100)&lt;=72%,72%,112%-(E28-F28)/(1/IF(E28&lt;4,(40/E28),10)*100))),IF(112%-(E28-F28)/E28*10&gt;105%,105%,IF(112%-(E28-F28)/E28*10&lt;72%,72%,112%-(E28-F28)/E28*10))),IF(MID(D28,3,1)="-",IF(92%+((E28-F28)/(E28))*0.4&gt;105%,105%,IF(92%+((E28-F28)/(E28))*0.4&lt;72%,72%,92%+((E28-F28)/(E28))*0.4)),IF(OR(B28="BOTO",B28="NPI",B28="FF"),IF(102%+((E28-F28)/(E28))*0.4&gt;105%,105%,IF(102%+((E28-F28)/(E28))*0.4&lt;72%,72%,102%+((E28-F28)/(E28))*0.4)),""))))))</f>
        <v/>
      </c>
      <c r="I28" s="11"/>
      <c r="J28" s="11"/>
      <c r="K28" s="11"/>
      <c r="M28" s="11"/>
      <c r="N28" s="11"/>
      <c r="O28" s="11"/>
      <c r="Q28" s="11"/>
      <c r="R28" s="11"/>
      <c r="S28" s="11"/>
      <c r="U28" s="11"/>
      <c r="V28" s="11"/>
      <c r="W28" s="11"/>
      <c r="Y28" s="11"/>
      <c r="Z28" s="11"/>
      <c r="AA28" s="11"/>
      <c r="AC28" s="11"/>
      <c r="AD28" s="11"/>
      <c r="AE28" s="11"/>
      <c r="AG28" s="11"/>
      <c r="AH28" s="11"/>
      <c r="AI28" s="11"/>
      <c r="AK28" s="11"/>
      <c r="AL28" s="11"/>
      <c r="AM28" s="11"/>
      <c r="AO28" s="11"/>
      <c r="AP28" s="11"/>
      <c r="AQ28" s="11"/>
      <c r="AS28" s="11"/>
      <c r="AT28" s="11"/>
      <c r="AU28" s="11"/>
      <c r="AW28" s="11"/>
      <c r="AX28" s="11"/>
      <c r="AY28" s="11"/>
      <c r="BA28" s="11"/>
      <c r="BB28" s="11"/>
      <c r="BC28" s="11"/>
    </row>
    <row r="29" spans="1:55" ht="15.75" thickBot="1" x14ac:dyDescent="0.3">
      <c r="A29" s="232"/>
      <c r="B29" s="127" t="s">
        <v>83</v>
      </c>
      <c r="C29" s="129" t="s">
        <v>24</v>
      </c>
      <c r="D29" s="110" t="s">
        <v>144</v>
      </c>
      <c r="E29" s="125">
        <v>1</v>
      </c>
      <c r="F29" s="111" t="str">
        <f t="shared" si="0"/>
        <v/>
      </c>
      <c r="G29" s="112" t="str">
        <f>IF(OR(F29="",F29="NA"),"",IF(OR(C29="time",LEFT(C29,3)="DAY"),IF(OR(C29="DAY2",C29="time"),IF((92%-(F29-E29)/(1/10*100))&lt;70%,70%,IF(92%-(F29-E29)/(1/10*100)&gt;105%,105%,92%-(F29-E29)/(1/10*100))),IF(COUNT(E29)=1,IF((112%-(F29-E29)/(1/10*100))&lt;70%,70%,IF(112%-(F29-E29)/(1/10*100)&gt;105%,105%,112%-(F29-E29)/(1/10*100))))),IF(LEFT(C29,5)="month",IF(C29="month1",IF((112%-IF(F29="W1",0,IF(F29="W2",1,MATCH(F29,Sheet1!$A$2:$A$13,0)-MATCH(E29,Sheet1!$A$2:$A$13,0)+1))/(1/10*100))&lt;70%,70%,IF(112%-IF(F29="W1",0,IF(F29="W2",1,MATCH(F29,Sheet1!$A$2:$A$13,0)-MATCH(E29,Sheet1!$A$2:$A$13,0)+1))/(1/10*100)&gt;105%,105%,112%-IF(F29="W1",0,IF(F29="W2",1,MATCH(F29,Sheet1!$A$2:$A$13,0)-MATCH(E29,Sheet1!$A$2:$A$13,0)+1))/(1/10*100))),IF((92%-(IF(OR(F29="w1",F29="w2"),1,MATCH(F29,Sheet1!$A$2:$A$13,0))-MATCH(E29,Sheet1!$A$2:$A$13,0))/(1/10*100))&lt;70%,70%,IF(92%-(IF(OR(F29="w1",F29="w2"),1,MATCH(F29,Sheet1!$A$2:$A$13,0))-MATCH(E29,Sheet1!$A$2:$A$13,0))/(1/10*100)&gt;105%,105%,92%-(IF(OR(F29="w1",F29="w2"),1,MATCH(F29,Sheet1!$A$2:$A$13,0))-MATCH(E29,Sheet1!$A$2:$A$13,0))/(1/10*100)))),IF(MID(D29,3,1)="+",IF(E29&lt;100,IF(112%-(E29-F29)/(1/IF(E29&lt;4,(40/E29),10)*100)&gt;105%,105%,IF(112%-(E29-F29)/(1/IF(E29&lt;4,(40/E29),10)*100)&lt;=72%,72%,112%-(E29-F29)/(1/IF(E29&lt;4,(40/E29),10)*100))),IF(112%-(E29-F29)/E29*10&gt;105%,105%,IF(112%-(E29-F29)/E29*10&lt;72%,72%,112%-(E29-F29)/E29*10))),IF(MID(D29,3,1)="-",IF(92%+((E29-F29)/(E29))*0.4&gt;105%,105%,IF(92%+((E29-F29)/(E29))*0.4&lt;72%,72%,92%+((E29-F29)/(E29))*0.4)),IF(OR(B29="BOTO",B29="NPI",B29="FF"),IF(102%+((E29-F29)/(E29))*0.4&gt;105%,105%,IF(102%+((E29-F29)/(E29))*0.4&lt;72%,72%,102%+((E29-F29)/(E29))*0.4)),""))))))</f>
        <v/>
      </c>
      <c r="I29" s="11"/>
      <c r="J29" s="11"/>
      <c r="K29" s="11"/>
      <c r="M29" s="11"/>
      <c r="N29" s="11"/>
      <c r="O29" s="11"/>
      <c r="Q29" s="11"/>
      <c r="R29" s="11"/>
      <c r="S29" s="11"/>
      <c r="U29" s="11"/>
      <c r="V29" s="11"/>
      <c r="W29" s="11"/>
      <c r="Y29" s="11"/>
      <c r="Z29" s="11"/>
      <c r="AA29" s="11"/>
      <c r="AC29" s="11"/>
      <c r="AD29" s="11"/>
      <c r="AE29" s="11"/>
      <c r="AG29" s="11"/>
      <c r="AH29" s="11"/>
      <c r="AI29" s="11"/>
      <c r="AK29" s="11"/>
      <c r="AL29" s="11"/>
      <c r="AM29" s="11"/>
      <c r="AO29" s="11"/>
      <c r="AP29" s="11"/>
      <c r="AQ29" s="11"/>
      <c r="AS29" s="11"/>
      <c r="AT29" s="11"/>
      <c r="AU29" s="11"/>
      <c r="AW29" s="11"/>
      <c r="AX29" s="11"/>
      <c r="AY29" s="11"/>
      <c r="BA29" s="11"/>
      <c r="BB29" s="11"/>
      <c r="BC29" s="11"/>
    </row>
    <row r="30" spans="1:55" ht="15.75" thickBot="1" x14ac:dyDescent="0.3">
      <c r="A30" s="1"/>
      <c r="B30" s="2"/>
      <c r="C30" s="2"/>
      <c r="D30" s="2"/>
      <c r="E30" s="2"/>
      <c r="F30" s="2"/>
      <c r="G30" s="3"/>
    </row>
    <row r="31" spans="1:55" ht="15.75" thickBot="1" x14ac:dyDescent="0.3">
      <c r="A31" s="210" t="s">
        <v>25</v>
      </c>
      <c r="B31" s="211"/>
      <c r="C31" s="211"/>
      <c r="D31" s="211"/>
      <c r="E31" s="211"/>
      <c r="F31" s="212"/>
      <c r="G31" s="3"/>
    </row>
    <row r="32" spans="1:55" ht="30" customHeight="1" thickBot="1" x14ac:dyDescent="0.3">
      <c r="A32" s="4" t="s">
        <v>15</v>
      </c>
      <c r="B32" s="40" t="s">
        <v>52</v>
      </c>
      <c r="C32" s="104" t="s">
        <v>53</v>
      </c>
      <c r="D32" s="104" t="s">
        <v>54</v>
      </c>
      <c r="E32" s="192" t="s">
        <v>55</v>
      </c>
      <c r="F32" s="193"/>
      <c r="G32" s="3"/>
    </row>
    <row r="33" spans="1:7" x14ac:dyDescent="0.25">
      <c r="A33" s="21" t="s">
        <v>26</v>
      </c>
      <c r="B33" s="72" t="str">
        <f>IFERROR(AVERAGE(G11:G16),"")</f>
        <v/>
      </c>
      <c r="C33" s="73" t="str">
        <f>IFERROR(AVERAGE(G17:G17),"")</f>
        <v/>
      </c>
      <c r="D33" s="73" t="str">
        <f>IFERROR(AVERAGE(G20:G27),"")</f>
        <v/>
      </c>
      <c r="E33" s="206" t="str">
        <f>IFERROR(AVERAGE(#REF!),"")</f>
        <v/>
      </c>
      <c r="F33" s="207"/>
      <c r="G33" s="3"/>
    </row>
    <row r="34" spans="1:7" x14ac:dyDescent="0.25">
      <c r="A34" s="74" t="s">
        <v>19</v>
      </c>
      <c r="B34" s="42">
        <f>IF(F5="Foreman/Officer",30%,20%)</f>
        <v>0.2</v>
      </c>
      <c r="C34" s="43">
        <f>IF(F5="MANAGER",30%,20%)</f>
        <v>0.2</v>
      </c>
      <c r="D34" s="43">
        <f>IF(F5="Foreman/Officer",20%,30%)</f>
        <v>0.3</v>
      </c>
      <c r="E34" s="202">
        <f>IF(F5="MANAGER",20%,30%)</f>
        <v>0.3</v>
      </c>
      <c r="F34" s="203"/>
      <c r="G34" s="3"/>
    </row>
    <row r="35" spans="1:7" ht="15.75" thickBot="1" x14ac:dyDescent="0.3">
      <c r="A35" s="75" t="s">
        <v>27</v>
      </c>
      <c r="B35" s="70" t="str">
        <f>IFERROR(B34*B33,"")</f>
        <v/>
      </c>
      <c r="C35" s="71" t="str">
        <f t="shared" ref="C35" si="1">IFERROR(C34*C33,"")</f>
        <v/>
      </c>
      <c r="D35" s="71" t="str">
        <f>IFERROR(D34*D33,"")</f>
        <v/>
      </c>
      <c r="E35" s="204" t="str">
        <f>IFERROR(E34*E33,"")</f>
        <v/>
      </c>
      <c r="F35" s="205"/>
      <c r="G35" s="3"/>
    </row>
    <row r="36" spans="1:7" x14ac:dyDescent="0.25">
      <c r="A36" s="76" t="s">
        <v>28</v>
      </c>
      <c r="B36" s="180">
        <f>SUM(B35:F35)</f>
        <v>0</v>
      </c>
      <c r="C36" s="181"/>
      <c r="D36" s="181"/>
      <c r="E36" s="181"/>
      <c r="F36" s="182"/>
      <c r="G36" s="3"/>
    </row>
    <row r="37" spans="1:7" ht="15.75" thickBot="1" x14ac:dyDescent="0.3">
      <c r="A37" s="25" t="s">
        <v>29</v>
      </c>
      <c r="B37" s="183" t="str">
        <f>IF(B36&gt;105%,"OUTSTANDING",IF(AND(B36&gt;100%,B36&lt;=105%),"EXCEED",IF(AND(B36&gt;90%,B36&lt;=100%),"MEET EXPECTATION",IF(AND(B36&gt;=75%,B36&lt;=89%),"NEED IMPROVEMENT",IF(B36&lt;75%,"FAILED","")))))</f>
        <v>FAILED</v>
      </c>
      <c r="C37" s="184"/>
      <c r="D37" s="184"/>
      <c r="E37" s="184"/>
      <c r="F37" s="185"/>
      <c r="G37" s="3"/>
    </row>
    <row r="38" spans="1:7" ht="15.75" thickBot="1" x14ac:dyDescent="0.3">
      <c r="A38" s="1"/>
      <c r="B38" s="2"/>
      <c r="C38" s="2"/>
      <c r="D38" s="2"/>
      <c r="E38" s="2"/>
      <c r="F38" s="2"/>
      <c r="G38" s="3"/>
    </row>
    <row r="39" spans="1:7" ht="15.75" thickBot="1" x14ac:dyDescent="0.3">
      <c r="A39" s="159" t="s">
        <v>56</v>
      </c>
      <c r="B39" s="160"/>
      <c r="C39" s="160"/>
      <c r="D39" s="160"/>
      <c r="E39" s="160"/>
      <c r="F39" s="191"/>
      <c r="G39" s="3"/>
    </row>
    <row r="40" spans="1:7" ht="15.75" thickBot="1" x14ac:dyDescent="0.3">
      <c r="A40" s="77" t="s">
        <v>15</v>
      </c>
      <c r="B40" s="40" t="s">
        <v>57</v>
      </c>
      <c r="C40" s="104" t="s">
        <v>17</v>
      </c>
      <c r="D40" s="104" t="s">
        <v>19</v>
      </c>
      <c r="E40" s="192" t="s">
        <v>29</v>
      </c>
      <c r="F40" s="193"/>
      <c r="G40" s="3"/>
    </row>
    <row r="41" spans="1:7" ht="26.25" customHeight="1" thickBot="1" x14ac:dyDescent="0.3">
      <c r="A41" s="78" t="s">
        <v>58</v>
      </c>
      <c r="B41" s="45" t="s">
        <v>59</v>
      </c>
      <c r="C41" s="46" t="s">
        <v>23</v>
      </c>
      <c r="D41" s="47">
        <v>1</v>
      </c>
      <c r="E41" s="194" t="str">
        <f>IF(D41&gt;105%,"OUTSTANDING",IF(AND(D41&gt;100%,D41&lt;=105%),"EXCEED",IF(AND(D41&gt;=90%,D41&lt;=100%),"MEET EXPECTATION",IF(AND(D41&gt;=75%,D41&lt;90%),"NEED IMPROVEMENT",IF(D41&lt;75%,"FAILED","")))))</f>
        <v>MEET EXPECTATION</v>
      </c>
      <c r="F41" s="195"/>
      <c r="G41" s="3"/>
    </row>
    <row r="42" spans="1:7" ht="15.75" thickBot="1" x14ac:dyDescent="0.3">
      <c r="A42" s="1"/>
      <c r="B42" s="2"/>
      <c r="C42" s="2"/>
      <c r="D42" s="2"/>
      <c r="E42" s="2"/>
      <c r="F42" s="2"/>
      <c r="G42" s="3"/>
    </row>
    <row r="43" spans="1:7" ht="15.75" thickBot="1" x14ac:dyDescent="0.3">
      <c r="A43" s="196" t="s">
        <v>60</v>
      </c>
      <c r="B43" s="197"/>
      <c r="C43" s="197"/>
      <c r="D43" s="197"/>
      <c r="E43" s="198"/>
      <c r="F43" s="2"/>
      <c r="G43" s="3"/>
    </row>
    <row r="44" spans="1:7" x14ac:dyDescent="0.25">
      <c r="A44" s="79" t="s">
        <v>15</v>
      </c>
      <c r="B44" s="44" t="s">
        <v>57</v>
      </c>
      <c r="C44" s="48" t="s">
        <v>61</v>
      </c>
      <c r="D44" s="44" t="s">
        <v>26</v>
      </c>
      <c r="E44" s="52" t="s">
        <v>62</v>
      </c>
      <c r="F44" s="2"/>
      <c r="G44" s="3"/>
    </row>
    <row r="45" spans="1:7" ht="15.75" thickBot="1" x14ac:dyDescent="0.3">
      <c r="A45" s="80" t="s">
        <v>63</v>
      </c>
      <c r="B45" s="49" t="s">
        <v>64</v>
      </c>
      <c r="C45" s="50">
        <v>1</v>
      </c>
      <c r="D45" s="51">
        <f>IF(F5="Foreman/Officer",30%,IF(F5="Section Head/SPV",40%,IF(F5="Dept. Head",60%,IF(F5="MANAGER",70%,""))))</f>
        <v>0.4</v>
      </c>
      <c r="E45" s="53">
        <f>C45*D45</f>
        <v>0.4</v>
      </c>
      <c r="F45" s="2"/>
      <c r="G45" s="3"/>
    </row>
    <row r="46" spans="1:7" ht="15.75" thickBot="1" x14ac:dyDescent="0.3">
      <c r="A46" s="1"/>
      <c r="B46" s="2"/>
      <c r="C46" s="2"/>
      <c r="D46" s="2"/>
      <c r="E46" s="2"/>
      <c r="F46" s="2"/>
      <c r="G46" s="3"/>
    </row>
    <row r="47" spans="1:7" ht="15.75" thickBot="1" x14ac:dyDescent="0.3">
      <c r="A47" s="190" t="s">
        <v>65</v>
      </c>
      <c r="B47" s="160"/>
      <c r="C47" s="160"/>
      <c r="D47" s="160"/>
      <c r="E47" s="160"/>
      <c r="F47" s="160"/>
      <c r="G47" s="191"/>
    </row>
    <row r="48" spans="1:7" ht="15.75" thickBot="1" x14ac:dyDescent="0.3">
      <c r="A48" s="190" t="s">
        <v>66</v>
      </c>
      <c r="B48" s="160"/>
      <c r="C48" s="160"/>
      <c r="D48" s="160"/>
      <c r="E48" s="160"/>
      <c r="F48" s="160"/>
      <c r="G48" s="191"/>
    </row>
    <row r="49" spans="1:7" ht="15.75" thickBot="1" x14ac:dyDescent="0.3">
      <c r="A49" s="186" t="s">
        <v>67</v>
      </c>
      <c r="B49" s="187"/>
      <c r="C49" s="88" t="s">
        <v>19</v>
      </c>
      <c r="D49" s="89" t="s">
        <v>26</v>
      </c>
      <c r="E49" s="90" t="s">
        <v>68</v>
      </c>
      <c r="F49" s="188" t="s">
        <v>69</v>
      </c>
      <c r="G49" s="189"/>
    </row>
    <row r="50" spans="1:7" x14ac:dyDescent="0.25">
      <c r="A50" s="162" t="s">
        <v>52</v>
      </c>
      <c r="B50" s="163"/>
      <c r="C50" s="85">
        <f>B36</f>
        <v>0</v>
      </c>
      <c r="D50" s="86">
        <f>IF(F5="Foreman/Officer",70%,IF(F5="Section Head/SPV",60%,IF(F5="Dept. Head",40%,IF(F5="MANAGER",30%,""))))</f>
        <v>0.6</v>
      </c>
      <c r="E50" s="87">
        <f>C50*D50</f>
        <v>0</v>
      </c>
      <c r="F50" s="166">
        <f>E50+E51</f>
        <v>0.4</v>
      </c>
      <c r="G50" s="167"/>
    </row>
    <row r="51" spans="1:7" ht="15.75" thickBot="1" x14ac:dyDescent="0.3">
      <c r="A51" s="164" t="s">
        <v>70</v>
      </c>
      <c r="B51" s="165"/>
      <c r="C51" s="84">
        <f>C45</f>
        <v>1</v>
      </c>
      <c r="D51" s="54">
        <f>IF(F5="Foreman/Officer",30%,IF(F5="Section Head/SPV",40%,IF(F5="Dept. Head",60%,IF(F5="MANAGER",70%,""))))</f>
        <v>0.4</v>
      </c>
      <c r="E51" s="55">
        <f>C51*D51</f>
        <v>0.4</v>
      </c>
      <c r="F51" s="168"/>
      <c r="G51" s="169"/>
    </row>
    <row r="52" spans="1:7" ht="15.75" thickBot="1" x14ac:dyDescent="0.3">
      <c r="A52" s="1"/>
      <c r="B52" s="2"/>
      <c r="C52" s="2"/>
      <c r="D52" s="2"/>
      <c r="E52" s="2"/>
      <c r="F52" s="2"/>
      <c r="G52" s="3"/>
    </row>
    <row r="53" spans="1:7" ht="15.75" thickBot="1" x14ac:dyDescent="0.3">
      <c r="A53" s="159" t="s">
        <v>71</v>
      </c>
      <c r="B53" s="160"/>
      <c r="C53" s="160"/>
      <c r="D53" s="160"/>
      <c r="E53" s="160"/>
      <c r="F53" s="160"/>
      <c r="G53" s="161"/>
    </row>
    <row r="54" spans="1:7" ht="15.75" thickBot="1" x14ac:dyDescent="0.3">
      <c r="A54" s="81" t="s">
        <v>67</v>
      </c>
      <c r="B54" s="62" t="s">
        <v>19</v>
      </c>
      <c r="C54" s="63" t="s">
        <v>26</v>
      </c>
      <c r="D54" s="64" t="s">
        <v>62</v>
      </c>
      <c r="E54" s="91" t="s">
        <v>71</v>
      </c>
      <c r="F54" s="157" t="s">
        <v>29</v>
      </c>
      <c r="G54" s="158"/>
    </row>
    <row r="55" spans="1:7" ht="15" customHeight="1" x14ac:dyDescent="0.25">
      <c r="A55" s="82" t="s">
        <v>66</v>
      </c>
      <c r="B55" s="59">
        <f>F50</f>
        <v>0.4</v>
      </c>
      <c r="C55" s="60">
        <v>0.8</v>
      </c>
      <c r="D55" s="61">
        <f>B55*C55</f>
        <v>0.32000000000000006</v>
      </c>
      <c r="E55" s="174">
        <f>D55+D56</f>
        <v>0.52</v>
      </c>
      <c r="F55" s="176" t="str">
        <f>IF(E55&gt;105%,"OUTSTANDING",IF(AND(E55&gt;100%,E55&lt;=105%),"EXCEED",IF(AND(E55&gt;=90%,E55&lt;=100%),"MEET EXPECTATION",IF(AND(E55&gt;=75%,E55&lt;90%),"NEED IMPROVEMENT",IF(E55&lt;75%,"FAILED","")))))</f>
        <v>FAILED</v>
      </c>
      <c r="G55" s="177"/>
    </row>
    <row r="56" spans="1:7" ht="15.75" thickBot="1" x14ac:dyDescent="0.3">
      <c r="A56" s="83" t="s">
        <v>58</v>
      </c>
      <c r="B56" s="58">
        <f>D41</f>
        <v>1</v>
      </c>
      <c r="C56" s="56">
        <v>0.2</v>
      </c>
      <c r="D56" s="57">
        <f>B56*C56</f>
        <v>0.2</v>
      </c>
      <c r="E56" s="175"/>
      <c r="F56" s="178"/>
      <c r="G56" s="179"/>
    </row>
    <row r="57" spans="1:7" ht="15.75" thickBot="1" x14ac:dyDescent="0.3">
      <c r="A57" s="1"/>
      <c r="B57" s="2"/>
      <c r="C57" s="2"/>
      <c r="D57" s="2"/>
      <c r="E57" s="2"/>
      <c r="F57" s="2"/>
      <c r="G57" s="3"/>
    </row>
    <row r="58" spans="1:7" ht="30.75" thickBot="1" x14ac:dyDescent="0.3">
      <c r="A58" s="4" t="s">
        <v>29</v>
      </c>
      <c r="B58" s="17" t="s">
        <v>30</v>
      </c>
      <c r="C58" s="18" t="s">
        <v>31</v>
      </c>
      <c r="D58" s="19" t="s">
        <v>32</v>
      </c>
      <c r="E58" s="19" t="s">
        <v>33</v>
      </c>
      <c r="F58" s="20" t="s">
        <v>34</v>
      </c>
      <c r="G58" s="3"/>
    </row>
    <row r="59" spans="1:7" x14ac:dyDescent="0.25">
      <c r="A59" s="21" t="s">
        <v>35</v>
      </c>
      <c r="B59" s="22" t="s">
        <v>36</v>
      </c>
      <c r="C59" s="23" t="s">
        <v>37</v>
      </c>
      <c r="D59" s="23" t="s">
        <v>38</v>
      </c>
      <c r="E59" s="23" t="s">
        <v>39</v>
      </c>
      <c r="F59" s="24" t="s">
        <v>40</v>
      </c>
      <c r="G59" s="3"/>
    </row>
    <row r="60" spans="1:7" ht="15.75" thickBot="1" x14ac:dyDescent="0.3">
      <c r="A60" s="25" t="s">
        <v>41</v>
      </c>
      <c r="B60" s="26">
        <f>COUNTIF(G11:G27,"&gt;=105%")</f>
        <v>0</v>
      </c>
      <c r="C60" s="27">
        <f>COUNTIFS(G11:G27,"&gt;=99%",G11:G27,"&lt;105%")</f>
        <v>0</v>
      </c>
      <c r="D60" s="27">
        <f>COUNTIFS(G11:G27,"&gt;=88%",G11:G27,"&lt;99%")</f>
        <v>0</v>
      </c>
      <c r="E60" s="27">
        <f>COUNTIFS(G11:G27,"&gt;=75%",G11:G27,"&lt;88%")</f>
        <v>0</v>
      </c>
      <c r="F60" s="28">
        <f>COUNTIF(G11:G27,"&lt;75%")</f>
        <v>0</v>
      </c>
      <c r="G60" s="3"/>
    </row>
    <row r="61" spans="1:7" x14ac:dyDescent="0.25">
      <c r="A61" s="1"/>
      <c r="B61" s="2"/>
      <c r="C61" s="2"/>
      <c r="D61" s="2"/>
      <c r="E61" s="2"/>
      <c r="F61" s="2"/>
      <c r="G61" s="3"/>
    </row>
    <row r="62" spans="1:7" x14ac:dyDescent="0.25">
      <c r="A62" s="1"/>
      <c r="B62" s="2"/>
      <c r="C62" s="2"/>
      <c r="D62" s="2"/>
      <c r="E62" s="2"/>
      <c r="F62" s="2"/>
      <c r="G62" s="3"/>
    </row>
    <row r="63" spans="1:7" x14ac:dyDescent="0.25">
      <c r="A63" s="1" t="s">
        <v>42</v>
      </c>
      <c r="B63" s="2"/>
      <c r="C63" s="172" t="s">
        <v>43</v>
      </c>
      <c r="D63" s="172"/>
      <c r="E63" s="2"/>
      <c r="F63" s="172" t="s">
        <v>44</v>
      </c>
      <c r="G63" s="173"/>
    </row>
    <row r="64" spans="1:7" x14ac:dyDescent="0.25">
      <c r="A64" s="1"/>
      <c r="B64" s="2"/>
      <c r="C64" s="2"/>
      <c r="D64" s="2"/>
      <c r="E64" s="2"/>
      <c r="F64" s="2"/>
      <c r="G64" s="3"/>
    </row>
    <row r="65" spans="1:7" x14ac:dyDescent="0.25">
      <c r="A65" s="1"/>
      <c r="B65" s="2"/>
      <c r="C65" s="2"/>
      <c r="D65" s="2"/>
      <c r="E65" s="2"/>
      <c r="F65" s="2"/>
      <c r="G65" s="3"/>
    </row>
    <row r="66" spans="1:7" x14ac:dyDescent="0.25">
      <c r="A66" s="1"/>
      <c r="B66" s="2"/>
      <c r="C66" s="2"/>
      <c r="D66" s="2"/>
      <c r="E66" s="2"/>
      <c r="F66" s="2"/>
      <c r="G66" s="3"/>
    </row>
    <row r="67" spans="1:7" x14ac:dyDescent="0.25">
      <c r="A67" s="1"/>
      <c r="B67" s="2"/>
      <c r="C67" s="2"/>
      <c r="D67" s="2"/>
      <c r="E67" s="2"/>
      <c r="F67" s="2"/>
      <c r="G67" s="3"/>
    </row>
    <row r="68" spans="1:7" x14ac:dyDescent="0.25">
      <c r="A68" s="1"/>
      <c r="B68" s="2"/>
      <c r="C68" s="172"/>
      <c r="D68" s="172"/>
      <c r="E68" s="2"/>
      <c r="F68" s="172"/>
      <c r="G68" s="173"/>
    </row>
    <row r="69" spans="1:7" ht="15.75" thickBot="1" x14ac:dyDescent="0.3">
      <c r="A69" s="29"/>
      <c r="B69" s="30"/>
      <c r="C69" s="170"/>
      <c r="D69" s="170"/>
      <c r="E69" s="30"/>
      <c r="F69" s="170"/>
      <c r="G69" s="171"/>
    </row>
    <row r="70" spans="1:7" ht="15.75" thickTop="1" x14ac:dyDescent="0.25"/>
  </sheetData>
  <mergeCells count="48">
    <mergeCell ref="C68:D68"/>
    <mergeCell ref="F68:G68"/>
    <mergeCell ref="C69:D69"/>
    <mergeCell ref="F69:G69"/>
    <mergeCell ref="A53:G53"/>
    <mergeCell ref="F54:G54"/>
    <mergeCell ref="E55:E56"/>
    <mergeCell ref="F55:G56"/>
    <mergeCell ref="C63:D63"/>
    <mergeCell ref="F63:G63"/>
    <mergeCell ref="A47:G47"/>
    <mergeCell ref="A48:G48"/>
    <mergeCell ref="A49:B49"/>
    <mergeCell ref="F49:G49"/>
    <mergeCell ref="A50:B50"/>
    <mergeCell ref="F50:G51"/>
    <mergeCell ref="A51:B51"/>
    <mergeCell ref="A28:A29"/>
    <mergeCell ref="B36:F36"/>
    <mergeCell ref="B37:F37"/>
    <mergeCell ref="A39:F39"/>
    <mergeCell ref="E40:F40"/>
    <mergeCell ref="A43:E43"/>
    <mergeCell ref="A31:F31"/>
    <mergeCell ref="E32:F32"/>
    <mergeCell ref="E33:F33"/>
    <mergeCell ref="E34:F34"/>
    <mergeCell ref="E35:F35"/>
    <mergeCell ref="E41:F41"/>
    <mergeCell ref="AO9:AQ9"/>
    <mergeCell ref="AS9:AU9"/>
    <mergeCell ref="AW9:AY9"/>
    <mergeCell ref="BA9:BC9"/>
    <mergeCell ref="A11:A16"/>
    <mergeCell ref="AG9:AI9"/>
    <mergeCell ref="AK9:AM9"/>
    <mergeCell ref="A20:A27"/>
    <mergeCell ref="Q9:S9"/>
    <mergeCell ref="U9:W9"/>
    <mergeCell ref="Y9:AA9"/>
    <mergeCell ref="AC9:AE9"/>
    <mergeCell ref="M9:O9"/>
    <mergeCell ref="A17:A19"/>
    <mergeCell ref="B2:F2"/>
    <mergeCell ref="B3:F3"/>
    <mergeCell ref="F5:G5"/>
    <mergeCell ref="A9:G9"/>
    <mergeCell ref="I9:K9"/>
  </mergeCells>
  <conditionalFormatting sqref="B37">
    <cfRule type="containsText" dxfId="14" priority="11" operator="containsText" text="EXCEED">
      <formula>NOT(ISERROR(SEARCH("EXCEED",B37)))</formula>
    </cfRule>
    <cfRule type="containsText" dxfId="13" priority="12" operator="containsText" text="NEED IMPROVEMENT">
      <formula>NOT(ISERROR(SEARCH("NEED IMPROVEMENT",B37)))</formula>
    </cfRule>
    <cfRule type="containsText" dxfId="12" priority="13" operator="containsText" text="MEET EXPECTATION">
      <formula>NOT(ISERROR(SEARCH("MEET EXPECTATION",B37)))</formula>
    </cfRule>
    <cfRule type="containsText" dxfId="11" priority="14" operator="containsText" text="FAILED">
      <formula>NOT(ISERROR(SEARCH("FAILED",B37)))</formula>
    </cfRule>
    <cfRule type="containsText" dxfId="10" priority="15" operator="containsText" text="OUTSTANDING">
      <formula>NOT(ISERROR(SEARCH("OUTSTANDING",B37)))</formula>
    </cfRule>
  </conditionalFormatting>
  <conditionalFormatting sqref="E41">
    <cfRule type="containsText" dxfId="9" priority="6" operator="containsText" text="EXCEED">
      <formula>NOT(ISERROR(SEARCH("EXCEED",E41)))</formula>
    </cfRule>
    <cfRule type="containsText" dxfId="8" priority="7" operator="containsText" text="NEED IMPROVEMENT">
      <formula>NOT(ISERROR(SEARCH("NEED IMPROVEMENT",E41)))</formula>
    </cfRule>
    <cfRule type="containsText" dxfId="7" priority="8" operator="containsText" text="MEET EXPECTATION">
      <formula>NOT(ISERROR(SEARCH("MEET EXPECTATION",E41)))</formula>
    </cfRule>
    <cfRule type="containsText" dxfId="6" priority="9" operator="containsText" text="FAILED">
      <formula>NOT(ISERROR(SEARCH("FAILED",E41)))</formula>
    </cfRule>
    <cfRule type="containsText" dxfId="5" priority="10" operator="containsText" text="OUTSTANDING">
      <formula>NOT(ISERROR(SEARCH("OUTSTANDING",E41)))</formula>
    </cfRule>
  </conditionalFormatting>
  <conditionalFormatting sqref="F55">
    <cfRule type="containsText" dxfId="4" priority="1" operator="containsText" text="EXCEED">
      <formula>NOT(ISERROR(SEARCH("EXCEED",F55)))</formula>
    </cfRule>
    <cfRule type="containsText" dxfId="3" priority="2" operator="containsText" text="NEED IMPROVEMENT">
      <formula>NOT(ISERROR(SEARCH("NEED IMPROVEMENT",F55)))</formula>
    </cfRule>
    <cfRule type="containsText" dxfId="2" priority="3" operator="containsText" text="MEET EXPECTATION">
      <formula>NOT(ISERROR(SEARCH("MEET EXPECTATION",F55)))</formula>
    </cfRule>
    <cfRule type="containsText" dxfId="1" priority="4" operator="containsText" text="FAILED">
      <formula>NOT(ISERROR(SEARCH("FAILED",F55)))</formula>
    </cfRule>
    <cfRule type="containsText" dxfId="0" priority="5" operator="containsText" text="OUTSTANDING">
      <formula>NOT(ISERROR(SEARCH("OUTSTANDING",F55)))</formula>
    </cfRule>
  </conditionalFormatting>
  <dataValidations count="2">
    <dataValidation type="list" allowBlank="1" showInputMessage="1" showErrorMessage="1" sqref="F5:G5" xr:uid="{817C5723-B2B8-478D-BF4E-CA41308B0D28}">
      <formula1>"MANAGER,Dept. Head,Section Head/SPV,Foreman/Officer"</formula1>
    </dataValidation>
    <dataValidation type="list" allowBlank="1" showInputMessage="1" showErrorMessage="1" sqref="D11:D29" xr:uid="{72ADCBE0-3705-4DAA-8213-DB0A1D006BB8}">
      <formula1>"A(-),A(+),S(-),S(+)"</formula1>
    </dataValidation>
  </dataValidations>
  <pageMargins left="0.25" right="0.25" top="0.75" bottom="0.75" header="0.3" footer="0.3"/>
  <pageSetup scale="77" orientation="portrait" r:id="rId1"/>
  <rowBreaks count="1" manualBreakCount="1">
    <brk id="3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HENDIK</vt:lpstr>
      <vt:lpstr>Sheet1</vt:lpstr>
      <vt:lpstr>SUYANTO</vt:lpstr>
      <vt:lpstr>FRIZKY</vt:lpstr>
      <vt:lpstr>ERICK</vt:lpstr>
      <vt:lpstr>EKO</vt:lpstr>
      <vt:lpstr>EKO!Print_Area</vt:lpstr>
      <vt:lpstr>ERICK!Print_Area</vt:lpstr>
      <vt:lpstr>FRIZKY!Print_Area</vt:lpstr>
      <vt:lpstr>HENDIK!Print_Area</vt:lpstr>
      <vt:lpstr>SUYANTO!Print_Area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 Arka</dc:creator>
  <cp:lastModifiedBy>Gokielz</cp:lastModifiedBy>
  <cp:lastPrinted>2021-01-28T07:20:34Z</cp:lastPrinted>
  <dcterms:created xsi:type="dcterms:W3CDTF">2021-01-28T06:27:01Z</dcterms:created>
  <dcterms:modified xsi:type="dcterms:W3CDTF">2022-12-30T10:07:16Z</dcterms:modified>
</cp:coreProperties>
</file>