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dddf0eed2f36bc/Documents/Master/Masteroppgave/Økonomi/"/>
    </mc:Choice>
  </mc:AlternateContent>
  <xr:revisionPtr revIDLastSave="536" documentId="8_{7532C6E0-2C13-4E1F-8059-6B4938E17E67}" xr6:coauthVersionLast="47" xr6:coauthVersionMax="47" xr10:uidLastSave="{80D431BA-0663-40F2-AB6F-A3671C030D82}"/>
  <bookViews>
    <workbookView xWindow="-108" yWindow="-108" windowWidth="23256" windowHeight="12696" firstSheet="1" activeTab="3" xr2:uid="{840D6D4B-049B-4072-900A-69DCDE4B2CFF}"/>
  </bookViews>
  <sheets>
    <sheet name="3x Estimat VW" sheetId="21" r:id="rId1"/>
    <sheet name="3x estimate Outlander" sheetId="17" r:id="rId2"/>
    <sheet name="3x estimate Hy" sheetId="18" r:id="rId3"/>
    <sheet name="Graph data" sheetId="7" r:id="rId4"/>
    <sheet name="Electricity costs" sheetId="22" r:id="rId5"/>
    <sheet name="Interpolasjon 1200 " sheetId="25" r:id="rId6"/>
    <sheet name="Calculation" sheetId="31" r:id="rId7"/>
    <sheet name="Data" sheetId="30" r:id="rId8"/>
  </sheets>
  <calcPr calcId="191028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" i="7" l="1"/>
  <c r="A52" i="7"/>
  <c r="A53" i="7"/>
  <c r="A54" i="7"/>
  <c r="A55" i="7"/>
  <c r="A56" i="7"/>
  <c r="A57" i="7"/>
  <c r="A58" i="7"/>
  <c r="A59" i="7"/>
  <c r="A60" i="7"/>
  <c r="A61" i="7"/>
  <c r="B42" i="30"/>
  <c r="B43" i="30" s="1"/>
  <c r="B44" i="30" s="1"/>
  <c r="B46" i="30" s="1"/>
  <c r="C42" i="30"/>
  <c r="C45" i="30" s="1"/>
  <c r="D42" i="30"/>
  <c r="D43" i="30"/>
  <c r="D44" i="30" s="1"/>
  <c r="D46" i="30" s="1"/>
  <c r="B45" i="30"/>
  <c r="D45" i="30"/>
  <c r="G11" i="25"/>
  <c r="G10" i="25"/>
  <c r="G9" i="25"/>
  <c r="H2" i="21"/>
  <c r="D5" i="21"/>
  <c r="C43" i="30" l="1"/>
  <c r="C44" i="30" s="1"/>
  <c r="C46" i="30" s="1"/>
  <c r="C30" i="22"/>
  <c r="C29" i="22"/>
  <c r="C28" i="22"/>
  <c r="C31" i="22" s="1"/>
  <c r="C14" i="31"/>
  <c r="D14" i="31"/>
  <c r="E14" i="31"/>
  <c r="F14" i="31"/>
  <c r="G14" i="31"/>
  <c r="H14" i="31"/>
  <c r="B16" i="31"/>
  <c r="F2" i="30"/>
  <c r="H2" i="30"/>
  <c r="I2" i="30"/>
  <c r="F3" i="30"/>
  <c r="H3" i="30"/>
  <c r="I3" i="30" s="1"/>
  <c r="F4" i="30"/>
  <c r="H4" i="30"/>
  <c r="G4" i="30" s="1"/>
  <c r="I4" i="30"/>
  <c r="E29" i="30"/>
  <c r="D30" i="30" s="1"/>
  <c r="J29" i="30"/>
  <c r="H30" i="30" s="1"/>
  <c r="H31" i="30" s="1"/>
  <c r="B30" i="30"/>
  <c r="C30" i="30"/>
  <c r="E32" i="30"/>
  <c r="B33" i="30" s="1"/>
  <c r="J32" i="30"/>
  <c r="E35" i="30"/>
  <c r="J35" i="30"/>
  <c r="B36" i="30"/>
  <c r="C36" i="30"/>
  <c r="D36" i="30"/>
  <c r="E36" i="30"/>
  <c r="G36" i="30"/>
  <c r="J36" i="30" s="1"/>
  <c r="H36" i="30"/>
  <c r="I36" i="30"/>
  <c r="H37" i="30"/>
  <c r="C9" i="25"/>
  <c r="D9" i="25" s="1"/>
  <c r="F9" i="25" s="1"/>
  <c r="H9" i="25" s="1"/>
  <c r="C10" i="25"/>
  <c r="D10" i="25"/>
  <c r="F10" i="25" s="1"/>
  <c r="H10" i="25" s="1"/>
  <c r="C11" i="25"/>
  <c r="D11" i="25"/>
  <c r="F11" i="25" s="1"/>
  <c r="H11" i="25" s="1"/>
  <c r="E30" i="30" l="1"/>
  <c r="G37" i="30"/>
  <c r="I37" i="30"/>
  <c r="G3" i="30"/>
  <c r="C34" i="30" s="1"/>
  <c r="G2" i="30"/>
  <c r="B16" i="30" s="1"/>
  <c r="B31" i="30"/>
  <c r="D31" i="30"/>
  <c r="C31" i="30"/>
  <c r="C37" i="30"/>
  <c r="D37" i="30"/>
  <c r="B17" i="31"/>
  <c r="B37" i="30"/>
  <c r="B18" i="30"/>
  <c r="B10" i="30"/>
  <c r="I33" i="30"/>
  <c r="I34" i="30" s="1"/>
  <c r="G33" i="30"/>
  <c r="I30" i="30"/>
  <c r="I31" i="30" s="1"/>
  <c r="B11" i="30"/>
  <c r="B9" i="30"/>
  <c r="H33" i="30"/>
  <c r="H34" i="30" s="1"/>
  <c r="D11" i="30"/>
  <c r="B17" i="30"/>
  <c r="D33" i="30"/>
  <c r="D34" i="30" s="1"/>
  <c r="G30" i="30"/>
  <c r="C33" i="30"/>
  <c r="I10" i="25"/>
  <c r="I11" i="25"/>
  <c r="I9" i="25"/>
  <c r="C3" i="25"/>
  <c r="D3" i="25" s="1"/>
  <c r="E3" i="25" s="1"/>
  <c r="C4" i="25"/>
  <c r="D4" i="25" s="1"/>
  <c r="C5" i="25"/>
  <c r="D5" i="25" s="1"/>
  <c r="E5" i="25" s="1"/>
  <c r="F5" i="25" s="1"/>
  <c r="G5" i="25" s="1"/>
  <c r="J37" i="30" l="1"/>
  <c r="B34" i="30"/>
  <c r="J30" i="30"/>
  <c r="F11" i="30"/>
  <c r="E34" i="30"/>
  <c r="D17" i="30"/>
  <c r="F17" i="30" s="1"/>
  <c r="E33" i="30"/>
  <c r="J33" i="30"/>
  <c r="G31" i="30"/>
  <c r="E37" i="30"/>
  <c r="D18" i="30"/>
  <c r="F18" i="30" s="1"/>
  <c r="D16" i="30"/>
  <c r="F16" i="30" s="1"/>
  <c r="E31" i="30"/>
  <c r="G34" i="30"/>
  <c r="E4" i="25"/>
  <c r="F4" i="25" s="1"/>
  <c r="G4" i="25" s="1"/>
  <c r="F3" i="25"/>
  <c r="G3" i="25" s="1"/>
  <c r="H15" i="30" l="1"/>
  <c r="B7" i="31" s="1"/>
  <c r="E15" i="31" s="1"/>
  <c r="E16" i="31" s="1"/>
  <c r="D10" i="30"/>
  <c r="F10" i="30" s="1"/>
  <c r="H14" i="30" s="1"/>
  <c r="J34" i="30"/>
  <c r="D9" i="30"/>
  <c r="F9" i="30" s="1"/>
  <c r="H13" i="30" s="1"/>
  <c r="J31" i="30"/>
  <c r="C15" i="31" l="1"/>
  <c r="C16" i="31" s="1"/>
  <c r="C17" i="31" s="1"/>
  <c r="D15" i="31"/>
  <c r="D16" i="31" s="1"/>
  <c r="F15" i="31"/>
  <c r="F16" i="31" s="1"/>
  <c r="H15" i="31"/>
  <c r="H16" i="31" s="1"/>
  <c r="G15" i="31"/>
  <c r="G16" i="31" s="1"/>
  <c r="B20" i="31" l="1"/>
  <c r="D17" i="31"/>
  <c r="E17" i="31" s="1"/>
  <c r="F17" i="31" s="1"/>
  <c r="G17" i="31" s="1"/>
  <c r="H17" i="31" s="1"/>
  <c r="G8" i="21"/>
  <c r="H8" i="21"/>
  <c r="D9" i="21"/>
  <c r="D20" i="21" s="1"/>
  <c r="E9" i="21"/>
  <c r="E20" i="21" s="1"/>
  <c r="F9" i="21"/>
  <c r="G10" i="21"/>
  <c r="H10" i="21"/>
  <c r="G11" i="21"/>
  <c r="H11" i="21"/>
  <c r="G12" i="21"/>
  <c r="H12" i="21"/>
  <c r="G13" i="21"/>
  <c r="H13" i="21"/>
  <c r="G14" i="21"/>
  <c r="H14" i="21"/>
  <c r="G15" i="21"/>
  <c r="H15" i="21"/>
  <c r="G16" i="21"/>
  <c r="H16" i="21"/>
  <c r="G17" i="21"/>
  <c r="H17" i="21"/>
  <c r="G18" i="21"/>
  <c r="H18" i="21"/>
  <c r="G19" i="21"/>
  <c r="H19" i="21"/>
  <c r="G23" i="21"/>
  <c r="H23" i="21"/>
  <c r="G24" i="21"/>
  <c r="H24" i="21"/>
  <c r="G25" i="21"/>
  <c r="H25" i="21"/>
  <c r="G26" i="21"/>
  <c r="H26" i="21"/>
  <c r="G27" i="21"/>
  <c r="H27" i="21"/>
  <c r="G28" i="21"/>
  <c r="H28" i="21"/>
  <c r="G29" i="21"/>
  <c r="H29" i="21"/>
  <c r="G30" i="21"/>
  <c r="H30" i="21"/>
  <c r="G31" i="21"/>
  <c r="H31" i="21"/>
  <c r="G32" i="21"/>
  <c r="H32" i="21"/>
  <c r="G33" i="21"/>
  <c r="H33" i="21"/>
  <c r="D34" i="21"/>
  <c r="E34" i="21"/>
  <c r="F34" i="21"/>
  <c r="G37" i="21"/>
  <c r="H37" i="21"/>
  <c r="E38" i="21"/>
  <c r="G38" i="21" s="1"/>
  <c r="H38" i="21"/>
  <c r="G39" i="21"/>
  <c r="H39" i="21"/>
  <c r="D40" i="21"/>
  <c r="E40" i="21"/>
  <c r="F40" i="21"/>
  <c r="D41" i="21"/>
  <c r="E41" i="21"/>
  <c r="F41" i="21"/>
  <c r="G42" i="21"/>
  <c r="H42" i="21"/>
  <c r="G46" i="21"/>
  <c r="H46" i="21"/>
  <c r="G47" i="21"/>
  <c r="H47" i="21"/>
  <c r="G48" i="21"/>
  <c r="H48" i="21"/>
  <c r="G49" i="21"/>
  <c r="H49" i="21"/>
  <c r="G50" i="21"/>
  <c r="H50" i="21"/>
  <c r="D51" i="21"/>
  <c r="E51" i="21"/>
  <c r="F51" i="21"/>
  <c r="G54" i="21"/>
  <c r="H54" i="21"/>
  <c r="G55" i="21"/>
  <c r="H55" i="21"/>
  <c r="G56" i="21"/>
  <c r="H56" i="21"/>
  <c r="G57" i="21"/>
  <c r="H57" i="21"/>
  <c r="G58" i="21"/>
  <c r="H58" i="21"/>
  <c r="G59" i="21"/>
  <c r="H59" i="21"/>
  <c r="G60" i="21"/>
  <c r="H60" i="21"/>
  <c r="G61" i="21"/>
  <c r="H61" i="21"/>
  <c r="G62" i="21"/>
  <c r="H62" i="21"/>
  <c r="G63" i="21"/>
  <c r="H63" i="21"/>
  <c r="G64" i="21"/>
  <c r="H64" i="21"/>
  <c r="G65" i="21"/>
  <c r="H65" i="21"/>
  <c r="D66" i="21"/>
  <c r="E66" i="21"/>
  <c r="F66" i="21"/>
  <c r="G41" i="21" l="1"/>
  <c r="G40" i="21"/>
  <c r="G9" i="21"/>
  <c r="G20" i="21" s="1"/>
  <c r="I20" i="21" s="1"/>
  <c r="F20" i="21"/>
  <c r="H9" i="21"/>
  <c r="I3" i="21" s="1"/>
  <c r="B4" i="21"/>
  <c r="B5" i="21"/>
  <c r="G51" i="21"/>
  <c r="I51" i="21" s="1"/>
  <c r="F43" i="21"/>
  <c r="H41" i="21"/>
  <c r="H40" i="21"/>
  <c r="G66" i="21"/>
  <c r="I66" i="21" s="1"/>
  <c r="G34" i="21"/>
  <c r="I34" i="21" s="1"/>
  <c r="C5" i="21"/>
  <c r="C4" i="21"/>
  <c r="E43" i="21"/>
  <c r="D43" i="21"/>
  <c r="F29" i="18"/>
  <c r="E29" i="18"/>
  <c r="D29" i="18"/>
  <c r="D32" i="18" s="1"/>
  <c r="F48" i="18"/>
  <c r="E48" i="18"/>
  <c r="D48" i="18"/>
  <c r="F47" i="18"/>
  <c r="E47" i="18"/>
  <c r="D47" i="18"/>
  <c r="F46" i="18"/>
  <c r="E46" i="18"/>
  <c r="D46" i="18"/>
  <c r="H46" i="18" s="1"/>
  <c r="F45" i="18"/>
  <c r="E45" i="18"/>
  <c r="D45" i="18"/>
  <c r="F44" i="18"/>
  <c r="E44" i="18"/>
  <c r="D44" i="18"/>
  <c r="F43" i="18"/>
  <c r="E43" i="18"/>
  <c r="D43" i="18"/>
  <c r="F42" i="18"/>
  <c r="E42" i="18"/>
  <c r="D42" i="18"/>
  <c r="F41" i="18"/>
  <c r="E41" i="18"/>
  <c r="D41" i="18"/>
  <c r="F40" i="18"/>
  <c r="E40" i="18"/>
  <c r="D40" i="18"/>
  <c r="F39" i="18"/>
  <c r="E39" i="18"/>
  <c r="D39" i="18"/>
  <c r="F38" i="18"/>
  <c r="E38" i="18"/>
  <c r="D38" i="18"/>
  <c r="F37" i="18"/>
  <c r="E37" i="18"/>
  <c r="D37" i="18"/>
  <c r="F36" i="18"/>
  <c r="E36" i="18"/>
  <c r="D36" i="18"/>
  <c r="H35" i="18"/>
  <c r="G35" i="18"/>
  <c r="H31" i="18"/>
  <c r="G31" i="18"/>
  <c r="H30" i="18"/>
  <c r="G30" i="18"/>
  <c r="E32" i="18"/>
  <c r="H28" i="18"/>
  <c r="G28" i="18"/>
  <c r="H24" i="18"/>
  <c r="G24" i="18"/>
  <c r="F23" i="18"/>
  <c r="E23" i="18"/>
  <c r="D23" i="18"/>
  <c r="F22" i="18"/>
  <c r="E22" i="18"/>
  <c r="D22" i="18"/>
  <c r="H21" i="18"/>
  <c r="G21" i="18"/>
  <c r="H20" i="18"/>
  <c r="G20" i="18"/>
  <c r="H16" i="18"/>
  <c r="G16" i="18"/>
  <c r="H15" i="18"/>
  <c r="G15" i="18"/>
  <c r="F14" i="18"/>
  <c r="H14" i="18" s="1"/>
  <c r="H13" i="18"/>
  <c r="G13" i="18"/>
  <c r="H12" i="18"/>
  <c r="G12" i="18"/>
  <c r="H11" i="18"/>
  <c r="G11" i="18"/>
  <c r="H10" i="18"/>
  <c r="G10" i="18"/>
  <c r="F9" i="18"/>
  <c r="E9" i="18"/>
  <c r="E17" i="18" s="1"/>
  <c r="D9" i="18"/>
  <c r="D17" i="18" s="1"/>
  <c r="H8" i="18"/>
  <c r="G8" i="18"/>
  <c r="F43" i="17"/>
  <c r="E43" i="17"/>
  <c r="D43" i="17"/>
  <c r="D42" i="17"/>
  <c r="E42" i="17"/>
  <c r="F42" i="17"/>
  <c r="G44" i="17"/>
  <c r="H44" i="17"/>
  <c r="G45" i="17"/>
  <c r="H45" i="17"/>
  <c r="G46" i="17"/>
  <c r="H46" i="17"/>
  <c r="D47" i="17"/>
  <c r="E47" i="17"/>
  <c r="F47" i="17"/>
  <c r="G48" i="17"/>
  <c r="H48" i="17"/>
  <c r="G49" i="17"/>
  <c r="H49" i="17"/>
  <c r="G50" i="17"/>
  <c r="H50" i="17"/>
  <c r="G51" i="17"/>
  <c r="H51" i="17"/>
  <c r="G55" i="17"/>
  <c r="H55" i="17"/>
  <c r="G56" i="17"/>
  <c r="H56" i="17"/>
  <c r="G57" i="17"/>
  <c r="H57" i="17"/>
  <c r="G58" i="17"/>
  <c r="H58" i="17"/>
  <c r="G59" i="17"/>
  <c r="H59" i="17"/>
  <c r="G60" i="17"/>
  <c r="H60" i="17"/>
  <c r="F24" i="17"/>
  <c r="E24" i="17"/>
  <c r="D24" i="17"/>
  <c r="F41" i="17"/>
  <c r="E41" i="17"/>
  <c r="D41" i="17"/>
  <c r="F40" i="17"/>
  <c r="E40" i="17"/>
  <c r="D40" i="17"/>
  <c r="F39" i="17"/>
  <c r="E39" i="17"/>
  <c r="D39" i="17"/>
  <c r="F35" i="17"/>
  <c r="E35" i="17"/>
  <c r="F34" i="17"/>
  <c r="E34" i="17"/>
  <c r="D35" i="17"/>
  <c r="D34" i="17"/>
  <c r="F33" i="17"/>
  <c r="E33" i="17"/>
  <c r="D33" i="17"/>
  <c r="F20" i="17"/>
  <c r="E20" i="17"/>
  <c r="D20" i="17"/>
  <c r="F9" i="17"/>
  <c r="E9" i="17"/>
  <c r="E16" i="17" s="1"/>
  <c r="D9" i="17"/>
  <c r="D16" i="17" s="1"/>
  <c r="H10" i="17"/>
  <c r="H11" i="17"/>
  <c r="H12" i="17"/>
  <c r="H13" i="17"/>
  <c r="H14" i="17"/>
  <c r="H15" i="17"/>
  <c r="H19" i="17"/>
  <c r="H21" i="17"/>
  <c r="H22" i="17"/>
  <c r="H23" i="17"/>
  <c r="H25" i="17"/>
  <c r="H26" i="17"/>
  <c r="H27" i="17"/>
  <c r="H28" i="17"/>
  <c r="H32" i="17"/>
  <c r="H36" i="17"/>
  <c r="H37" i="17"/>
  <c r="H38" i="17"/>
  <c r="H8" i="17"/>
  <c r="G10" i="17"/>
  <c r="G11" i="17"/>
  <c r="G12" i="17"/>
  <c r="G13" i="17"/>
  <c r="G14" i="17"/>
  <c r="G15" i="17"/>
  <c r="G19" i="17"/>
  <c r="G21" i="17"/>
  <c r="G22" i="17"/>
  <c r="G23" i="17"/>
  <c r="G25" i="17"/>
  <c r="G26" i="17"/>
  <c r="G27" i="17"/>
  <c r="G28" i="17"/>
  <c r="G32" i="17"/>
  <c r="G36" i="17"/>
  <c r="G37" i="17"/>
  <c r="G38" i="17"/>
  <c r="G8" i="17"/>
  <c r="B6" i="22" l="1"/>
  <c r="C6" i="22" s="1"/>
  <c r="D6" i="22" s="1"/>
  <c r="D4" i="21"/>
  <c r="B5" i="22" s="1"/>
  <c r="C5" i="22" s="1"/>
  <c r="D5" i="22" s="1"/>
  <c r="C3" i="21"/>
  <c r="H42" i="17"/>
  <c r="H33" i="17"/>
  <c r="G43" i="17"/>
  <c r="G42" i="17"/>
  <c r="H43" i="17"/>
  <c r="H47" i="17"/>
  <c r="H35" i="17"/>
  <c r="D52" i="17"/>
  <c r="H41" i="17"/>
  <c r="G47" i="17"/>
  <c r="B5" i="17" s="1"/>
  <c r="G43" i="21"/>
  <c r="I43" i="21" s="1"/>
  <c r="B3" i="21"/>
  <c r="D3" i="21" s="1"/>
  <c r="B4" i="22" s="1"/>
  <c r="C4" i="22" s="1"/>
  <c r="D4" i="22" s="1"/>
  <c r="I2" i="21"/>
  <c r="B6" i="7" s="1"/>
  <c r="G48" i="18"/>
  <c r="H36" i="18"/>
  <c r="H9" i="18"/>
  <c r="H23" i="18"/>
  <c r="H42" i="18"/>
  <c r="E49" i="18"/>
  <c r="G44" i="18"/>
  <c r="G36" i="18"/>
  <c r="H39" i="18"/>
  <c r="G41" i="18"/>
  <c r="G22" i="18"/>
  <c r="H37" i="18"/>
  <c r="E25" i="18"/>
  <c r="G47" i="18"/>
  <c r="H48" i="18"/>
  <c r="G40" i="18"/>
  <c r="H43" i="18"/>
  <c r="H47" i="18"/>
  <c r="G9" i="18"/>
  <c r="F17" i="18"/>
  <c r="G17" i="18" s="1"/>
  <c r="G38" i="18"/>
  <c r="H41" i="18"/>
  <c r="G45" i="18"/>
  <c r="G39" i="18"/>
  <c r="G43" i="18"/>
  <c r="H45" i="18"/>
  <c r="D25" i="18"/>
  <c r="H40" i="18"/>
  <c r="C5" i="18" s="1"/>
  <c r="H44" i="18"/>
  <c r="H29" i="18"/>
  <c r="G37" i="18"/>
  <c r="H38" i="18"/>
  <c r="G42" i="18"/>
  <c r="G46" i="18"/>
  <c r="G23" i="18"/>
  <c r="F25" i="18"/>
  <c r="G29" i="18"/>
  <c r="F32" i="18"/>
  <c r="G32" i="18" s="1"/>
  <c r="D49" i="18"/>
  <c r="G14" i="18"/>
  <c r="F49" i="18"/>
  <c r="H22" i="18"/>
  <c r="E29" i="17"/>
  <c r="F52" i="17"/>
  <c r="E52" i="17"/>
  <c r="E61" i="17"/>
  <c r="D61" i="17"/>
  <c r="F61" i="17"/>
  <c r="D29" i="17"/>
  <c r="H9" i="17"/>
  <c r="H39" i="17"/>
  <c r="G34" i="17"/>
  <c r="G41" i="17"/>
  <c r="F16" i="17"/>
  <c r="G16" i="17" s="1"/>
  <c r="G20" i="17"/>
  <c r="F29" i="17"/>
  <c r="H24" i="17"/>
  <c r="G24" i="17"/>
  <c r="H40" i="17"/>
  <c r="G40" i="17"/>
  <c r="G39" i="17"/>
  <c r="G35" i="17"/>
  <c r="H34" i="17"/>
  <c r="C4" i="17" s="1"/>
  <c r="G33" i="17"/>
  <c r="H20" i="17"/>
  <c r="G9" i="17"/>
  <c r="I17" i="18" l="1"/>
  <c r="D7" i="22"/>
  <c r="D8" i="22" s="1"/>
  <c r="H4" i="21"/>
  <c r="H3" i="21"/>
  <c r="H5" i="21" s="1"/>
  <c r="B5" i="18"/>
  <c r="D5" i="18" s="1"/>
  <c r="B15" i="22" s="1"/>
  <c r="C15" i="22" s="1"/>
  <c r="D15" i="22" s="1"/>
  <c r="I2" i="18"/>
  <c r="P6" i="7" s="1"/>
  <c r="B3" i="18"/>
  <c r="D3" i="18" s="1"/>
  <c r="B13" i="22" s="1"/>
  <c r="C13" i="22" s="1"/>
  <c r="D13" i="22" s="1"/>
  <c r="I3" i="18"/>
  <c r="C4" i="18"/>
  <c r="B4" i="18"/>
  <c r="C3" i="18"/>
  <c r="B3" i="17"/>
  <c r="B4" i="17"/>
  <c r="D4" i="17" s="1"/>
  <c r="B23" i="22" s="1"/>
  <c r="C23" i="22" s="1"/>
  <c r="D23" i="22" s="1"/>
  <c r="G61" i="17"/>
  <c r="I61" i="17" s="1"/>
  <c r="C3" i="17"/>
  <c r="I3" i="17"/>
  <c r="C5" i="17"/>
  <c r="D5" i="17" s="1"/>
  <c r="B24" i="22" s="1"/>
  <c r="C24" i="22" s="1"/>
  <c r="D24" i="22" s="1"/>
  <c r="A6" i="7"/>
  <c r="D10" i="7" s="1"/>
  <c r="G25" i="18"/>
  <c r="I25" i="18" s="1"/>
  <c r="I32" i="18"/>
  <c r="G49" i="18"/>
  <c r="I49" i="18" s="1"/>
  <c r="G52" i="17"/>
  <c r="I52" i="17" s="1"/>
  <c r="G29" i="17"/>
  <c r="I29" i="17" s="1"/>
  <c r="I16" i="17"/>
  <c r="I2" i="17"/>
  <c r="AD6" i="7" s="1"/>
  <c r="D4" i="18" l="1"/>
  <c r="B14" i="22" s="1"/>
  <c r="C14" i="22" s="1"/>
  <c r="D14" i="22" s="1"/>
  <c r="D16" i="22" s="1"/>
  <c r="D17" i="22" s="1"/>
  <c r="H3" i="18"/>
  <c r="H5" i="18" s="1"/>
  <c r="H2" i="18"/>
  <c r="D3" i="17"/>
  <c r="B22" i="22" s="1"/>
  <c r="C22" i="22" s="1"/>
  <c r="D22" i="22" s="1"/>
  <c r="D25" i="22" s="1"/>
  <c r="D26" i="22" s="1"/>
  <c r="A50" i="7"/>
  <c r="H2" i="17"/>
  <c r="H3" i="17"/>
  <c r="H5" i="17" s="1"/>
  <c r="O6" i="7" l="1"/>
  <c r="H4" i="18"/>
  <c r="H4" i="17"/>
  <c r="AC6" i="7"/>
  <c r="A10" i="7"/>
  <c r="R15" i="7" l="1"/>
  <c r="R16" i="7" s="1"/>
  <c r="O29" i="7"/>
  <c r="O58" i="7"/>
  <c r="O26" i="7"/>
  <c r="O41" i="7"/>
  <c r="O34" i="7"/>
  <c r="O48" i="7"/>
  <c r="O23" i="7"/>
  <c r="O36" i="7"/>
  <c r="O37" i="7"/>
  <c r="O12" i="7"/>
  <c r="O30" i="7"/>
  <c r="O51" i="7"/>
  <c r="O60" i="7"/>
  <c r="O21" i="7"/>
  <c r="O55" i="7"/>
  <c r="O61" i="7"/>
  <c r="O13" i="7"/>
  <c r="O40" i="7"/>
  <c r="O15" i="7"/>
  <c r="O28" i="7"/>
  <c r="O18" i="7"/>
  <c r="O56" i="7"/>
  <c r="O22" i="7"/>
  <c r="O14" i="7"/>
  <c r="O52" i="7"/>
  <c r="O19" i="7"/>
  <c r="O49" i="7"/>
  <c r="O53" i="7"/>
  <c r="O54" i="7"/>
  <c r="O32" i="7"/>
  <c r="O46" i="7"/>
  <c r="O20" i="7"/>
  <c r="O38" i="7"/>
  <c r="O17" i="7"/>
  <c r="O43" i="7"/>
  <c r="O47" i="7"/>
  <c r="O33" i="7"/>
  <c r="O31" i="7"/>
  <c r="O57" i="7"/>
  <c r="O24" i="7"/>
  <c r="O59" i="7"/>
  <c r="O42" i="7"/>
  <c r="O35" i="7"/>
  <c r="O39" i="7"/>
  <c r="O10" i="7"/>
  <c r="O44" i="7"/>
  <c r="R10" i="7"/>
  <c r="R11" i="7" s="1"/>
  <c r="O16" i="7"/>
  <c r="O45" i="7"/>
  <c r="O25" i="7"/>
  <c r="O50" i="7"/>
  <c r="O27" i="7"/>
  <c r="O11" i="7"/>
  <c r="AF15" i="7"/>
  <c r="AF16" i="7" s="1"/>
  <c r="AF10" i="7"/>
  <c r="AF11" i="7" s="1"/>
  <c r="AC42" i="7"/>
  <c r="AC58" i="7"/>
  <c r="AC41" i="7"/>
  <c r="AC40" i="7"/>
  <c r="AC39" i="7"/>
  <c r="AC13" i="7"/>
  <c r="AC44" i="7"/>
  <c r="AC59" i="7"/>
  <c r="AC23" i="7"/>
  <c r="AC27" i="7"/>
  <c r="AC56" i="7"/>
  <c r="AC33" i="7"/>
  <c r="AC32" i="7"/>
  <c r="AC15" i="7"/>
  <c r="AC49" i="7"/>
  <c r="AC36" i="7"/>
  <c r="AC51" i="7"/>
  <c r="AC35" i="7"/>
  <c r="AC45" i="7"/>
  <c r="AC37" i="7"/>
  <c r="AC29" i="7"/>
  <c r="AC48" i="7"/>
  <c r="AC50" i="7"/>
  <c r="AC25" i="7"/>
  <c r="AC24" i="7"/>
  <c r="AC54" i="7"/>
  <c r="AC47" i="7"/>
  <c r="AC28" i="7"/>
  <c r="AC43" i="7"/>
  <c r="AC10" i="7"/>
  <c r="AC53" i="7"/>
  <c r="AC60" i="7"/>
  <c r="AC21" i="7"/>
  <c r="AC34" i="7"/>
  <c r="AC17" i="7"/>
  <c r="AC16" i="7"/>
  <c r="AC61" i="7"/>
  <c r="AC46" i="7"/>
  <c r="AC20" i="7"/>
  <c r="AC30" i="7"/>
  <c r="AC38" i="7"/>
  <c r="AC14" i="7"/>
  <c r="AC11" i="7"/>
  <c r="AC55" i="7"/>
  <c r="AC12" i="7"/>
  <c r="AC19" i="7"/>
  <c r="AC22" i="7"/>
  <c r="AC57" i="7"/>
  <c r="AC26" i="7"/>
  <c r="AC18" i="7"/>
  <c r="AC52" i="7"/>
  <c r="AC31" i="7"/>
  <c r="D17" i="7"/>
  <c r="R17" i="7" l="1"/>
  <c r="R12" i="7"/>
  <c r="AF12" i="7"/>
  <c r="AF17" i="7"/>
  <c r="D16" i="7"/>
  <c r="D15" i="7"/>
  <c r="D11" i="7"/>
  <c r="A17" i="7" l="1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D12" i="7"/>
  <c r="A11" i="7"/>
  <c r="A12" i="7"/>
  <c r="A13" i="7"/>
  <c r="A14" i="7"/>
  <c r="A15" i="7"/>
  <c r="A16" i="7"/>
</calcChain>
</file>

<file path=xl/sharedStrings.xml><?xml version="1.0" encoding="utf-8"?>
<sst xmlns="http://schemas.openxmlformats.org/spreadsheetml/2006/main" count="459" uniqueCount="242">
  <si>
    <t>Step</t>
  </si>
  <si>
    <t>Description</t>
  </si>
  <si>
    <t>Tool</t>
  </si>
  <si>
    <t>Worst case</t>
  </si>
  <si>
    <t>Most likely</t>
  </si>
  <si>
    <t>Best case</t>
  </si>
  <si>
    <t>E</t>
  </si>
  <si>
    <t xml:space="preserve">Std. </t>
  </si>
  <si>
    <t>E-OP</t>
  </si>
  <si>
    <t>Operational probability density per robot</t>
  </si>
  <si>
    <t>Remove top cover</t>
  </si>
  <si>
    <t>P(50) [t]</t>
  </si>
  <si>
    <t>Std. [t]</t>
  </si>
  <si>
    <t>Move to object</t>
  </si>
  <si>
    <t>Mill</t>
  </si>
  <si>
    <t>IRB6660</t>
  </si>
  <si>
    <t>2x Cut (top cover 35cm)</t>
  </si>
  <si>
    <t>GoFa</t>
  </si>
  <si>
    <t>Move between cuts</t>
  </si>
  <si>
    <t>Swifty</t>
  </si>
  <si>
    <t>Move to start position *</t>
  </si>
  <si>
    <t>Move to object *</t>
  </si>
  <si>
    <t>Phillips</t>
  </si>
  <si>
    <t xml:space="preserve">Probability density </t>
  </si>
  <si>
    <t>Time [s]</t>
  </si>
  <si>
    <t>Unscrew 1 screw</t>
  </si>
  <si>
    <t>P(50) disassembly</t>
  </si>
  <si>
    <t>Release screw</t>
  </si>
  <si>
    <t>P(50) sum operation</t>
  </si>
  <si>
    <t>P(90) disassembly</t>
  </si>
  <si>
    <t>Suction</t>
  </si>
  <si>
    <t>P(90) operation</t>
  </si>
  <si>
    <t>Grip and lift plastic cover</t>
  </si>
  <si>
    <t>Remove and release (plastic cover) *</t>
  </si>
  <si>
    <t>Sum of time</t>
  </si>
  <si>
    <t>Remove compression plates</t>
  </si>
  <si>
    <t>2x Cut compression plate</t>
  </si>
  <si>
    <t>Change tool *</t>
  </si>
  <si>
    <t>Gripper</t>
  </si>
  <si>
    <t>2x Grip and lift (Compression plate</t>
  </si>
  <si>
    <t>Remove and release (compression plate)</t>
  </si>
  <si>
    <t>Move to object (between compression plate)</t>
  </si>
  <si>
    <t>Remove and release (compression plate) *</t>
  </si>
  <si>
    <t>Sum time</t>
  </si>
  <si>
    <t>Cut bridge between cells</t>
  </si>
  <si>
    <t>20x Cut (2x Bridge)</t>
  </si>
  <si>
    <t>Move between Cut (between bridge)</t>
  </si>
  <si>
    <t>4x Cut (connectors &amp; orange plastic)</t>
  </si>
  <si>
    <t>4x Move between cuts (connectors)</t>
  </si>
  <si>
    <t>Remove CMC unit</t>
  </si>
  <si>
    <t>Change tool*</t>
  </si>
  <si>
    <t>Grip and lift (plastic cover)</t>
  </si>
  <si>
    <t>Remove and release (plastic cover *</t>
  </si>
  <si>
    <t>Remove side module junction</t>
  </si>
  <si>
    <t xml:space="preserve">Change tool * </t>
  </si>
  <si>
    <t>Flat head</t>
  </si>
  <si>
    <t>2x Remove side module junction (by force)</t>
  </si>
  <si>
    <t xml:space="preserve">Move to object </t>
  </si>
  <si>
    <t>2x Grip and lift (side module junction)</t>
  </si>
  <si>
    <t xml:space="preserve">Remove and release (side module junction) </t>
  </si>
  <si>
    <t>Move to object (side module junction)</t>
  </si>
  <si>
    <t>Remove and release (side module junction) *</t>
  </si>
  <si>
    <t>Preparation time</t>
  </si>
  <si>
    <t>New module</t>
  </si>
  <si>
    <t xml:space="preserve">Step </t>
  </si>
  <si>
    <t>Worst</t>
  </si>
  <si>
    <t>Best</t>
  </si>
  <si>
    <t>Std.</t>
  </si>
  <si>
    <t>Remove top metal cover</t>
  </si>
  <si>
    <t>P(90) [t]</t>
  </si>
  <si>
    <t xml:space="preserve">2x Cut (top metal cover 50cm) </t>
  </si>
  <si>
    <t>Move to start position*</t>
  </si>
  <si>
    <t>Move to object (top metal cover)*</t>
  </si>
  <si>
    <t>Grip and lift</t>
  </si>
  <si>
    <t xml:space="preserve">Remove and release </t>
  </si>
  <si>
    <t>Sum</t>
  </si>
  <si>
    <t>Remove top plastic cover</t>
  </si>
  <si>
    <t>Move to object*</t>
  </si>
  <si>
    <t>2x Cut (top plastic cover 20cm)</t>
  </si>
  <si>
    <t xml:space="preserve">2x Grip and lift </t>
  </si>
  <si>
    <t>Remove and release*</t>
  </si>
  <si>
    <t xml:space="preserve">Remove CMC unit </t>
  </si>
  <si>
    <t>Move to object (cell terminal first time)*</t>
  </si>
  <si>
    <t>12'' cup</t>
  </si>
  <si>
    <t>28x unscrew bolts (cell terminal)</t>
  </si>
  <si>
    <t>27x Release bolts</t>
  </si>
  <si>
    <t>27x Move to object (cell terminal)</t>
  </si>
  <si>
    <t>Release bolts*</t>
  </si>
  <si>
    <t>2x Cut (plastic casing 60cm)</t>
  </si>
  <si>
    <t xml:space="preserve">3x Cut (plastic casing 18cm) </t>
  </si>
  <si>
    <t>4x Move between cuts</t>
  </si>
  <si>
    <t xml:space="preserve">18x Cut CMC connectors </t>
  </si>
  <si>
    <t>18x Move between cuts</t>
  </si>
  <si>
    <t xml:space="preserve">Move to object (CMC-plastic casing)* </t>
  </si>
  <si>
    <t xml:space="preserve">Extract cells </t>
  </si>
  <si>
    <t>Move to object (cells)*</t>
  </si>
  <si>
    <t>Grip and lift (individual cell)</t>
  </si>
  <si>
    <t xml:space="preserve">Remove and release* </t>
  </si>
  <si>
    <t>Positioner flip over</t>
  </si>
  <si>
    <t xml:space="preserve">Cell falls out </t>
  </si>
  <si>
    <t>4x Cut(metal holder)</t>
  </si>
  <si>
    <t>3x move between clips</t>
  </si>
  <si>
    <t>Move to object (metal cover)*</t>
  </si>
  <si>
    <t>2x Grip and lift metal cover</t>
  </si>
  <si>
    <t>2x Remove and release metal cover</t>
  </si>
  <si>
    <t>Move to object (metal cover)</t>
  </si>
  <si>
    <t>Seperate cell towers &amp; cell frames</t>
  </si>
  <si>
    <t>Umbraco</t>
  </si>
  <si>
    <t>Move to object (inside umbraco "cylinder")*</t>
  </si>
  <si>
    <t>18x unscrew screw</t>
  </si>
  <si>
    <t xml:space="preserve">17x move between screws </t>
  </si>
  <si>
    <t xml:space="preserve">Seperate cells </t>
  </si>
  <si>
    <t>Move to object (Side of module) *</t>
  </si>
  <si>
    <t>4x vertical cut (welded brackets + cell attachment)</t>
  </si>
  <si>
    <t xml:space="preserve">3x move between cuts </t>
  </si>
  <si>
    <t>Extract cells</t>
  </si>
  <si>
    <t xml:space="preserve">Move to object (First time) </t>
  </si>
  <si>
    <t>9x Move to object*</t>
  </si>
  <si>
    <t>10x4 cut (metal cell cover)</t>
  </si>
  <si>
    <t xml:space="preserve">10x2  Movement between cut </t>
  </si>
  <si>
    <t>10x Move to start position *</t>
  </si>
  <si>
    <t>10x Change tool *</t>
  </si>
  <si>
    <t xml:space="preserve">10x Move to object * </t>
  </si>
  <si>
    <t xml:space="preserve">10x2 Remove metal cell cover </t>
  </si>
  <si>
    <t>10x Move to object (between cell cover)</t>
  </si>
  <si>
    <t>10x2 Move to object ( cell extraction)</t>
  </si>
  <si>
    <t xml:space="preserve">10x2 extraction cells </t>
  </si>
  <si>
    <t xml:space="preserve">10x Change tool (to gripper) </t>
  </si>
  <si>
    <t>10x2 Move to object (cell casing)</t>
  </si>
  <si>
    <t xml:space="preserve">10x2 Remove cell casing </t>
  </si>
  <si>
    <t>Volkswagen E-Golf 2019</t>
  </si>
  <si>
    <t xml:space="preserve">Hyundai Ioniq </t>
  </si>
  <si>
    <t>Mitsubishi Outlander</t>
  </si>
  <si>
    <t>Function of probability density</t>
  </si>
  <si>
    <t>P50</t>
  </si>
  <si>
    <t>Std</t>
  </si>
  <si>
    <t xml:space="preserve">P(50) </t>
  </si>
  <si>
    <t xml:space="preserve">Probability </t>
  </si>
  <si>
    <t>Percentil</t>
  </si>
  <si>
    <t>Probability</t>
  </si>
  <si>
    <t>X-axis</t>
  </si>
  <si>
    <t>Y-axis</t>
  </si>
  <si>
    <t>P(90)</t>
  </si>
  <si>
    <t>P(50)</t>
  </si>
  <si>
    <t>S-curve</t>
  </si>
  <si>
    <t>VW E-Golf 2019</t>
  </si>
  <si>
    <t>Robot</t>
  </si>
  <si>
    <t>Operating time (sec)</t>
  </si>
  <si>
    <t>Variable electricity cost</t>
  </si>
  <si>
    <t>IRB 6660</t>
  </si>
  <si>
    <t>Fixed net cost</t>
  </si>
  <si>
    <t xml:space="preserve">Variable net cost </t>
  </si>
  <si>
    <t>Cost per kWh</t>
  </si>
  <si>
    <t xml:space="preserve">Sum </t>
  </si>
  <si>
    <t>Power consumption IRB 6660 [kWh]</t>
  </si>
  <si>
    <t>Cost</t>
  </si>
  <si>
    <t>Power consumption GoFa [kWh]</t>
  </si>
  <si>
    <t>Power consumption Swifti [kWh]</t>
  </si>
  <si>
    <t>Hyundai Ionic 2. Gen</t>
  </si>
  <si>
    <t>Operating time (P90)</t>
  </si>
  <si>
    <t>Module</t>
  </si>
  <si>
    <t>BM</t>
  </si>
  <si>
    <t>VW E-Golf</t>
  </si>
  <si>
    <t>Steel</t>
  </si>
  <si>
    <t xml:space="preserve">Small </t>
  </si>
  <si>
    <t>Large</t>
  </si>
  <si>
    <t>Plant capacity</t>
  </si>
  <si>
    <t>Capacity</t>
  </si>
  <si>
    <t>Operating costs</t>
  </si>
  <si>
    <t>Ratio</t>
  </si>
  <si>
    <t>Module weight [kg]</t>
  </si>
  <si>
    <t>Cell weight [kg]</t>
  </si>
  <si>
    <t>Recycled cells weight [tons]</t>
  </si>
  <si>
    <t>Interpolation</t>
  </si>
  <si>
    <t>Cost saving</t>
  </si>
  <si>
    <t>Recycled modules weight</t>
  </si>
  <si>
    <t>Interpolation op. Costs</t>
  </si>
  <si>
    <t>Interpolation reviced op. Cost</t>
  </si>
  <si>
    <t>Hyundai</t>
  </si>
  <si>
    <t>Mitsubishi</t>
  </si>
  <si>
    <t>Discount rate</t>
  </si>
  <si>
    <t>Sum of additional cells recycled</t>
  </si>
  <si>
    <t>Addi. Cells.</t>
  </si>
  <si>
    <t>The new amount of cells recycled</t>
  </si>
  <si>
    <t>Cells new</t>
  </si>
  <si>
    <t>The original amount of cells recycled</t>
  </si>
  <si>
    <t>Cells org.</t>
  </si>
  <si>
    <t>Modules</t>
  </si>
  <si>
    <t>Weight of diassembled cells</t>
  </si>
  <si>
    <t>Cells</t>
  </si>
  <si>
    <t>Recovery</t>
  </si>
  <si>
    <t>Value</t>
  </si>
  <si>
    <t>Sum total</t>
  </si>
  <si>
    <t>Plastic</t>
  </si>
  <si>
    <t>Aluminium</t>
  </si>
  <si>
    <t>Hydrometallurgy</t>
  </si>
  <si>
    <t>Potential revenue gain</t>
  </si>
  <si>
    <t>Revenue module components</t>
  </si>
  <si>
    <t>Revenue cell components</t>
  </si>
  <si>
    <t>Revenue cell [kg cell]</t>
  </si>
  <si>
    <t>Weight ratio</t>
  </si>
  <si>
    <t>Total weight cells [ton]</t>
  </si>
  <si>
    <t>Total weight modules [ton]</t>
  </si>
  <si>
    <t>Nr. of cells pr module</t>
  </si>
  <si>
    <t>Weight cell [g]</t>
  </si>
  <si>
    <t>Weight module [g]</t>
  </si>
  <si>
    <t>Modules disassembled</t>
  </si>
  <si>
    <t xml:space="preserve">Net present value </t>
  </si>
  <si>
    <t xml:space="preserve">Net present value analysis </t>
  </si>
  <si>
    <t>Cumulative cash flow</t>
  </si>
  <si>
    <t>Cash flow</t>
  </si>
  <si>
    <t>Revenue gain</t>
  </si>
  <si>
    <t>Investement cost</t>
  </si>
  <si>
    <t>Year</t>
  </si>
  <si>
    <t>Payback time of robotic disassembly line</t>
  </si>
  <si>
    <t>Recycling process</t>
  </si>
  <si>
    <t>Revenue parameters</t>
  </si>
  <si>
    <t>VW throughput</t>
  </si>
  <si>
    <t>Hyundai throughput</t>
  </si>
  <si>
    <t>Mitsubishi troughput</t>
  </si>
  <si>
    <t>Annual OP. time [h]</t>
  </si>
  <si>
    <t>Annual OP time [h]</t>
  </si>
  <si>
    <t>Power consumption [kW]</t>
  </si>
  <si>
    <t>Robot 
identifier</t>
  </si>
  <si>
    <t>Robot  
Identifier</t>
  </si>
  <si>
    <t>Scenario 2a</t>
  </si>
  <si>
    <t>Volkswagen</t>
  </si>
  <si>
    <t>Revised cell throughput *</t>
  </si>
  <si>
    <t>* Throughput of cells when processing modules</t>
  </si>
  <si>
    <t>Module component parameters for processing of modules only</t>
  </si>
  <si>
    <t>Module component parameters for processing modules and cells</t>
  </si>
  <si>
    <t>Weight of modules as input in scenario 1b</t>
  </si>
  <si>
    <t xml:space="preserve">Sum of modules and cells </t>
  </si>
  <si>
    <t>Processing modules only</t>
  </si>
  <si>
    <t>Processing modules and cells</t>
  </si>
  <si>
    <t>VW E-Golf *</t>
  </si>
  <si>
    <t>Ratio **</t>
  </si>
  <si>
    <t>Recovery ***</t>
  </si>
  <si>
    <t>*Amount per module</t>
  </si>
  <si>
    <t>** Ratio per module</t>
  </si>
  <si>
    <t>*** Recovery rate when recycling module components, as of LithoRec</t>
  </si>
  <si>
    <t>Scenario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</si>
</sst>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-&quot;kr&quot;\ * #,##0.00_-;\-&quot;kr&quot;\ * #,##0.00_-;_-&quot;kr&quot;\ * &quot;-&quot;??_-;_-@_-"/>
    <numFmt numFmtId="164" formatCode="_-&quot;£&quot;* #,##0.00_-;\-&quot;£&quot;* #,##0.00_-;_-&quot;£&quot;* &quot;-&quot;??_-;_-@_-"/>
    <numFmt numFmtId="165" formatCode="0.0"/>
    <numFmt numFmtId="166" formatCode="[$$-409]#,##0.0"/>
    <numFmt numFmtId="167" formatCode="[$$-409]#,##0.00"/>
    <numFmt numFmtId="168" formatCode="0.000"/>
    <numFmt numFmtId="169" formatCode="_-[$$-409]* #,##0.00_ ;_-[$$-409]* \-#,##0.00\ ;_-[$$-409]* &quot;-&quot;??_ ;_-@_ "/>
    <numFmt numFmtId="170" formatCode="_-[$$-409]* #,##0_ ;_-[$$-409]* \-#,##0\ ;_-[$$-409]* &quot;-&quot;??_ ;_-@_ 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theme="0" tint="-0.14999847407452621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</borders>
  <cellStyleXfs count="4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28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3" fillId="0" borderId="1" xfId="0" applyFont="1" applyBorder="1"/>
    <xf numFmtId="0" fontId="2" fillId="0" borderId="1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5" fillId="0" borderId="9" xfId="0" applyFont="1" applyBorder="1"/>
    <xf numFmtId="0" fontId="0" fillId="0" borderId="10" xfId="0" applyBorder="1"/>
    <xf numFmtId="0" fontId="3" fillId="0" borderId="5" xfId="0" applyFont="1" applyBorder="1"/>
    <xf numFmtId="0" fontId="2" fillId="0" borderId="5" xfId="0" applyFont="1" applyBorder="1"/>
    <xf numFmtId="0" fontId="0" fillId="0" borderId="9" xfId="0" applyBorder="1"/>
    <xf numFmtId="0" fontId="2" fillId="0" borderId="9" xfId="0" applyFont="1" applyBorder="1"/>
    <xf numFmtId="0" fontId="7" fillId="0" borderId="5" xfId="0" applyFont="1" applyBorder="1"/>
    <xf numFmtId="0" fontId="7" fillId="0" borderId="9" xfId="0" applyFont="1" applyBorder="1"/>
    <xf numFmtId="0" fontId="0" fillId="3" borderId="14" xfId="0" applyFill="1" applyBorder="1"/>
    <xf numFmtId="0" fontId="0" fillId="0" borderId="14" xfId="0" applyBorder="1"/>
    <xf numFmtId="0" fontId="7" fillId="0" borderId="14" xfId="0" applyFont="1" applyBorder="1"/>
    <xf numFmtId="0" fontId="7" fillId="3" borderId="14" xfId="0" applyFont="1" applyFill="1" applyBorder="1"/>
    <xf numFmtId="0" fontId="2" fillId="3" borderId="14" xfId="0" applyFont="1" applyFill="1" applyBorder="1"/>
    <xf numFmtId="0" fontId="2" fillId="0" borderId="14" xfId="0" applyFont="1" applyBorder="1"/>
    <xf numFmtId="0" fontId="0" fillId="4" borderId="1" xfId="0" applyFill="1" applyBorder="1"/>
    <xf numFmtId="0" fontId="0" fillId="3" borderId="12" xfId="0" applyFill="1" applyBorder="1"/>
    <xf numFmtId="0" fontId="0" fillId="3" borderId="16" xfId="0" applyFill="1" applyBorder="1"/>
    <xf numFmtId="0" fontId="0" fillId="0" borderId="12" xfId="0" applyBorder="1"/>
    <xf numFmtId="0" fontId="0" fillId="0" borderId="16" xfId="0" applyBorder="1"/>
    <xf numFmtId="0" fontId="0" fillId="3" borderId="11" xfId="0" applyFill="1" applyBorder="1"/>
    <xf numFmtId="0" fontId="2" fillId="3" borderId="13" xfId="0" applyFont="1" applyFill="1" applyBorder="1"/>
    <xf numFmtId="0" fontId="0" fillId="3" borderId="13" xfId="0" applyFill="1" applyBorder="1"/>
    <xf numFmtId="0" fontId="0" fillId="3" borderId="15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6" fillId="0" borderId="14" xfId="0" applyFont="1" applyBorder="1"/>
    <xf numFmtId="0" fontId="6" fillId="3" borderId="14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2" fillId="0" borderId="18" xfId="0" applyFont="1" applyBorder="1"/>
    <xf numFmtId="0" fontId="5" fillId="0" borderId="14" xfId="0" applyFont="1" applyBorder="1"/>
    <xf numFmtId="0" fontId="5" fillId="3" borderId="14" xfId="0" applyFont="1" applyFill="1" applyBorder="1"/>
    <xf numFmtId="0" fontId="7" fillId="0" borderId="18" xfId="0" applyFont="1" applyBorder="1"/>
    <xf numFmtId="0" fontId="2" fillId="3" borderId="18" xfId="0" applyFont="1" applyFill="1" applyBorder="1"/>
    <xf numFmtId="0" fontId="4" fillId="3" borderId="14" xfId="0" applyFont="1" applyFill="1" applyBorder="1"/>
    <xf numFmtId="0" fontId="4" fillId="0" borderId="14" xfId="0" applyFont="1" applyBorder="1"/>
    <xf numFmtId="0" fontId="0" fillId="5" borderId="12" xfId="0" applyFill="1" applyBorder="1"/>
    <xf numFmtId="0" fontId="7" fillId="5" borderId="14" xfId="0" applyFont="1" applyFill="1" applyBorder="1"/>
    <xf numFmtId="0" fontId="6" fillId="5" borderId="14" xfId="0" applyFont="1" applyFill="1" applyBorder="1"/>
    <xf numFmtId="0" fontId="0" fillId="5" borderId="14" xfId="0" applyFill="1" applyBorder="1"/>
    <xf numFmtId="0" fontId="0" fillId="5" borderId="16" xfId="0" applyFill="1" applyBorder="1"/>
    <xf numFmtId="0" fontId="3" fillId="0" borderId="14" xfId="0" applyFont="1" applyBorder="1"/>
    <xf numFmtId="0" fontId="3" fillId="3" borderId="14" xfId="0" applyFont="1" applyFill="1" applyBorder="1"/>
    <xf numFmtId="0" fontId="3" fillId="3" borderId="13" xfId="0" applyFont="1" applyFill="1" applyBorder="1"/>
    <xf numFmtId="0" fontId="3" fillId="0" borderId="9" xfId="0" applyFont="1" applyBorder="1"/>
    <xf numFmtId="0" fontId="7" fillId="0" borderId="8" xfId="0" applyFont="1" applyBorder="1"/>
    <xf numFmtId="0" fontId="7" fillId="0" borderId="6" xfId="0" applyFont="1" applyBorder="1"/>
    <xf numFmtId="0" fontId="3" fillId="0" borderId="8" xfId="0" applyFont="1" applyBorder="1"/>
    <xf numFmtId="0" fontId="3" fillId="0" borderId="6" xfId="0" applyFont="1" applyBorder="1"/>
    <xf numFmtId="0" fontId="2" fillId="0" borderId="8" xfId="0" applyFont="1" applyBorder="1"/>
    <xf numFmtId="0" fontId="1" fillId="0" borderId="0" xfId="0" applyFont="1"/>
    <xf numFmtId="2" fontId="0" fillId="0" borderId="0" xfId="0" applyNumberFormat="1"/>
    <xf numFmtId="2" fontId="0" fillId="0" borderId="9" xfId="0" applyNumberFormat="1" applyBorder="1"/>
    <xf numFmtId="0" fontId="5" fillId="5" borderId="14" xfId="0" applyFont="1" applyFill="1" applyBorder="1"/>
    <xf numFmtId="2" fontId="0" fillId="0" borderId="5" xfId="0" applyNumberFormat="1" applyBorder="1"/>
    <xf numFmtId="2" fontId="0" fillId="0" borderId="10" xfId="0" applyNumberFormat="1" applyBorder="1"/>
    <xf numFmtId="2" fontId="0" fillId="0" borderId="8" xfId="0" applyNumberForma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3" borderId="28" xfId="0" applyFill="1" applyBorder="1"/>
    <xf numFmtId="0" fontId="5" fillId="3" borderId="29" xfId="0" applyFont="1" applyFill="1" applyBorder="1"/>
    <xf numFmtId="0" fontId="6" fillId="3" borderId="29" xfId="0" applyFont="1" applyFill="1" applyBorder="1"/>
    <xf numFmtId="0" fontId="0" fillId="3" borderId="29" xfId="0" applyFill="1" applyBorder="1"/>
    <xf numFmtId="2" fontId="0" fillId="0" borderId="1" xfId="0" applyNumberFormat="1" applyBorder="1"/>
    <xf numFmtId="0" fontId="7" fillId="0" borderId="1" xfId="0" applyFont="1" applyBorder="1"/>
    <xf numFmtId="2" fontId="0" fillId="4" borderId="1" xfId="0" applyNumberFormat="1" applyFill="1" applyBorder="1"/>
    <xf numFmtId="0" fontId="0" fillId="5" borderId="28" xfId="0" applyFill="1" applyBorder="1"/>
    <xf numFmtId="0" fontId="5" fillId="5" borderId="29" xfId="0" applyFont="1" applyFill="1" applyBorder="1"/>
    <xf numFmtId="0" fontId="6" fillId="5" borderId="29" xfId="0" applyFont="1" applyFill="1" applyBorder="1"/>
    <xf numFmtId="0" fontId="0" fillId="5" borderId="29" xfId="0" applyFill="1" applyBorder="1"/>
    <xf numFmtId="0" fontId="0" fillId="2" borderId="3" xfId="0" applyFill="1" applyBorder="1"/>
    <xf numFmtId="0" fontId="0" fillId="2" borderId="6" xfId="0" applyFill="1" applyBorder="1"/>
    <xf numFmtId="0" fontId="0" fillId="7" borderId="8" xfId="0" applyFill="1" applyBorder="1"/>
    <xf numFmtId="0" fontId="0" fillId="7" borderId="10" xfId="0" applyFill="1" applyBorder="1"/>
    <xf numFmtId="0" fontId="0" fillId="7" borderId="6" xfId="0" applyFill="1" applyBorder="1"/>
    <xf numFmtId="0" fontId="0" fillId="6" borderId="0" xfId="0" applyFill="1"/>
    <xf numFmtId="0" fontId="0" fillId="2" borderId="23" xfId="0" applyFill="1" applyBorder="1"/>
    <xf numFmtId="0" fontId="0" fillId="6" borderId="2" xfId="0" applyFill="1" applyBorder="1"/>
    <xf numFmtId="0" fontId="0" fillId="6" borderId="23" xfId="0" applyFill="1" applyBorder="1"/>
    <xf numFmtId="2" fontId="0" fillId="0" borderId="3" xfId="0" applyNumberFormat="1" applyBorder="1"/>
    <xf numFmtId="2" fontId="0" fillId="0" borderId="7" xfId="0" applyNumberFormat="1" applyBorder="1"/>
    <xf numFmtId="2" fontId="0" fillId="0" borderId="4" xfId="0" applyNumberFormat="1" applyBorder="1"/>
    <xf numFmtId="1" fontId="0" fillId="0" borderId="0" xfId="0" applyNumberFormat="1"/>
    <xf numFmtId="1" fontId="0" fillId="0" borderId="9" xfId="0" applyNumberFormat="1" applyBorder="1"/>
    <xf numFmtId="1" fontId="0" fillId="0" borderId="10" xfId="0" applyNumberFormat="1" applyBorder="1"/>
    <xf numFmtId="3" fontId="0" fillId="0" borderId="0" xfId="0" applyNumberFormat="1"/>
    <xf numFmtId="168" fontId="0" fillId="0" borderId="0" xfId="0" applyNumberFormat="1"/>
    <xf numFmtId="0" fontId="1" fillId="9" borderId="4" xfId="0" applyFont="1" applyFill="1" applyBorder="1"/>
    <xf numFmtId="1" fontId="0" fillId="0" borderId="8" xfId="0" applyNumberFormat="1" applyBorder="1"/>
    <xf numFmtId="0" fontId="1" fillId="9" borderId="7" xfId="0" applyFont="1" applyFill="1" applyBorder="1"/>
    <xf numFmtId="0" fontId="1" fillId="9" borderId="3" xfId="0" applyFont="1" applyFill="1" applyBorder="1"/>
    <xf numFmtId="0" fontId="1" fillId="9" borderId="23" xfId="0" applyFont="1" applyFill="1" applyBorder="1"/>
    <xf numFmtId="0" fontId="1" fillId="9" borderId="21" xfId="0" applyFont="1" applyFill="1" applyBorder="1"/>
    <xf numFmtId="169" fontId="0" fillId="0" borderId="0" xfId="0" applyNumberFormat="1"/>
    <xf numFmtId="0" fontId="1" fillId="9" borderId="24" xfId="0" applyFont="1" applyFill="1" applyBorder="1"/>
    <xf numFmtId="0" fontId="1" fillId="9" borderId="0" xfId="0" applyFont="1" applyFill="1"/>
    <xf numFmtId="169" fontId="0" fillId="0" borderId="7" xfId="0" applyNumberFormat="1" applyBorder="1"/>
    <xf numFmtId="168" fontId="0" fillId="0" borderId="8" xfId="0" applyNumberFormat="1" applyBorder="1"/>
    <xf numFmtId="168" fontId="0" fillId="0" borderId="7" xfId="0" applyNumberFormat="1" applyBorder="1"/>
    <xf numFmtId="0" fontId="1" fillId="9" borderId="2" xfId="0" applyFont="1" applyFill="1" applyBorder="1"/>
    <xf numFmtId="0" fontId="1" fillId="9" borderId="20" xfId="0" applyFont="1" applyFill="1" applyBorder="1"/>
    <xf numFmtId="0" fontId="0" fillId="9" borderId="7" xfId="0" applyFill="1" applyBorder="1"/>
    <xf numFmtId="0" fontId="10" fillId="0" borderId="0" xfId="0" applyFont="1" applyAlignment="1">
      <alignment vertical="center"/>
    </xf>
    <xf numFmtId="170" fontId="0" fillId="0" borderId="24" xfId="0" applyNumberFormat="1" applyBorder="1"/>
    <xf numFmtId="170" fontId="0" fillId="0" borderId="8" xfId="0" applyNumberFormat="1" applyBorder="1"/>
    <xf numFmtId="0" fontId="0" fillId="9" borderId="20" xfId="0" applyFill="1" applyBorder="1"/>
    <xf numFmtId="169" fontId="0" fillId="0" borderId="10" xfId="3" applyNumberFormat="1" applyFont="1" applyBorder="1"/>
    <xf numFmtId="168" fontId="0" fillId="0" borderId="9" xfId="0" applyNumberFormat="1" applyBorder="1"/>
    <xf numFmtId="0" fontId="1" fillId="10" borderId="24" xfId="0" applyFont="1" applyFill="1" applyBorder="1"/>
    <xf numFmtId="169" fontId="0" fillId="0" borderId="8" xfId="3" applyNumberFormat="1" applyFont="1" applyBorder="1"/>
    <xf numFmtId="0" fontId="1" fillId="10" borderId="20" xfId="0" applyFont="1" applyFill="1" applyBorder="1"/>
    <xf numFmtId="0" fontId="1" fillId="10" borderId="22" xfId="0" applyFont="1" applyFill="1" applyBorder="1"/>
    <xf numFmtId="0" fontId="1" fillId="10" borderId="23" xfId="0" applyFont="1" applyFill="1" applyBorder="1"/>
    <xf numFmtId="0" fontId="1" fillId="10" borderId="21" xfId="0" applyFont="1" applyFill="1" applyBorder="1"/>
    <xf numFmtId="0" fontId="1" fillId="10" borderId="2" xfId="0" applyFont="1" applyFill="1" applyBorder="1"/>
    <xf numFmtId="9" fontId="0" fillId="0" borderId="0" xfId="0" applyNumberFormat="1"/>
    <xf numFmtId="9" fontId="0" fillId="0" borderId="0" xfId="2" applyFont="1" applyBorder="1"/>
    <xf numFmtId="170" fontId="0" fillId="0" borderId="1" xfId="0" applyNumberFormat="1" applyBorder="1"/>
    <xf numFmtId="170" fontId="9" fillId="0" borderId="1" xfId="0" applyNumberFormat="1" applyFont="1" applyBorder="1"/>
    <xf numFmtId="0" fontId="11" fillId="0" borderId="0" xfId="0" applyFont="1" applyAlignment="1">
      <alignment vertical="center"/>
    </xf>
    <xf numFmtId="0" fontId="0" fillId="9" borderId="2" xfId="0" applyFill="1" applyBorder="1"/>
    <xf numFmtId="0" fontId="0" fillId="11" borderId="10" xfId="0" applyFill="1" applyBorder="1"/>
    <xf numFmtId="0" fontId="0" fillId="9" borderId="4" xfId="0" applyFill="1" applyBorder="1"/>
    <xf numFmtId="0" fontId="0" fillId="11" borderId="6" xfId="0" applyFill="1" applyBorder="1"/>
    <xf numFmtId="0" fontId="0" fillId="9" borderId="3" xfId="0" applyFill="1" applyBorder="1"/>
    <xf numFmtId="0" fontId="0" fillId="10" borderId="23" xfId="0" applyFill="1" applyBorder="1"/>
    <xf numFmtId="0" fontId="0" fillId="10" borderId="22" xfId="0" applyFill="1" applyBorder="1" applyAlignment="1">
      <alignment horizontal="center"/>
    </xf>
    <xf numFmtId="0" fontId="0" fillId="10" borderId="22" xfId="0" applyFill="1" applyBorder="1"/>
    <xf numFmtId="0" fontId="0" fillId="9" borderId="2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/>
    <xf numFmtId="0" fontId="0" fillId="9" borderId="8" xfId="0" applyFill="1" applyBorder="1"/>
    <xf numFmtId="0" fontId="0" fillId="13" borderId="28" xfId="0" applyFill="1" applyBorder="1"/>
    <xf numFmtId="0" fontId="5" fillId="13" borderId="29" xfId="0" applyFont="1" applyFill="1" applyBorder="1"/>
    <xf numFmtId="0" fontId="6" fillId="13" borderId="29" xfId="0" applyFont="1" applyFill="1" applyBorder="1"/>
    <xf numFmtId="0" fontId="0" fillId="13" borderId="29" xfId="0" applyFill="1" applyBorder="1"/>
    <xf numFmtId="0" fontId="0" fillId="10" borderId="1" xfId="0" applyFill="1" applyBorder="1"/>
    <xf numFmtId="0" fontId="0" fillId="12" borderId="0" xfId="0" applyFill="1"/>
    <xf numFmtId="0" fontId="7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13" borderId="30" xfId="0" applyFill="1" applyBorder="1"/>
    <xf numFmtId="0" fontId="0" fillId="3" borderId="30" xfId="0" applyFill="1" applyBorder="1"/>
    <xf numFmtId="0" fontId="0" fillId="5" borderId="11" xfId="0" applyFill="1" applyBorder="1"/>
    <xf numFmtId="0" fontId="5" fillId="5" borderId="13" xfId="0" applyFont="1" applyFill="1" applyBorder="1"/>
    <xf numFmtId="0" fontId="6" fillId="5" borderId="13" xfId="0" applyFont="1" applyFill="1" applyBorder="1"/>
    <xf numFmtId="0" fontId="0" fillId="5" borderId="13" xfId="0" applyFill="1" applyBorder="1"/>
    <xf numFmtId="0" fontId="0" fillId="5" borderId="15" xfId="0" applyFill="1" applyBorder="1"/>
    <xf numFmtId="0" fontId="1" fillId="10" borderId="22" xfId="0" applyFont="1" applyFill="1" applyBorder="1" applyAlignment="1">
      <alignment horizontal="center"/>
    </xf>
    <xf numFmtId="0" fontId="0" fillId="9" borderId="1" xfId="0" applyFill="1" applyBorder="1"/>
    <xf numFmtId="0" fontId="0" fillId="9" borderId="10" xfId="0" applyFill="1" applyBorder="1"/>
    <xf numFmtId="0" fontId="0" fillId="9" borderId="23" xfId="0" applyFill="1" applyBorder="1"/>
    <xf numFmtId="0" fontId="0" fillId="9" borderId="5" xfId="0" applyFill="1" applyBorder="1"/>
    <xf numFmtId="0" fontId="1" fillId="0" borderId="4" xfId="0" applyFont="1" applyBorder="1"/>
    <xf numFmtId="167" fontId="1" fillId="0" borderId="10" xfId="0" applyNumberFormat="1" applyFont="1" applyBorder="1"/>
    <xf numFmtId="0" fontId="0" fillId="0" borderId="22" xfId="0" applyBorder="1"/>
    <xf numFmtId="0" fontId="0" fillId="0" borderId="20" xfId="0" applyBorder="1"/>
    <xf numFmtId="166" fontId="0" fillId="0" borderId="20" xfId="1" applyNumberFormat="1" applyFont="1" applyFill="1" applyBorder="1"/>
    <xf numFmtId="165" fontId="0" fillId="0" borderId="20" xfId="2" applyNumberFormat="1" applyFont="1" applyFill="1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4" xfId="0" applyBorder="1" applyAlignment="1">
      <alignment horizontal="right"/>
    </xf>
    <xf numFmtId="0" fontId="1" fillId="10" borderId="1" xfId="0" applyFont="1" applyFill="1" applyBorder="1"/>
    <xf numFmtId="0" fontId="0" fillId="13" borderId="12" xfId="0" applyFill="1" applyBorder="1"/>
    <xf numFmtId="0" fontId="5" fillId="13" borderId="14" xfId="0" applyFont="1" applyFill="1" applyBorder="1"/>
    <xf numFmtId="0" fontId="7" fillId="13" borderId="14" xfId="0" applyFont="1" applyFill="1" applyBorder="1"/>
    <xf numFmtId="0" fontId="0" fillId="13" borderId="14" xfId="0" applyFill="1" applyBorder="1"/>
    <xf numFmtId="0" fontId="0" fillId="13" borderId="16" xfId="0" applyFill="1" applyBorder="1"/>
    <xf numFmtId="0" fontId="0" fillId="9" borderId="17" xfId="0" applyFill="1" applyBorder="1"/>
    <xf numFmtId="0" fontId="5" fillId="9" borderId="18" xfId="0" applyFont="1" applyFill="1" applyBorder="1"/>
    <xf numFmtId="0" fontId="6" fillId="9" borderId="18" xfId="0" applyFont="1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14" xfId="0" applyFill="1" applyBorder="1"/>
    <xf numFmtId="0" fontId="6" fillId="13" borderId="14" xfId="0" applyFont="1" applyFill="1" applyBorder="1"/>
    <xf numFmtId="0" fontId="5" fillId="9" borderId="14" xfId="0" applyFont="1" applyFill="1" applyBorder="1"/>
    <xf numFmtId="0" fontId="0" fillId="9" borderId="16" xfId="0" applyFill="1" applyBorder="1"/>
    <xf numFmtId="0" fontId="0" fillId="9" borderId="12" xfId="0" applyFill="1" applyBorder="1"/>
    <xf numFmtId="0" fontId="0" fillId="5" borderId="30" xfId="0" applyFill="1" applyBorder="1"/>
    <xf numFmtId="0" fontId="5" fillId="3" borderId="13" xfId="0" applyFont="1" applyFill="1" applyBorder="1"/>
    <xf numFmtId="0" fontId="6" fillId="3" borderId="13" xfId="0" applyFont="1" applyFill="1" applyBorder="1"/>
    <xf numFmtId="0" fontId="0" fillId="10" borderId="2" xfId="0" applyFill="1" applyBorder="1"/>
    <xf numFmtId="0" fontId="13" fillId="0" borderId="0" xfId="0" applyFont="1"/>
    <xf numFmtId="0" fontId="12" fillId="10" borderId="1" xfId="0" applyFont="1" applyFill="1" applyBorder="1"/>
    <xf numFmtId="0" fontId="12" fillId="9" borderId="1" xfId="0" applyFont="1" applyFill="1" applyBorder="1"/>
    <xf numFmtId="2" fontId="13" fillId="0" borderId="1" xfId="0" applyNumberFormat="1" applyFont="1" applyBorder="1"/>
    <xf numFmtId="168" fontId="13" fillId="0" borderId="1" xfId="0" applyNumberFormat="1" applyFont="1" applyBorder="1"/>
    <xf numFmtId="0" fontId="13" fillId="0" borderId="1" xfId="0" applyFont="1" applyBorder="1"/>
    <xf numFmtId="0" fontId="13" fillId="9" borderId="1" xfId="0" applyFont="1" applyFill="1" applyBorder="1"/>
    <xf numFmtId="0" fontId="13" fillId="0" borderId="23" xfId="0" applyFont="1" applyBorder="1"/>
    <xf numFmtId="170" fontId="1" fillId="0" borderId="9" xfId="0" applyNumberFormat="1" applyFont="1" applyBorder="1"/>
    <xf numFmtId="170" fontId="1" fillId="0" borderId="23" xfId="3" applyNumberFormat="1" applyFont="1" applyFill="1" applyBorder="1"/>
    <xf numFmtId="0" fontId="1" fillId="10" borderId="22" xfId="0" applyFont="1" applyFill="1" applyBorder="1" applyAlignment="1">
      <alignment horizontal="left" vertical="top" wrapText="1"/>
    </xf>
    <xf numFmtId="0" fontId="1" fillId="10" borderId="24" xfId="0" applyFont="1" applyFill="1" applyBorder="1" applyAlignment="1">
      <alignment horizontal="left" vertical="top" wrapText="1"/>
    </xf>
    <xf numFmtId="0" fontId="1" fillId="10" borderId="2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10" borderId="22" xfId="0" applyFont="1" applyFill="1" applyBorder="1" applyAlignment="1">
      <alignment horizontal="center" vertical="center" wrapText="1"/>
    </xf>
    <xf numFmtId="0" fontId="1" fillId="10" borderId="24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0" xfId="0"/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2" fillId="10" borderId="2" xfId="0" applyFont="1" applyFill="1" applyBorder="1" applyAlignment="1">
      <alignment horizontal="center"/>
    </xf>
    <xf numFmtId="0" fontId="12" fillId="10" borderId="21" xfId="0" applyFont="1" applyFill="1" applyBorder="1" applyAlignment="1">
      <alignment horizontal="center"/>
    </xf>
    <xf numFmtId="0" fontId="12" fillId="10" borderId="23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170" fontId="0" fillId="0" borderId="9" xfId="0" applyNumberFormat="1" applyBorder="1" applyAlignment="1">
      <alignment horizontal="center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4" xfId="0" applyNumberFormat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170" fontId="1" fillId="0" borderId="3" xfId="0" applyNumberFormat="1" applyFont="1" applyBorder="1" applyAlignment="1">
      <alignment horizontal="center"/>
    </xf>
    <xf numFmtId="170" fontId="1" fillId="0" borderId="6" xfId="0" applyNumberFormat="1" applyFont="1" applyBorder="1" applyAlignment="1">
      <alignment horizontal="center"/>
    </xf>
    <xf numFmtId="170" fontId="1" fillId="0" borderId="2" xfId="0" applyNumberFormat="1" applyFont="1" applyBorder="1" applyAlignment="1">
      <alignment horizontal="center"/>
    </xf>
    <xf numFmtId="170" fontId="1" fillId="0" borderId="23" xfId="0" applyNumberFormat="1" applyFont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70" fontId="0" fillId="0" borderId="8" xfId="0" applyNumberFormat="1" applyBorder="1" applyAlignment="1">
      <alignment horizontal="center"/>
    </xf>
  </cellXfs>
  <cellStyles count="4">
    <cellStyle name="Normal" xfId="0" builtinId="0"/>
    <cellStyle name="Prosent" xfId="2" builtinId="5"/>
    <cellStyle name="Valuta" xfId="1" builtinId="4"/>
    <cellStyle name="Valuta 2" xfId="3" xr:uid="{A2F58E92-5806-4A92-AE76-18ECCB1BF070}"/>
  </cellStyles>
  <dxfs count="21">
    <dxf>
      <numFmt numFmtId="0" formatCode="General"/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indexed="64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544EC03C-6585-490F-B917-1547CB6DB0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469722222222224"/>
          <c:y val="2.8318969360331351E-2"/>
          <c:w val="0.66757384996389002"/>
          <c:h val="0.8901923364363053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'Graph data'!$G$19</c:f>
              <c:strCache>
                <c:ptCount val="1"/>
                <c:pt idx="0">
                  <c:v>S-curve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'Graph data'!$A$10:$A$61</c:f>
              <c:numCache>
                <c:formatCode>0.00</c:formatCode>
                <c:ptCount val="52"/>
                <c:pt idx="0">
                  <c:v>43.780090565266406</c:v>
                </c:pt>
                <c:pt idx="1">
                  <c:v>46.640880888155259</c:v>
                </c:pt>
                <c:pt idx="2">
                  <c:v>47.97813655972061</c:v>
                </c:pt>
                <c:pt idx="3">
                  <c:v>49.868897374812747</c:v>
                </c:pt>
                <c:pt idx="4">
                  <c:v>53.078172607301298</c:v>
                </c:pt>
                <c:pt idx="5">
                  <c:v>55.524316245160179</c:v>
                </c:pt>
                <c:pt idx="6">
                  <c:v>57.62813472224714</c:v>
                </c:pt>
                <c:pt idx="7">
                  <c:v>58.998957785256373</c:v>
                </c:pt>
                <c:pt idx="8">
                  <c:v>60.053702689611399</c:v>
                </c:pt>
                <c:pt idx="9">
                  <c:v>60.929667489702979</c:v>
                </c:pt>
                <c:pt idx="10">
                  <c:v>61.6902218817823</c:v>
                </c:pt>
                <c:pt idx="11">
                  <c:v>62.370178890109706</c:v>
                </c:pt>
                <c:pt idx="12">
                  <c:v>62.990875457005615</c:v>
                </c:pt>
                <c:pt idx="13">
                  <c:v>63.566426870043969</c:v>
                </c:pt>
                <c:pt idx="14">
                  <c:v>64.106720412156889</c:v>
                </c:pt>
                <c:pt idx="15">
                  <c:v>64.619001894332257</c:v>
                </c:pt>
                <c:pt idx="16">
                  <c:v>65.108783668520871</c:v>
                </c:pt>
                <c:pt idx="17">
                  <c:v>65.58039688137579</c:v>
                </c:pt>
                <c:pt idx="18">
                  <c:v>66.037344612820505</c:v>
                </c:pt>
                <c:pt idx="19">
                  <c:v>66.482537644449366</c:v>
                </c:pt>
                <c:pt idx="20">
                  <c:v>66.918458144788119</c:v>
                </c:pt>
                <c:pt idx="21">
                  <c:v>67.347277680195674</c:v>
                </c:pt>
                <c:pt idx="22">
                  <c:v>67.770945684010627</c:v>
                </c:pt>
                <c:pt idx="23">
                  <c:v>68.191258701670108</c:v>
                </c:pt>
                <c:pt idx="24">
                  <c:v>68.609917355371891</c:v>
                </c:pt>
                <c:pt idx="25">
                  <c:v>69.028576009073674</c:v>
                </c:pt>
                <c:pt idx="26">
                  <c:v>69.448889026733156</c:v>
                </c:pt>
                <c:pt idx="27">
                  <c:v>69.872557030548109</c:v>
                </c:pt>
                <c:pt idx="28">
                  <c:v>70.301376565955664</c:v>
                </c:pt>
                <c:pt idx="29">
                  <c:v>70.737297066294417</c:v>
                </c:pt>
                <c:pt idx="30">
                  <c:v>71.182490097923292</c:v>
                </c:pt>
                <c:pt idx="31">
                  <c:v>71.639437829367992</c:v>
                </c:pt>
                <c:pt idx="32">
                  <c:v>72.111051042222911</c:v>
                </c:pt>
                <c:pt idx="33">
                  <c:v>72.600832816411526</c:v>
                </c:pt>
                <c:pt idx="34">
                  <c:v>73.113114298586893</c:v>
                </c:pt>
                <c:pt idx="35">
                  <c:v>73.653407840699813</c:v>
                </c:pt>
                <c:pt idx="36">
                  <c:v>74.228959253738168</c:v>
                </c:pt>
                <c:pt idx="37">
                  <c:v>74.849655820634084</c:v>
                </c:pt>
                <c:pt idx="38">
                  <c:v>75.529612828961461</c:v>
                </c:pt>
                <c:pt idx="39">
                  <c:v>76.290167221040804</c:v>
                </c:pt>
                <c:pt idx="40">
                  <c:v>77.166132021132384</c:v>
                </c:pt>
                <c:pt idx="41">
                  <c:v>77.561401002912405</c:v>
                </c:pt>
                <c:pt idx="42">
                  <c:v>77.990807062806667</c:v>
                </c:pt>
                <c:pt idx="43">
                  <c:v>78.462962038391268</c:v>
                </c:pt>
                <c:pt idx="44">
                  <c:v>78.990285176446349</c:v>
                </c:pt>
                <c:pt idx="45">
                  <c:v>79.591699988496643</c:v>
                </c:pt>
                <c:pt idx="46">
                  <c:v>81.695518465583604</c:v>
                </c:pt>
                <c:pt idx="47">
                  <c:v>84.141662103442485</c:v>
                </c:pt>
                <c:pt idx="48">
                  <c:v>87.350937335931079</c:v>
                </c:pt>
                <c:pt idx="49">
                  <c:v>89.241698151023172</c:v>
                </c:pt>
                <c:pt idx="50">
                  <c:v>90.57895382258873</c:v>
                </c:pt>
                <c:pt idx="51">
                  <c:v>93.439744145477562</c:v>
                </c:pt>
              </c:numCache>
            </c:numRef>
          </c:xVal>
          <c:yVal>
            <c:numRef>
              <c:f>'Graph data'!$B$10:$B$61</c:f>
              <c:numCache>
                <c:formatCode>General</c:formatCode>
                <c:ptCount val="52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2.5000000000000001E-3</c:v>
                </c:pt>
                <c:pt idx="4">
                  <c:v>0.01</c:v>
                </c:pt>
                <c:pt idx="5">
                  <c:v>2.5000000000000001E-2</c:v>
                </c:pt>
                <c:pt idx="6">
                  <c:v>0.05</c:v>
                </c:pt>
                <c:pt idx="7">
                  <c:v>7.5000000000000011E-2</c:v>
                </c:pt>
                <c:pt idx="8">
                  <c:v>0.1</c:v>
                </c:pt>
                <c:pt idx="9">
                  <c:v>0.125</c:v>
                </c:pt>
                <c:pt idx="10">
                  <c:v>0.15000000000000002</c:v>
                </c:pt>
                <c:pt idx="11">
                  <c:v>0.17500000000000002</c:v>
                </c:pt>
                <c:pt idx="12">
                  <c:v>0.2</c:v>
                </c:pt>
                <c:pt idx="13">
                  <c:v>0.22500000000000001</c:v>
                </c:pt>
                <c:pt idx="14">
                  <c:v>0.25</c:v>
                </c:pt>
                <c:pt idx="15">
                  <c:v>0.27500000000000002</c:v>
                </c:pt>
                <c:pt idx="16">
                  <c:v>0.30000000000000004</c:v>
                </c:pt>
                <c:pt idx="17">
                  <c:v>0.32500000000000001</c:v>
                </c:pt>
                <c:pt idx="18">
                  <c:v>0.35000000000000003</c:v>
                </c:pt>
                <c:pt idx="19">
                  <c:v>0.375</c:v>
                </c:pt>
                <c:pt idx="20">
                  <c:v>0.4</c:v>
                </c:pt>
                <c:pt idx="21">
                  <c:v>0.42500000000000004</c:v>
                </c:pt>
                <c:pt idx="22">
                  <c:v>0.45</c:v>
                </c:pt>
                <c:pt idx="23">
                  <c:v>0.47500000000000003</c:v>
                </c:pt>
                <c:pt idx="24">
                  <c:v>0.5</c:v>
                </c:pt>
                <c:pt idx="25">
                  <c:v>0.52500000000000002</c:v>
                </c:pt>
                <c:pt idx="26">
                  <c:v>0.55000000000000004</c:v>
                </c:pt>
                <c:pt idx="27">
                  <c:v>0.57500000000000007</c:v>
                </c:pt>
                <c:pt idx="28">
                  <c:v>0.60000000000000009</c:v>
                </c:pt>
                <c:pt idx="29">
                  <c:v>0.625</c:v>
                </c:pt>
                <c:pt idx="30">
                  <c:v>0.65</c:v>
                </c:pt>
                <c:pt idx="31">
                  <c:v>0.67500000000000004</c:v>
                </c:pt>
                <c:pt idx="32">
                  <c:v>0.70000000000000007</c:v>
                </c:pt>
                <c:pt idx="33">
                  <c:v>0.72500000000000009</c:v>
                </c:pt>
                <c:pt idx="34">
                  <c:v>0.75</c:v>
                </c:pt>
                <c:pt idx="35">
                  <c:v>0.77500000000000002</c:v>
                </c:pt>
                <c:pt idx="36">
                  <c:v>0.8</c:v>
                </c:pt>
                <c:pt idx="37">
                  <c:v>0.82500000000000007</c:v>
                </c:pt>
                <c:pt idx="38">
                  <c:v>0.85000000000000009</c:v>
                </c:pt>
                <c:pt idx="39">
                  <c:v>0.875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0.94000000000000006</c:v>
                </c:pt>
                <c:pt idx="45">
                  <c:v>0.95000000000000007</c:v>
                </c:pt>
                <c:pt idx="46">
                  <c:v>0.97499999999999998</c:v>
                </c:pt>
                <c:pt idx="47">
                  <c:v>0.99</c:v>
                </c:pt>
                <c:pt idx="48">
                  <c:v>0.99750000000000005</c:v>
                </c:pt>
                <c:pt idx="49">
                  <c:v>0.999</c:v>
                </c:pt>
                <c:pt idx="50">
                  <c:v>0.99950000000000006</c:v>
                </c:pt>
                <c:pt idx="51">
                  <c:v>0.99990000000000001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9A-4257-8846-76E2704A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32954448"/>
        <c:axId val="-1932953904"/>
      </c:scatterChart>
      <c:scatterChart>
        <c:scatterStyle val="lineMarker"/>
        <c:varyColors val="0"/>
        <c:ser>
          <c:idx val="1"/>
          <c:order val="1"/>
          <c:tx>
            <c:strRef>
              <c:f>'Graph data'!$D$9</c:f>
              <c:strCache>
                <c:ptCount val="1"/>
                <c:pt idx="0">
                  <c:v>P(90)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'Graph data'!$D$10:$D$12</c:f>
              <c:numCache>
                <c:formatCode>0.00</c:formatCode>
                <c:ptCount val="3"/>
                <c:pt idx="0">
                  <c:v>77.166132021132384</c:v>
                </c:pt>
                <c:pt idx="1">
                  <c:v>77.166132021132384</c:v>
                </c:pt>
                <c:pt idx="2">
                  <c:v>43.780090565266406</c:v>
                </c:pt>
              </c:numCache>
            </c:numRef>
          </c:xVal>
          <c:yVal>
            <c:numRef>
              <c:f>'Graph data'!$E$10:$E$12</c:f>
              <c:numCache>
                <c:formatCode>General</c:formatCode>
                <c:ptCount val="3"/>
                <c:pt idx="0">
                  <c:v>0</c:v>
                </c:pt>
                <c:pt idx="1">
                  <c:v>0.9</c:v>
                </c:pt>
                <c:pt idx="2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A-4257-8846-76E2704ACC08}"/>
            </c:ext>
          </c:extLst>
        </c:ser>
        <c:ser>
          <c:idx val="2"/>
          <c:order val="2"/>
          <c:tx>
            <c:strRef>
              <c:f>'Graph data'!$D$14</c:f>
              <c:strCache>
                <c:ptCount val="1"/>
                <c:pt idx="0">
                  <c:v>P(50)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'Graph data'!$D$15:$D$17</c:f>
              <c:numCache>
                <c:formatCode>0.00</c:formatCode>
                <c:ptCount val="3"/>
                <c:pt idx="0">
                  <c:v>68.609917355371891</c:v>
                </c:pt>
                <c:pt idx="1">
                  <c:v>68.609917355371891</c:v>
                </c:pt>
                <c:pt idx="2">
                  <c:v>43.780090565266406</c:v>
                </c:pt>
              </c:numCache>
            </c:numRef>
          </c:xVal>
          <c:yVal>
            <c:numRef>
              <c:f>'Graph data'!$E$15:$E$17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A-4257-8846-76E2704A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32954448"/>
        <c:axId val="-1932953904"/>
      </c:scatterChart>
      <c:valAx>
        <c:axId val="-1932954448"/>
        <c:scaling>
          <c:orientation val="minMax"/>
          <c:max val="93.4"/>
          <c:min val="43.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[s]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_(* #,##0_);_(* \(#,##0\);_(* &quot;-&quot;_);_(@_)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-1932953904"/>
        <c:crosses val="autoZero"/>
        <c:crossBetween val="midCat"/>
        <c:majorUnit val="10"/>
      </c:valAx>
      <c:valAx>
        <c:axId val="-1932953904"/>
        <c:scaling>
          <c:orientation val="minMax"/>
          <c:max val="1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Percentile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-1932954448"/>
        <c:crosses val="min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469722222222224"/>
          <c:y val="2.8318969360331351E-2"/>
          <c:w val="0.66757384996389002"/>
          <c:h val="0.890192336436305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'Graph data'!$U$19</c:f>
              <c:strCache>
                <c:ptCount val="1"/>
                <c:pt idx="0">
                  <c:v>S-curve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'Graph data'!$O$10:$O$61</c:f>
              <c:numCache>
                <c:formatCode>0.00</c:formatCode>
                <c:ptCount val="52"/>
                <c:pt idx="0">
                  <c:v>295.00833646230268</c:v>
                </c:pt>
                <c:pt idx="1">
                  <c:v>320.66814231119349</c:v>
                </c:pt>
                <c:pt idx="2">
                  <c:v>332.66263230514903</c:v>
                </c:pt>
                <c:pt idx="3">
                  <c:v>349.6217764387751</c:v>
                </c:pt>
                <c:pt idx="4">
                  <c:v>378.40731123398268</c:v>
                </c:pt>
                <c:pt idx="5">
                  <c:v>400.347951316467</c:v>
                </c:pt>
                <c:pt idx="6">
                  <c:v>419.21811220573045</c:v>
                </c:pt>
                <c:pt idx="7">
                  <c:v>431.51368429592083</c:v>
                </c:pt>
                <c:pt idx="8">
                  <c:v>440.97419919256197</c:v>
                </c:pt>
                <c:pt idx="9">
                  <c:v>448.83114925317142</c:v>
                </c:pt>
                <c:pt idx="10">
                  <c:v>455.65292779532251</c:v>
                </c:pt>
                <c:pt idx="11">
                  <c:v>461.75178959574106</c:v>
                </c:pt>
                <c:pt idx="12">
                  <c:v>467.31911596363045</c:v>
                </c:pt>
                <c:pt idx="13">
                  <c:v>472.48151370961614</c:v>
                </c:pt>
                <c:pt idx="14">
                  <c:v>477.32766663494732</c:v>
                </c:pt>
                <c:pt idx="15">
                  <c:v>481.92256590716244</c:v>
                </c:pt>
                <c:pt idx="16">
                  <c:v>486.31565446505238</c:v>
                </c:pt>
                <c:pt idx="17">
                  <c:v>490.54578044835358</c:v>
                </c:pt>
                <c:pt idx="18">
                  <c:v>494.64436466759901</c:v>
                </c:pt>
                <c:pt idx="19">
                  <c:v>498.63751532442177</c:v>
                </c:pt>
                <c:pt idx="20">
                  <c:v>502.54749618346932</c:v>
                </c:pt>
                <c:pt idx="21">
                  <c:v>506.39378506900289</c:v>
                </c:pt>
                <c:pt idx="22">
                  <c:v>510.19386738726973</c:v>
                </c:pt>
                <c:pt idx="23">
                  <c:v>513.96385721931472</c:v>
                </c:pt>
                <c:pt idx="24">
                  <c:v>517.7190082644629</c:v>
                </c:pt>
                <c:pt idx="25">
                  <c:v>521.47415930961108</c:v>
                </c:pt>
                <c:pt idx="26">
                  <c:v>525.24414914165607</c:v>
                </c:pt>
                <c:pt idx="27">
                  <c:v>529.04423145992291</c:v>
                </c:pt>
                <c:pt idx="28">
                  <c:v>532.89052034545648</c:v>
                </c:pt>
                <c:pt idx="29">
                  <c:v>536.80050120450403</c:v>
                </c:pt>
                <c:pt idx="30">
                  <c:v>540.79365186132679</c:v>
                </c:pt>
                <c:pt idx="31">
                  <c:v>544.89223608057227</c:v>
                </c:pt>
                <c:pt idx="32">
                  <c:v>549.12236206387342</c:v>
                </c:pt>
                <c:pt idx="33">
                  <c:v>553.51545062176331</c:v>
                </c:pt>
                <c:pt idx="34">
                  <c:v>558.11034989397842</c:v>
                </c:pt>
                <c:pt idx="35">
                  <c:v>562.95650281930966</c:v>
                </c:pt>
                <c:pt idx="36">
                  <c:v>568.11890056529535</c:v>
                </c:pt>
                <c:pt idx="37">
                  <c:v>573.6862269331848</c:v>
                </c:pt>
                <c:pt idx="38">
                  <c:v>579.78508873360317</c:v>
                </c:pt>
                <c:pt idx="39">
                  <c:v>586.60686727575433</c:v>
                </c:pt>
                <c:pt idx="40">
                  <c:v>594.46381733636383</c:v>
                </c:pt>
                <c:pt idx="41">
                  <c:v>598.00917515214462</c:v>
                </c:pt>
                <c:pt idx="42">
                  <c:v>601.86072485820534</c:v>
                </c:pt>
                <c:pt idx="43">
                  <c:v>606.09571017228268</c:v>
                </c:pt>
                <c:pt idx="44">
                  <c:v>610.82552529849488</c:v>
                </c:pt>
                <c:pt idx="45">
                  <c:v>616.21990432319535</c:v>
                </c:pt>
                <c:pt idx="46">
                  <c:v>635.09006521245874</c:v>
                </c:pt>
                <c:pt idx="47">
                  <c:v>657.03070529494312</c:v>
                </c:pt>
                <c:pt idx="48">
                  <c:v>685.81624009015104</c:v>
                </c:pt>
                <c:pt idx="49">
                  <c:v>702.77538422377677</c:v>
                </c:pt>
                <c:pt idx="50">
                  <c:v>714.76987421773424</c:v>
                </c:pt>
                <c:pt idx="51">
                  <c:v>740.42968006662477</c:v>
                </c:pt>
              </c:numCache>
            </c:numRef>
          </c:xVal>
          <c:yVal>
            <c:numRef>
              <c:f>'Graph data'!$P$10:$P$61</c:f>
              <c:numCache>
                <c:formatCode>General</c:formatCode>
                <c:ptCount val="52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2.5000000000000001E-3</c:v>
                </c:pt>
                <c:pt idx="4">
                  <c:v>0.01</c:v>
                </c:pt>
                <c:pt idx="5">
                  <c:v>2.5000000000000001E-2</c:v>
                </c:pt>
                <c:pt idx="6">
                  <c:v>0.05</c:v>
                </c:pt>
                <c:pt idx="7">
                  <c:v>7.5000000000000011E-2</c:v>
                </c:pt>
                <c:pt idx="8">
                  <c:v>0.1</c:v>
                </c:pt>
                <c:pt idx="9">
                  <c:v>0.125</c:v>
                </c:pt>
                <c:pt idx="10">
                  <c:v>0.15000000000000002</c:v>
                </c:pt>
                <c:pt idx="11">
                  <c:v>0.17500000000000002</c:v>
                </c:pt>
                <c:pt idx="12">
                  <c:v>0.2</c:v>
                </c:pt>
                <c:pt idx="13">
                  <c:v>0.22500000000000001</c:v>
                </c:pt>
                <c:pt idx="14">
                  <c:v>0.25</c:v>
                </c:pt>
                <c:pt idx="15">
                  <c:v>0.27500000000000002</c:v>
                </c:pt>
                <c:pt idx="16">
                  <c:v>0.30000000000000004</c:v>
                </c:pt>
                <c:pt idx="17">
                  <c:v>0.32500000000000001</c:v>
                </c:pt>
                <c:pt idx="18">
                  <c:v>0.35000000000000003</c:v>
                </c:pt>
                <c:pt idx="19">
                  <c:v>0.375</c:v>
                </c:pt>
                <c:pt idx="20">
                  <c:v>0.4</c:v>
                </c:pt>
                <c:pt idx="21">
                  <c:v>0.42500000000000004</c:v>
                </c:pt>
                <c:pt idx="22">
                  <c:v>0.45</c:v>
                </c:pt>
                <c:pt idx="23">
                  <c:v>0.47500000000000003</c:v>
                </c:pt>
                <c:pt idx="24">
                  <c:v>0.5</c:v>
                </c:pt>
                <c:pt idx="25">
                  <c:v>0.52500000000000002</c:v>
                </c:pt>
                <c:pt idx="26">
                  <c:v>0.55000000000000004</c:v>
                </c:pt>
                <c:pt idx="27">
                  <c:v>0.57500000000000007</c:v>
                </c:pt>
                <c:pt idx="28">
                  <c:v>0.60000000000000009</c:v>
                </c:pt>
                <c:pt idx="29">
                  <c:v>0.625</c:v>
                </c:pt>
                <c:pt idx="30">
                  <c:v>0.65</c:v>
                </c:pt>
                <c:pt idx="31">
                  <c:v>0.67500000000000004</c:v>
                </c:pt>
                <c:pt idx="32">
                  <c:v>0.70000000000000007</c:v>
                </c:pt>
                <c:pt idx="33">
                  <c:v>0.72500000000000009</c:v>
                </c:pt>
                <c:pt idx="34">
                  <c:v>0.75</c:v>
                </c:pt>
                <c:pt idx="35">
                  <c:v>0.77500000000000002</c:v>
                </c:pt>
                <c:pt idx="36">
                  <c:v>0.8</c:v>
                </c:pt>
                <c:pt idx="37">
                  <c:v>0.82500000000000007</c:v>
                </c:pt>
                <c:pt idx="38">
                  <c:v>0.85000000000000009</c:v>
                </c:pt>
                <c:pt idx="39">
                  <c:v>0.875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0.94000000000000006</c:v>
                </c:pt>
                <c:pt idx="45">
                  <c:v>0.95000000000000007</c:v>
                </c:pt>
                <c:pt idx="46">
                  <c:v>0.97499999999999998</c:v>
                </c:pt>
                <c:pt idx="47">
                  <c:v>0.99</c:v>
                </c:pt>
                <c:pt idx="48">
                  <c:v>0.99750000000000005</c:v>
                </c:pt>
                <c:pt idx="49">
                  <c:v>0.999</c:v>
                </c:pt>
                <c:pt idx="50">
                  <c:v>0.99950000000000006</c:v>
                </c:pt>
                <c:pt idx="51">
                  <c:v>0.99990000000000001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CF-4472-8556-F19A47067B67}"/>
            </c:ext>
          </c:extLst>
        </c:ser>
        <c:ser>
          <c:idx val="1"/>
          <c:order val="1"/>
          <c:tx>
            <c:strRef>
              <c:f>'Graph data'!$R$9</c:f>
              <c:strCache>
                <c:ptCount val="1"/>
                <c:pt idx="0">
                  <c:v>P(90)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'Graph data'!$R$10:$R$12</c:f>
              <c:numCache>
                <c:formatCode>0.00</c:formatCode>
                <c:ptCount val="3"/>
                <c:pt idx="0">
                  <c:v>594.46381733636383</c:v>
                </c:pt>
                <c:pt idx="1">
                  <c:v>594.46381733636383</c:v>
                </c:pt>
                <c:pt idx="2">
                  <c:v>295.00833646230268</c:v>
                </c:pt>
              </c:numCache>
            </c:numRef>
          </c:xVal>
          <c:yVal>
            <c:numRef>
              <c:f>'Graph data'!$S$10:$S$12</c:f>
              <c:numCache>
                <c:formatCode>General</c:formatCode>
                <c:ptCount val="3"/>
                <c:pt idx="0">
                  <c:v>0</c:v>
                </c:pt>
                <c:pt idx="1">
                  <c:v>0.9</c:v>
                </c:pt>
                <c:pt idx="2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CF-4472-8556-F19A47067B67}"/>
            </c:ext>
          </c:extLst>
        </c:ser>
        <c:ser>
          <c:idx val="2"/>
          <c:order val="2"/>
          <c:tx>
            <c:strRef>
              <c:f>'Graph data'!$R$14</c:f>
              <c:strCache>
                <c:ptCount val="1"/>
                <c:pt idx="0">
                  <c:v>P(90)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'Graph data'!$R$15:$R$17</c:f>
              <c:numCache>
                <c:formatCode>0.00</c:formatCode>
                <c:ptCount val="3"/>
                <c:pt idx="0">
                  <c:v>517.7190082644629</c:v>
                </c:pt>
                <c:pt idx="1">
                  <c:v>517.7190082644629</c:v>
                </c:pt>
                <c:pt idx="2">
                  <c:v>295.00833646230268</c:v>
                </c:pt>
              </c:numCache>
            </c:numRef>
          </c:xVal>
          <c:yVal>
            <c:numRef>
              <c:f>'Graph data'!$S$15:$S$17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CF-4472-8556-F19A47067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32954448"/>
        <c:axId val="-1932953904"/>
      </c:scatterChart>
      <c:valAx>
        <c:axId val="-1932954448"/>
        <c:scaling>
          <c:orientation val="minMax"/>
          <c:max val="740.4"/>
          <c:min val="29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_(* #,##0_);_(* \(#,##0\);_(* &quot;-&quot;_);_(@_)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-1932953904"/>
        <c:crosses val="autoZero"/>
        <c:crossBetween val="midCat"/>
        <c:majorUnit val="100"/>
      </c:valAx>
      <c:valAx>
        <c:axId val="-1932953904"/>
        <c:scaling>
          <c:orientation val="minMax"/>
          <c:max val="1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-1932954448"/>
        <c:crosses val="min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6469722222222224"/>
          <c:y val="2.8318969360331351E-2"/>
          <c:w val="0.66757384996389002"/>
          <c:h val="0.8901923364363053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'Graph data'!$AI$19</c:f>
              <c:strCache>
                <c:ptCount val="1"/>
                <c:pt idx="0">
                  <c:v>S-curve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'Graph data'!$AC$10:$AC$61</c:f>
              <c:numCache>
                <c:formatCode>0.00</c:formatCode>
                <c:ptCount val="52"/>
                <c:pt idx="0">
                  <c:v>114.82142678898589</c:v>
                </c:pt>
                <c:pt idx="1">
                  <c:v>126.7822703480748</c:v>
                </c:pt>
                <c:pt idx="2">
                  <c:v>132.37327985273015</c:v>
                </c:pt>
                <c:pt idx="3">
                  <c:v>140.2784709938046</c:v>
                </c:pt>
                <c:pt idx="4">
                  <c:v>153.69631524709894</c:v>
                </c:pt>
                <c:pt idx="5">
                  <c:v>163.92353852222024</c:v>
                </c:pt>
                <c:pt idx="6">
                  <c:v>172.71951475292406</c:v>
                </c:pt>
                <c:pt idx="7">
                  <c:v>178.45086810401045</c:v>
                </c:pt>
                <c:pt idx="8">
                  <c:v>182.86071201840025</c:v>
                </c:pt>
                <c:pt idx="9">
                  <c:v>186.523083864857</c:v>
                </c:pt>
                <c:pt idx="10">
                  <c:v>189.70292966797501</c:v>
                </c:pt>
                <c:pt idx="11">
                  <c:v>192.54580121240107</c:v>
                </c:pt>
                <c:pt idx="12">
                  <c:v>195.14090735314355</c:v>
                </c:pt>
                <c:pt idx="13">
                  <c:v>197.54726351160983</c:v>
                </c:pt>
                <c:pt idx="14">
                  <c:v>199.80620800030374</c:v>
                </c:pt>
                <c:pt idx="15">
                  <c:v>201.94803524905169</c:v>
                </c:pt>
                <c:pt idx="16">
                  <c:v>203.99579216863165</c:v>
                </c:pt>
                <c:pt idx="17">
                  <c:v>205.96758710034155</c:v>
                </c:pt>
                <c:pt idx="18">
                  <c:v>207.87806627344349</c:v>
                </c:pt>
                <c:pt idx="19">
                  <c:v>209.73939954289202</c:v>
                </c:pt>
                <c:pt idx="20">
                  <c:v>211.56196475049748</c:v>
                </c:pt>
                <c:pt idx="21">
                  <c:v>213.35484112352421</c:v>
                </c:pt>
                <c:pt idx="22">
                  <c:v>215.12617916045696</c:v>
                </c:pt>
                <c:pt idx="23">
                  <c:v>216.88349014191925</c:v>
                </c:pt>
                <c:pt idx="24">
                  <c:v>218.63388429752069</c:v>
                </c:pt>
                <c:pt idx="25">
                  <c:v>220.38427845312214</c:v>
                </c:pt>
                <c:pt idx="26">
                  <c:v>222.14158943458443</c:v>
                </c:pt>
                <c:pt idx="27">
                  <c:v>223.91292747151721</c:v>
                </c:pt>
                <c:pt idx="28">
                  <c:v>225.70580384454391</c:v>
                </c:pt>
                <c:pt idx="29">
                  <c:v>227.52836905214937</c:v>
                </c:pt>
                <c:pt idx="30">
                  <c:v>229.38970232159789</c:v>
                </c:pt>
                <c:pt idx="31">
                  <c:v>231.30018149469984</c:v>
                </c:pt>
                <c:pt idx="32">
                  <c:v>233.27197642640974</c:v>
                </c:pt>
                <c:pt idx="33">
                  <c:v>235.3197333459897</c:v>
                </c:pt>
                <c:pt idx="34">
                  <c:v>237.46156059473765</c:v>
                </c:pt>
                <c:pt idx="35">
                  <c:v>239.72050508343156</c:v>
                </c:pt>
                <c:pt idx="36">
                  <c:v>242.12686124189784</c:v>
                </c:pt>
                <c:pt idx="37">
                  <c:v>244.72196738264032</c:v>
                </c:pt>
                <c:pt idx="38">
                  <c:v>247.56483892706632</c:v>
                </c:pt>
                <c:pt idx="39">
                  <c:v>250.74468473018439</c:v>
                </c:pt>
                <c:pt idx="40">
                  <c:v>254.40705657664114</c:v>
                </c:pt>
                <c:pt idx="41">
                  <c:v>256.05965950143604</c:v>
                </c:pt>
                <c:pt idx="42">
                  <c:v>257.85498810857899</c:v>
                </c:pt>
                <c:pt idx="43">
                  <c:v>259.82904812738883</c:v>
                </c:pt>
                <c:pt idx="44">
                  <c:v>262.03376390431981</c:v>
                </c:pt>
                <c:pt idx="45">
                  <c:v>264.54825384211733</c:v>
                </c:pt>
                <c:pt idx="46">
                  <c:v>273.34423007282112</c:v>
                </c:pt>
                <c:pt idx="47">
                  <c:v>283.57145334794245</c:v>
                </c:pt>
                <c:pt idx="48">
                  <c:v>296.98929760123701</c:v>
                </c:pt>
                <c:pt idx="49">
                  <c:v>304.89448874231124</c:v>
                </c:pt>
                <c:pt idx="50">
                  <c:v>310.48549824696744</c:v>
                </c:pt>
                <c:pt idx="51">
                  <c:v>322.4463418060563</c:v>
                </c:pt>
              </c:numCache>
            </c:numRef>
          </c:xVal>
          <c:yVal>
            <c:numRef>
              <c:f>'Graph data'!$AD$10:$AD$61</c:f>
              <c:numCache>
                <c:formatCode>General</c:formatCode>
                <c:ptCount val="52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2.5000000000000001E-3</c:v>
                </c:pt>
                <c:pt idx="4">
                  <c:v>0.01</c:v>
                </c:pt>
                <c:pt idx="5">
                  <c:v>2.5000000000000001E-2</c:v>
                </c:pt>
                <c:pt idx="6">
                  <c:v>0.05</c:v>
                </c:pt>
                <c:pt idx="7">
                  <c:v>7.5000000000000011E-2</c:v>
                </c:pt>
                <c:pt idx="8">
                  <c:v>0.1</c:v>
                </c:pt>
                <c:pt idx="9">
                  <c:v>0.125</c:v>
                </c:pt>
                <c:pt idx="10">
                  <c:v>0.15000000000000002</c:v>
                </c:pt>
                <c:pt idx="11">
                  <c:v>0.17500000000000002</c:v>
                </c:pt>
                <c:pt idx="12">
                  <c:v>0.2</c:v>
                </c:pt>
                <c:pt idx="13">
                  <c:v>0.22500000000000001</c:v>
                </c:pt>
                <c:pt idx="14">
                  <c:v>0.25</c:v>
                </c:pt>
                <c:pt idx="15">
                  <c:v>0.27500000000000002</c:v>
                </c:pt>
                <c:pt idx="16">
                  <c:v>0.30000000000000004</c:v>
                </c:pt>
                <c:pt idx="17">
                  <c:v>0.32500000000000001</c:v>
                </c:pt>
                <c:pt idx="18">
                  <c:v>0.35000000000000003</c:v>
                </c:pt>
                <c:pt idx="19">
                  <c:v>0.375</c:v>
                </c:pt>
                <c:pt idx="20">
                  <c:v>0.4</c:v>
                </c:pt>
                <c:pt idx="21">
                  <c:v>0.42500000000000004</c:v>
                </c:pt>
                <c:pt idx="22">
                  <c:v>0.45</c:v>
                </c:pt>
                <c:pt idx="23">
                  <c:v>0.47500000000000003</c:v>
                </c:pt>
                <c:pt idx="24">
                  <c:v>0.5</c:v>
                </c:pt>
                <c:pt idx="25">
                  <c:v>0.52500000000000002</c:v>
                </c:pt>
                <c:pt idx="26">
                  <c:v>0.55000000000000004</c:v>
                </c:pt>
                <c:pt idx="27">
                  <c:v>0.57500000000000007</c:v>
                </c:pt>
                <c:pt idx="28">
                  <c:v>0.60000000000000009</c:v>
                </c:pt>
                <c:pt idx="29">
                  <c:v>0.625</c:v>
                </c:pt>
                <c:pt idx="30">
                  <c:v>0.65</c:v>
                </c:pt>
                <c:pt idx="31">
                  <c:v>0.67500000000000004</c:v>
                </c:pt>
                <c:pt idx="32">
                  <c:v>0.70000000000000007</c:v>
                </c:pt>
                <c:pt idx="33">
                  <c:v>0.72500000000000009</c:v>
                </c:pt>
                <c:pt idx="34">
                  <c:v>0.75</c:v>
                </c:pt>
                <c:pt idx="35">
                  <c:v>0.77500000000000002</c:v>
                </c:pt>
                <c:pt idx="36">
                  <c:v>0.8</c:v>
                </c:pt>
                <c:pt idx="37">
                  <c:v>0.82500000000000007</c:v>
                </c:pt>
                <c:pt idx="38">
                  <c:v>0.85000000000000009</c:v>
                </c:pt>
                <c:pt idx="39">
                  <c:v>0.875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0.94000000000000006</c:v>
                </c:pt>
                <c:pt idx="45">
                  <c:v>0.95000000000000007</c:v>
                </c:pt>
                <c:pt idx="46">
                  <c:v>0.97499999999999998</c:v>
                </c:pt>
                <c:pt idx="47">
                  <c:v>0.99</c:v>
                </c:pt>
                <c:pt idx="48">
                  <c:v>0.99750000000000005</c:v>
                </c:pt>
                <c:pt idx="49">
                  <c:v>0.999</c:v>
                </c:pt>
                <c:pt idx="50">
                  <c:v>0.99950000000000006</c:v>
                </c:pt>
                <c:pt idx="51">
                  <c:v>0.99990000000000001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CA-4356-B57E-852C7124D9F3}"/>
            </c:ext>
          </c:extLst>
        </c:ser>
        <c:ser>
          <c:idx val="1"/>
          <c:order val="1"/>
          <c:tx>
            <c:strRef>
              <c:f>'Graph data'!$AF$9</c:f>
              <c:strCache>
                <c:ptCount val="1"/>
                <c:pt idx="0">
                  <c:v>P(90)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'Graph data'!$AF$10:$AF$12</c:f>
              <c:numCache>
                <c:formatCode>0.00</c:formatCode>
                <c:ptCount val="3"/>
                <c:pt idx="0">
                  <c:v>254.40705657664114</c:v>
                </c:pt>
                <c:pt idx="1">
                  <c:v>254.40705657664114</c:v>
                </c:pt>
                <c:pt idx="2">
                  <c:v>114.82142678898589</c:v>
                </c:pt>
              </c:numCache>
            </c:numRef>
          </c:xVal>
          <c:yVal>
            <c:numRef>
              <c:f>'Graph data'!$AG$10:$AG$12</c:f>
              <c:numCache>
                <c:formatCode>General</c:formatCode>
                <c:ptCount val="3"/>
                <c:pt idx="0">
                  <c:v>0</c:v>
                </c:pt>
                <c:pt idx="1">
                  <c:v>0.9</c:v>
                </c:pt>
                <c:pt idx="2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CA-4356-B57E-852C7124D9F3}"/>
            </c:ext>
          </c:extLst>
        </c:ser>
        <c:ser>
          <c:idx val="2"/>
          <c:order val="2"/>
          <c:tx>
            <c:strRef>
              <c:f>'Graph data'!$AF$14</c:f>
              <c:strCache>
                <c:ptCount val="1"/>
                <c:pt idx="0">
                  <c:v>P(50)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'Graph data'!$AF$15:$AF$17</c:f>
              <c:numCache>
                <c:formatCode>0.00</c:formatCode>
                <c:ptCount val="3"/>
                <c:pt idx="0">
                  <c:v>218.63388429752069</c:v>
                </c:pt>
                <c:pt idx="1">
                  <c:v>218.63388429752069</c:v>
                </c:pt>
                <c:pt idx="2">
                  <c:v>114.82142678898589</c:v>
                </c:pt>
              </c:numCache>
            </c:numRef>
          </c:xVal>
          <c:yVal>
            <c:numRef>
              <c:f>'Graph data'!$AG$15:$AG$17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CA-4356-B57E-852C7124D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32954448"/>
        <c:axId val="-1932953904"/>
      </c:scatterChart>
      <c:valAx>
        <c:axId val="-1932954448"/>
        <c:scaling>
          <c:orientation val="minMax"/>
          <c:max val="322.39999999999998"/>
          <c:min val="114.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[s]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_(* #,##0_);_(* \(#,##0\);_(* &quot;-&quot;_);_(@_)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-1932953904"/>
        <c:crosses val="autoZero"/>
        <c:crossBetween val="midCat"/>
        <c:majorUnit val="50"/>
      </c:valAx>
      <c:valAx>
        <c:axId val="-1932953904"/>
        <c:scaling>
          <c:orientation val="minMax"/>
          <c:max val="1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-1932954448"/>
        <c:crosses val="min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</xdr:colOff>
      <xdr:row>19</xdr:row>
      <xdr:rowOff>5716</xdr:rowOff>
    </xdr:from>
    <xdr:to>
      <xdr:col>11</xdr:col>
      <xdr:colOff>319410</xdr:colOff>
      <xdr:row>41</xdr:row>
      <xdr:rowOff>132811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4B7E55-B3F9-4A84-ACE7-55CF3148D10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19</xdr:row>
      <xdr:rowOff>0</xdr:rowOff>
    </xdr:from>
    <xdr:to>
      <xdr:col>25</xdr:col>
      <xdr:colOff>315600</xdr:colOff>
      <xdr:row>41</xdr:row>
      <xdr:rowOff>129000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644F4C-38CC-43D6-8315-179AD3ECB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9525</xdr:colOff>
      <xdr:row>19</xdr:row>
      <xdr:rowOff>0</xdr:rowOff>
    </xdr:from>
    <xdr:to>
      <xdr:col>39</xdr:col>
      <xdr:colOff>71438</xdr:colOff>
      <xdr:row>41</xdr:row>
      <xdr:rowOff>23814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49501C-C584-42B9-9966-BD4FC559B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CAD262-4FCC-405E-876C-164454E03C30}" name="Table3" displayName="Table3" ref="A6:I70" totalsRowShown="0" headerRowDxfId="20">
  <autoFilter ref="A6:I70" xr:uid="{53BB93C8-13EE-4883-ACC5-36EB62BC8A16}"/>
  <tableColumns count="9">
    <tableColumn id="1" xr3:uid="{AD465127-A108-4DEB-AEC2-A20DC409124B}" name="Step" dataDxfId="19"/>
    <tableColumn id="2" xr3:uid="{74E8F405-99A4-4D17-829B-98F67CF1ACFB}" name="Description" dataDxfId="18"/>
    <tableColumn id="3" xr3:uid="{2D81C266-3E51-4DF3-89E2-C1A3F662445A}" name="Tool" dataDxfId="17"/>
    <tableColumn id="4" xr3:uid="{89A4B4A9-138E-4179-98A3-4754C51FE112}" name="Worst case"/>
    <tableColumn id="5" xr3:uid="{4971FE28-89FC-4E82-B449-96F01E64E4AA}" name="Most likely"/>
    <tableColumn id="6" xr3:uid="{8C6B85B6-BE54-48F3-8071-4673760F3A8A}" name="Best case"/>
    <tableColumn id="7" xr3:uid="{87A7C5FF-83D3-4B75-BD1E-AD9906A63CB9}" name="E"/>
    <tableColumn id="8" xr3:uid="{CCC5E25A-58F1-4D15-B3D2-072BDCDF3C80}" name="Std. "/>
    <tableColumn id="9" xr3:uid="{0C919AFE-B110-4A84-B913-7D4F70366C5B}" name="E-OP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A751EB-8161-4D2B-BEBF-19F05409C4A3}" name="Table4" displayName="Table4" ref="A6:I65" totalsRowShown="0" headerRowDxfId="16" dataDxfId="14" headerRowBorderDxfId="15" tableBorderDxfId="13">
  <autoFilter ref="A6:I65" xr:uid="{A7A751EB-8161-4D2B-BEBF-19F05409C4A3}"/>
  <tableColumns count="9">
    <tableColumn id="1" xr3:uid="{C140BF45-4194-4CA7-9A5C-BA3404F6BA78}" name="Step " dataDxfId="12"/>
    <tableColumn id="2" xr3:uid="{E5B63ED2-0541-4E66-B592-A7113B2B2274}" name="Description"/>
    <tableColumn id="3" xr3:uid="{E5B7C73F-3372-41CB-A069-0D47E0943FE1}" name="Tool" dataDxfId="11"/>
    <tableColumn id="4" xr3:uid="{D6C92FDE-A10A-40A2-BC11-39E32FB40AA3}" name="Worst" dataDxfId="10"/>
    <tableColumn id="5" xr3:uid="{C5369D0B-36B1-4BEF-9142-914293E35706}" name="Most likely" dataDxfId="9"/>
    <tableColumn id="6" xr3:uid="{D8E383BD-5326-4787-85E6-BE9534F7AFE6}" name="Best"/>
    <tableColumn id="7" xr3:uid="{494EEC11-B07A-4072-88CF-089423CB44F4}" name="E" dataDxfId="8"/>
    <tableColumn id="8" xr3:uid="{3C764FCD-4F47-4A91-8FD7-BE375DA7AD6E}" name="Std." dataDxfId="7"/>
    <tableColumn id="9" xr3:uid="{3E2ECEBF-4AC6-411B-A44E-D1BF6FA8302C}" name="E-OP" dataDxfId="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CC834-F18F-489C-A793-A0F1D1D3B33B}" name="Table22" displayName="Table22" ref="A6:I53" totalsRowShown="0" tableBorderDxfId="5">
  <autoFilter ref="A6:I53" xr:uid="{36B8DA05-F943-4C89-82AB-806CF85A011C}"/>
  <tableColumns count="9">
    <tableColumn id="1" xr3:uid="{A549FC1E-3213-41CC-9874-4D4A1E4E50F7}" name="Step " dataDxfId="4"/>
    <tableColumn id="2" xr3:uid="{31B4BD59-84BF-4D83-92B8-3B179915CF99}" name="Description" dataDxfId="3"/>
    <tableColumn id="9" xr3:uid="{9CC04F9A-D047-4704-8D8B-6CF385A10B11}" name="Tool"/>
    <tableColumn id="3" xr3:uid="{9F00C071-AAD5-450A-ACAD-9AE29B86A735}" name="Worst"/>
    <tableColumn id="4" xr3:uid="{D4531D4F-4EF4-4741-BF15-CA8FEC5713D9}" name="Most likely"/>
    <tableColumn id="5" xr3:uid="{BC2BA4BC-D9B6-4D22-BAB8-18A7393F9667}" name="Best" dataDxfId="2"/>
    <tableColumn id="6" xr3:uid="{8DC94835-33A8-4CB2-A30D-3E04D07E8D20}" name="E" dataDxfId="1">
      <calculatedColumnFormula>(F7+(0.42*E7)+D7)/2.42</calculatedColumnFormula>
    </tableColumn>
    <tableColumn id="7" xr3:uid="{568775E1-F268-4A77-895D-2C1D0ECFC2FC}" name="Std." dataDxfId="0">
      <calculatedColumnFormula>(D7-F7)/2.53</calculatedColumnFormula>
    </tableColumn>
    <tableColumn id="8" xr3:uid="{D5D01922-95F0-4CDF-9BF1-BFE3F4EE8E78}" name="E-OP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E16-71F0-4CD2-ADC0-7DE77D0EC448}">
  <dimension ref="A1:I70"/>
  <sheetViews>
    <sheetView showGridLines="0" workbookViewId="0">
      <selection activeCell="K16" sqref="K16"/>
    </sheetView>
  </sheetViews>
  <sheetFormatPr baseColWidth="10" defaultColWidth="8.88671875" defaultRowHeight="14.4" x14ac:dyDescent="0.3"/>
  <cols>
    <col min="1" max="1" width="11" customWidth="1"/>
    <col min="2" max="2" width="42.109375" bestFit="1" customWidth="1"/>
    <col min="3" max="9" width="11" customWidth="1"/>
    <col min="11" max="11" width="19.109375" bestFit="1" customWidth="1"/>
    <col min="12" max="12" width="33.6640625" bestFit="1" customWidth="1"/>
    <col min="13" max="13" width="9.6640625" bestFit="1" customWidth="1"/>
    <col min="14" max="14" width="10.5546875" bestFit="1" customWidth="1"/>
  </cols>
  <sheetData>
    <row r="1" spans="1:9" x14ac:dyDescent="0.3">
      <c r="A1" s="207" t="s">
        <v>223</v>
      </c>
      <c r="B1" s="209" t="s">
        <v>9</v>
      </c>
      <c r="C1" s="210"/>
      <c r="D1" s="211"/>
      <c r="E1" s="151"/>
      <c r="F1" s="129" t="s">
        <v>23</v>
      </c>
      <c r="G1" s="140"/>
      <c r="H1" s="164" t="s">
        <v>24</v>
      </c>
      <c r="I1" s="126" t="s">
        <v>12</v>
      </c>
    </row>
    <row r="2" spans="1:9" x14ac:dyDescent="0.3">
      <c r="A2" s="208"/>
      <c r="B2" s="143" t="s">
        <v>11</v>
      </c>
      <c r="C2" s="144" t="s">
        <v>12</v>
      </c>
      <c r="D2" s="144" t="s">
        <v>69</v>
      </c>
      <c r="E2" s="152"/>
      <c r="F2" s="9" t="s">
        <v>26</v>
      </c>
      <c r="G2" s="10"/>
      <c r="H2" s="78">
        <f>I20+I34+I43+I51+I66+I70</f>
        <v>68.609917355371891</v>
      </c>
      <c r="I2" s="78">
        <f>SQRT(SUMSQ(H8:H10,H13:H14,H17,H24:H25,H29:H31,H38:H41,H48,H56:H57,H61:H63))</f>
        <v>6.6764497783782097</v>
      </c>
    </row>
    <row r="3" spans="1:9" x14ac:dyDescent="0.3">
      <c r="A3" s="79" t="s">
        <v>15</v>
      </c>
      <c r="B3" s="78">
        <f>SUM(G8:G11,G23:G26,G26,G37:G42)</f>
        <v>47.357851239669415</v>
      </c>
      <c r="C3" s="78">
        <f>SQRT(SUMSQ(H8:H11,H23:H26,H37:H42))</f>
        <v>6.2182342776886461</v>
      </c>
      <c r="D3" s="78">
        <f>_xlfn.NORM.INV(90%,B3,C3)</f>
        <v>55.326839113164397</v>
      </c>
      <c r="E3" s="152"/>
      <c r="F3" s="9" t="s">
        <v>28</v>
      </c>
      <c r="G3" s="10"/>
      <c r="H3" s="78">
        <f>G20+G34+G43+G51+G66</f>
        <v>117.93223140495866</v>
      </c>
      <c r="I3" s="78">
        <f>SQRT(SUMSQ(H8:H19,H23:H33,H37:H42,H46:H50,H54:H65))</f>
        <v>8.0818200279096022</v>
      </c>
    </row>
    <row r="4" spans="1:9" x14ac:dyDescent="0.3">
      <c r="A4" s="4" t="s">
        <v>17</v>
      </c>
      <c r="B4" s="78">
        <f>SUM(G12:G15,G54:G58)</f>
        <v>19.330578512396691</v>
      </c>
      <c r="C4" s="78">
        <f>SQRT(SUMSQ(H12:H15,H54:H58))</f>
        <v>2.5444232315306059</v>
      </c>
      <c r="D4" s="78">
        <f>_xlfn.NORM.INV(90%,B4,C4)</f>
        <v>22.591388088172792</v>
      </c>
      <c r="E4" s="152"/>
      <c r="F4" s="9" t="s">
        <v>29</v>
      </c>
      <c r="G4" s="10"/>
      <c r="H4" s="78">
        <f>_xlfn.NORM.INV(90%,H2,I2)</f>
        <v>77.166132021132384</v>
      </c>
      <c r="I4" s="80"/>
    </row>
    <row r="5" spans="1:9" x14ac:dyDescent="0.3">
      <c r="A5" s="5" t="s">
        <v>19</v>
      </c>
      <c r="B5" s="78">
        <f>SUM(G16:G19,G27:G33,G46:G50,G59:G65)</f>
        <v>52.243801652892564</v>
      </c>
      <c r="C5" s="78">
        <f>SQRT(SUMSQ(H16:H19,H27:H33,H33,H46:H50,H59:H65))</f>
        <v>4.5090482233592599</v>
      </c>
      <c r="D5" s="78">
        <f>_xlfn.NORM.INV(90%,B5,C5)</f>
        <v>58.022379462654726</v>
      </c>
      <c r="E5" s="152"/>
      <c r="F5" s="11" t="s">
        <v>31</v>
      </c>
      <c r="G5" s="13"/>
      <c r="H5" s="78">
        <f>_xlfn.NORM.INV(90%,H3,I3)</f>
        <v>128.28950051417593</v>
      </c>
      <c r="I5" s="80"/>
    </row>
    <row r="6" spans="1:9" x14ac:dyDescent="0.3">
      <c r="A6" s="6" t="s">
        <v>0</v>
      </c>
      <c r="B6" s="7" t="s">
        <v>1</v>
      </c>
      <c r="C6" s="8" t="s">
        <v>2</v>
      </c>
      <c r="D6" s="26" t="s">
        <v>3</v>
      </c>
      <c r="E6" s="26" t="s">
        <v>4</v>
      </c>
      <c r="F6" s="26" t="s">
        <v>5</v>
      </c>
      <c r="G6" s="26" t="s">
        <v>6</v>
      </c>
      <c r="H6" s="26" t="s">
        <v>7</v>
      </c>
      <c r="I6" s="10" t="s">
        <v>8</v>
      </c>
    </row>
    <row r="7" spans="1:9" x14ac:dyDescent="0.3">
      <c r="A7" s="116"/>
      <c r="B7" s="145" t="s">
        <v>10</v>
      </c>
      <c r="C7" s="146"/>
      <c r="D7" s="145"/>
      <c r="E7" s="145"/>
      <c r="F7" s="145"/>
      <c r="G7" s="145"/>
      <c r="H7" s="145"/>
      <c r="I7" s="146"/>
    </row>
    <row r="8" spans="1:9" x14ac:dyDescent="0.3">
      <c r="A8" s="9">
        <v>1.1000000000000001</v>
      </c>
      <c r="B8" s="153" t="s">
        <v>13</v>
      </c>
      <c r="C8" s="59" t="s">
        <v>14</v>
      </c>
      <c r="D8">
        <v>2</v>
      </c>
      <c r="E8">
        <v>1</v>
      </c>
      <c r="F8">
        <v>0.5</v>
      </c>
      <c r="G8">
        <f t="shared" ref="G8:G19" si="0">(F8+(0.42*E8)+D8)/2.42</f>
        <v>1.2066115702479339</v>
      </c>
      <c r="H8">
        <f t="shared" ref="H8:H19" si="1">(D8-F8)/2.53</f>
        <v>0.59288537549407117</v>
      </c>
      <c r="I8" s="10"/>
    </row>
    <row r="9" spans="1:9" x14ac:dyDescent="0.3">
      <c r="A9" s="9">
        <v>1.2</v>
      </c>
      <c r="B9" s="153" t="s">
        <v>16</v>
      </c>
      <c r="C9" s="10"/>
      <c r="D9">
        <f>2*7</f>
        <v>14</v>
      </c>
      <c r="E9">
        <f>2*4</f>
        <v>8</v>
      </c>
      <c r="F9">
        <f>2*2.5</f>
        <v>5</v>
      </c>
      <c r="G9">
        <f t="shared" si="0"/>
        <v>9.2396694214876032</v>
      </c>
      <c r="H9">
        <f t="shared" si="1"/>
        <v>3.5573122529644272</v>
      </c>
      <c r="I9" s="10"/>
    </row>
    <row r="10" spans="1:9" x14ac:dyDescent="0.3">
      <c r="A10" s="9">
        <v>1.3</v>
      </c>
      <c r="B10" s="153" t="s">
        <v>18</v>
      </c>
      <c r="C10" s="10"/>
      <c r="D10">
        <v>1</v>
      </c>
      <c r="E10">
        <v>0.8</v>
      </c>
      <c r="F10">
        <v>0.5</v>
      </c>
      <c r="G10">
        <f t="shared" si="0"/>
        <v>0.75867768595041329</v>
      </c>
      <c r="H10">
        <f t="shared" si="1"/>
        <v>0.19762845849802374</v>
      </c>
      <c r="I10" s="10"/>
    </row>
    <row r="11" spans="1:9" x14ac:dyDescent="0.3">
      <c r="A11" s="9">
        <v>1.4</v>
      </c>
      <c r="B11" s="153" t="s">
        <v>20</v>
      </c>
      <c r="C11" s="10"/>
      <c r="D11">
        <v>1.5</v>
      </c>
      <c r="E11">
        <v>1</v>
      </c>
      <c r="F11">
        <v>0.5</v>
      </c>
      <c r="G11">
        <f t="shared" si="0"/>
        <v>1</v>
      </c>
      <c r="H11">
        <f t="shared" si="1"/>
        <v>0.39525691699604748</v>
      </c>
      <c r="I11" s="10"/>
    </row>
    <row r="12" spans="1:9" x14ac:dyDescent="0.3">
      <c r="A12" s="9">
        <v>1.5</v>
      </c>
      <c r="B12" s="154" t="s">
        <v>21</v>
      </c>
      <c r="C12" s="61" t="s">
        <v>22</v>
      </c>
      <c r="D12">
        <v>2</v>
      </c>
      <c r="E12">
        <v>1</v>
      </c>
      <c r="F12">
        <v>0.5</v>
      </c>
      <c r="G12">
        <f t="shared" si="0"/>
        <v>1.2066115702479339</v>
      </c>
      <c r="H12">
        <f t="shared" si="1"/>
        <v>0.59288537549407117</v>
      </c>
      <c r="I12" s="10"/>
    </row>
    <row r="13" spans="1:9" x14ac:dyDescent="0.3">
      <c r="A13" s="9">
        <v>1.6</v>
      </c>
      <c r="B13" s="154" t="s">
        <v>25</v>
      </c>
      <c r="C13" s="10"/>
      <c r="D13">
        <v>2.5</v>
      </c>
      <c r="E13">
        <v>2</v>
      </c>
      <c r="F13">
        <v>1</v>
      </c>
      <c r="G13">
        <f t="shared" si="0"/>
        <v>1.7933884297520661</v>
      </c>
      <c r="H13">
        <f t="shared" si="1"/>
        <v>0.59288537549407117</v>
      </c>
      <c r="I13" s="10"/>
    </row>
    <row r="14" spans="1:9" x14ac:dyDescent="0.3">
      <c r="A14" s="9">
        <v>1.7</v>
      </c>
      <c r="B14" s="154" t="s">
        <v>27</v>
      </c>
      <c r="C14" s="10"/>
      <c r="D14">
        <v>2</v>
      </c>
      <c r="E14">
        <v>1.5</v>
      </c>
      <c r="F14">
        <v>0.8</v>
      </c>
      <c r="G14">
        <f t="shared" si="0"/>
        <v>1.4173553719008265</v>
      </c>
      <c r="H14">
        <f t="shared" si="1"/>
        <v>0.47430830039525695</v>
      </c>
      <c r="I14" s="10"/>
    </row>
    <row r="15" spans="1:9" x14ac:dyDescent="0.3">
      <c r="A15" s="9">
        <v>1.8</v>
      </c>
      <c r="B15" s="154" t="s">
        <v>20</v>
      </c>
      <c r="C15" s="10"/>
      <c r="D15">
        <v>1.5</v>
      </c>
      <c r="E15">
        <v>1</v>
      </c>
      <c r="F15">
        <v>0.5</v>
      </c>
      <c r="G15">
        <f t="shared" si="0"/>
        <v>1</v>
      </c>
      <c r="H15">
        <f t="shared" si="1"/>
        <v>0.39525691699604748</v>
      </c>
      <c r="I15" s="10"/>
    </row>
    <row r="16" spans="1:9" x14ac:dyDescent="0.3">
      <c r="A16" s="9">
        <v>1.9</v>
      </c>
      <c r="B16" s="155" t="s">
        <v>21</v>
      </c>
      <c r="C16" s="63" t="s">
        <v>30</v>
      </c>
      <c r="D16">
        <v>2</v>
      </c>
      <c r="E16">
        <v>1</v>
      </c>
      <c r="F16">
        <v>0.5</v>
      </c>
      <c r="G16">
        <f t="shared" si="0"/>
        <v>1.2066115702479339</v>
      </c>
      <c r="H16">
        <f t="shared" si="1"/>
        <v>0.59288537549407117</v>
      </c>
      <c r="I16" s="10"/>
    </row>
    <row r="17" spans="1:9" x14ac:dyDescent="0.3">
      <c r="A17" s="9">
        <v>1.1100000000000001</v>
      </c>
      <c r="B17" s="155" t="s">
        <v>32</v>
      </c>
      <c r="C17" s="10"/>
      <c r="D17">
        <v>3</v>
      </c>
      <c r="E17">
        <v>2</v>
      </c>
      <c r="F17">
        <v>1</v>
      </c>
      <c r="G17">
        <f t="shared" si="0"/>
        <v>2</v>
      </c>
      <c r="H17">
        <f t="shared" si="1"/>
        <v>0.79051383399209496</v>
      </c>
      <c r="I17" s="10"/>
    </row>
    <row r="18" spans="1:9" x14ac:dyDescent="0.3">
      <c r="A18" s="9">
        <v>1.1200000000000001</v>
      </c>
      <c r="B18" s="155" t="s">
        <v>33</v>
      </c>
      <c r="C18" s="10"/>
      <c r="D18">
        <v>2</v>
      </c>
      <c r="E18">
        <v>1.5</v>
      </c>
      <c r="F18">
        <v>0.8</v>
      </c>
      <c r="G18">
        <f t="shared" si="0"/>
        <v>1.4173553719008265</v>
      </c>
      <c r="H18">
        <f t="shared" si="1"/>
        <v>0.47430830039525695</v>
      </c>
      <c r="I18" s="10"/>
    </row>
    <row r="19" spans="1:9" x14ac:dyDescent="0.3">
      <c r="A19" s="9">
        <v>1.1299999999999999</v>
      </c>
      <c r="B19" s="155" t="s">
        <v>20</v>
      </c>
      <c r="C19" s="10"/>
      <c r="D19">
        <v>1.5</v>
      </c>
      <c r="E19">
        <v>1</v>
      </c>
      <c r="F19">
        <v>0.5</v>
      </c>
      <c r="G19">
        <f t="shared" si="0"/>
        <v>1</v>
      </c>
      <c r="H19">
        <f t="shared" si="1"/>
        <v>0.39525691699604748</v>
      </c>
      <c r="I19" s="10"/>
    </row>
    <row r="20" spans="1:9" x14ac:dyDescent="0.3">
      <c r="A20" s="11"/>
      <c r="B20" s="12" t="s">
        <v>34</v>
      </c>
      <c r="C20" s="13"/>
      <c r="D20">
        <f>SUM(D8:D19)</f>
        <v>35</v>
      </c>
      <c r="E20">
        <f>SUM(E8:E19)</f>
        <v>21.8</v>
      </c>
      <c r="F20">
        <f>SUM(F8:F19)</f>
        <v>12.100000000000001</v>
      </c>
      <c r="G20">
        <f>SUM(G8:G19)</f>
        <v>23.246280991735535</v>
      </c>
      <c r="I20" s="10">
        <f>G20-G11-G12-G15-G16-G18-G19</f>
        <v>16.415702479338844</v>
      </c>
    </row>
    <row r="21" spans="1:9" x14ac:dyDescent="0.3">
      <c r="A21" s="9"/>
      <c r="B21" s="156"/>
      <c r="I21" s="10"/>
    </row>
    <row r="22" spans="1:9" x14ac:dyDescent="0.3">
      <c r="A22" s="116"/>
      <c r="B22" s="145" t="s">
        <v>35</v>
      </c>
      <c r="C22" s="145"/>
      <c r="D22" s="145"/>
      <c r="E22" s="145"/>
      <c r="F22" s="145"/>
      <c r="G22" s="145"/>
      <c r="H22" s="145"/>
      <c r="I22" s="146"/>
    </row>
    <row r="23" spans="1:9" x14ac:dyDescent="0.3">
      <c r="A23" s="6">
        <v>2.1</v>
      </c>
      <c r="B23" s="18" t="s">
        <v>21</v>
      </c>
      <c r="C23" s="60" t="s">
        <v>14</v>
      </c>
      <c r="D23">
        <v>2</v>
      </c>
      <c r="E23">
        <v>1</v>
      </c>
      <c r="F23">
        <v>0.5</v>
      </c>
      <c r="G23">
        <f t="shared" ref="G23:G33" si="2">(F23+(0.42*E23)+D23)/2.42</f>
        <v>1.2066115702479339</v>
      </c>
      <c r="H23">
        <f t="shared" ref="H23:H33" si="3">(D23-F23)/2.53</f>
        <v>0.59288537549407117</v>
      </c>
      <c r="I23" s="10"/>
    </row>
    <row r="24" spans="1:9" x14ac:dyDescent="0.3">
      <c r="A24" s="9">
        <v>2.2000000000000002</v>
      </c>
      <c r="B24" s="153" t="s">
        <v>36</v>
      </c>
      <c r="C24" s="10"/>
      <c r="D24">
        <v>8</v>
      </c>
      <c r="E24">
        <v>4</v>
      </c>
      <c r="F24">
        <v>3</v>
      </c>
      <c r="G24">
        <f t="shared" si="2"/>
        <v>5.2396694214876032</v>
      </c>
      <c r="H24">
        <f t="shared" si="3"/>
        <v>1.9762845849802373</v>
      </c>
      <c r="I24" s="10"/>
    </row>
    <row r="25" spans="1:9" x14ac:dyDescent="0.3">
      <c r="A25" s="9">
        <v>2.2999999999999998</v>
      </c>
      <c r="B25" s="153" t="s">
        <v>18</v>
      </c>
      <c r="C25" s="10"/>
      <c r="D25">
        <v>2</v>
      </c>
      <c r="E25">
        <v>1</v>
      </c>
      <c r="F25">
        <v>0.5</v>
      </c>
      <c r="G25">
        <f t="shared" si="2"/>
        <v>1.2066115702479339</v>
      </c>
      <c r="H25">
        <f t="shared" si="3"/>
        <v>0.59288537549407117</v>
      </c>
      <c r="I25" s="10"/>
    </row>
    <row r="26" spans="1:9" x14ac:dyDescent="0.3">
      <c r="A26" s="9">
        <v>2.4</v>
      </c>
      <c r="B26" s="153" t="s">
        <v>20</v>
      </c>
      <c r="C26" s="10"/>
      <c r="D26">
        <v>1.5</v>
      </c>
      <c r="E26">
        <v>1</v>
      </c>
      <c r="F26">
        <v>0.5</v>
      </c>
      <c r="G26">
        <f t="shared" si="2"/>
        <v>1</v>
      </c>
      <c r="H26">
        <f t="shared" si="3"/>
        <v>0.39525691699604748</v>
      </c>
      <c r="I26" s="10"/>
    </row>
    <row r="27" spans="1:9" x14ac:dyDescent="0.3">
      <c r="A27" s="9">
        <v>2.5</v>
      </c>
      <c r="B27" s="155" t="s">
        <v>37</v>
      </c>
      <c r="C27" s="63" t="s">
        <v>38</v>
      </c>
      <c r="D27">
        <v>10</v>
      </c>
      <c r="E27">
        <v>7.5</v>
      </c>
      <c r="F27">
        <v>5</v>
      </c>
      <c r="G27">
        <f t="shared" si="2"/>
        <v>7.5</v>
      </c>
      <c r="H27">
        <f t="shared" si="3"/>
        <v>1.9762845849802373</v>
      </c>
      <c r="I27" s="10"/>
    </row>
    <row r="28" spans="1:9" x14ac:dyDescent="0.3">
      <c r="A28" s="9">
        <v>2.6</v>
      </c>
      <c r="B28" s="155" t="s">
        <v>21</v>
      </c>
      <c r="C28" s="10"/>
      <c r="D28">
        <v>2</v>
      </c>
      <c r="E28">
        <v>1</v>
      </c>
      <c r="F28">
        <v>0.5</v>
      </c>
      <c r="G28">
        <f t="shared" si="2"/>
        <v>1.2066115702479339</v>
      </c>
      <c r="H28">
        <f t="shared" si="3"/>
        <v>0.59288537549407117</v>
      </c>
      <c r="I28" s="10"/>
    </row>
    <row r="29" spans="1:9" x14ac:dyDescent="0.3">
      <c r="A29" s="9">
        <v>2.7</v>
      </c>
      <c r="B29" s="155" t="s">
        <v>39</v>
      </c>
      <c r="C29" s="10"/>
      <c r="D29">
        <v>6</v>
      </c>
      <c r="E29">
        <v>4</v>
      </c>
      <c r="F29">
        <v>2</v>
      </c>
      <c r="G29">
        <f t="shared" si="2"/>
        <v>4</v>
      </c>
      <c r="H29">
        <f t="shared" si="3"/>
        <v>1.5810276679841899</v>
      </c>
      <c r="I29" s="10"/>
    </row>
    <row r="30" spans="1:9" x14ac:dyDescent="0.3">
      <c r="A30" s="9">
        <v>2.8</v>
      </c>
      <c r="B30" s="155" t="s">
        <v>40</v>
      </c>
      <c r="C30" s="10"/>
      <c r="D30">
        <v>2</v>
      </c>
      <c r="E30">
        <v>1.5</v>
      </c>
      <c r="F30">
        <v>0.8</v>
      </c>
      <c r="G30">
        <f t="shared" si="2"/>
        <v>1.4173553719008265</v>
      </c>
      <c r="H30">
        <f t="shared" si="3"/>
        <v>0.47430830039525695</v>
      </c>
      <c r="I30" s="10"/>
    </row>
    <row r="31" spans="1:9" x14ac:dyDescent="0.3">
      <c r="A31" s="9">
        <v>2.9</v>
      </c>
      <c r="B31" s="155" t="s">
        <v>41</v>
      </c>
      <c r="C31" s="10"/>
      <c r="D31">
        <v>2</v>
      </c>
      <c r="E31">
        <v>1</v>
      </c>
      <c r="F31">
        <v>0.5</v>
      </c>
      <c r="G31">
        <f t="shared" si="2"/>
        <v>1.2066115702479339</v>
      </c>
      <c r="H31">
        <f t="shared" si="3"/>
        <v>0.59288537549407117</v>
      </c>
      <c r="I31" s="10"/>
    </row>
    <row r="32" spans="1:9" x14ac:dyDescent="0.3">
      <c r="A32" s="9">
        <v>2.11</v>
      </c>
      <c r="B32" s="155" t="s">
        <v>42</v>
      </c>
      <c r="C32" s="10"/>
      <c r="D32">
        <v>2</v>
      </c>
      <c r="E32">
        <v>1.5</v>
      </c>
      <c r="F32">
        <v>0.8</v>
      </c>
      <c r="G32">
        <f t="shared" si="2"/>
        <v>1.4173553719008265</v>
      </c>
      <c r="H32">
        <f t="shared" si="3"/>
        <v>0.47430830039525695</v>
      </c>
      <c r="I32" s="10"/>
    </row>
    <row r="33" spans="1:9" x14ac:dyDescent="0.3">
      <c r="A33" s="9">
        <v>2.12</v>
      </c>
      <c r="B33" s="155" t="s">
        <v>20</v>
      </c>
      <c r="C33" s="10"/>
      <c r="D33">
        <v>1.5</v>
      </c>
      <c r="E33">
        <v>1</v>
      </c>
      <c r="F33">
        <v>0.5</v>
      </c>
      <c r="G33">
        <f t="shared" si="2"/>
        <v>1</v>
      </c>
      <c r="H33">
        <f t="shared" si="3"/>
        <v>0.39525691699604748</v>
      </c>
      <c r="I33" s="10"/>
    </row>
    <row r="34" spans="1:9" x14ac:dyDescent="0.3">
      <c r="A34" s="11"/>
      <c r="B34" s="12" t="s">
        <v>43</v>
      </c>
      <c r="C34" s="13"/>
      <c r="D34">
        <f>SUM(D23:D33)</f>
        <v>39</v>
      </c>
      <c r="E34">
        <f>SUM(E23:E33)</f>
        <v>24.5</v>
      </c>
      <c r="F34">
        <f>SUM(F23:F33)</f>
        <v>14.600000000000001</v>
      </c>
      <c r="G34">
        <f>SUM(G23:G33)</f>
        <v>26.400826446280988</v>
      </c>
      <c r="I34" s="10">
        <f>Table3[[#This Row],[E]]-G23-G26-G27-G28-G32-G33</f>
        <v>13.070247933884295</v>
      </c>
    </row>
    <row r="35" spans="1:9" x14ac:dyDescent="0.3">
      <c r="A35" s="9"/>
      <c r="B35" s="156"/>
      <c r="I35" s="10"/>
    </row>
    <row r="36" spans="1:9" s="145" customFormat="1" x14ac:dyDescent="0.3">
      <c r="A36" s="116"/>
      <c r="B36" s="145" t="s">
        <v>44</v>
      </c>
      <c r="I36" s="146"/>
    </row>
    <row r="37" spans="1:9" x14ac:dyDescent="0.3">
      <c r="A37" s="6">
        <v>3.1</v>
      </c>
      <c r="B37" s="18" t="s">
        <v>21</v>
      </c>
      <c r="C37" s="60" t="s">
        <v>14</v>
      </c>
      <c r="D37">
        <v>2</v>
      </c>
      <c r="E37">
        <v>1</v>
      </c>
      <c r="F37">
        <v>0.5</v>
      </c>
      <c r="G37">
        <f t="shared" ref="G37:G42" si="4">(F37+(0.42*E37)+D37)/2.42</f>
        <v>1.2066115702479339</v>
      </c>
      <c r="H37">
        <f t="shared" ref="H37:H42" si="5">(D37-F37)/2.53</f>
        <v>0.59288537549407117</v>
      </c>
      <c r="I37" s="10"/>
    </row>
    <row r="38" spans="1:9" x14ac:dyDescent="0.3">
      <c r="A38" s="9">
        <v>3.2</v>
      </c>
      <c r="B38" s="153" t="s">
        <v>45</v>
      </c>
      <c r="C38" s="10"/>
      <c r="D38">
        <v>22</v>
      </c>
      <c r="E38">
        <f>0.75*22</f>
        <v>16.5</v>
      </c>
      <c r="F38">
        <v>11</v>
      </c>
      <c r="G38">
        <f t="shared" si="4"/>
        <v>16.5</v>
      </c>
      <c r="H38">
        <f t="shared" si="5"/>
        <v>4.3478260869565224</v>
      </c>
      <c r="I38" s="10"/>
    </row>
    <row r="39" spans="1:9" x14ac:dyDescent="0.3">
      <c r="A39" s="9">
        <v>3.3</v>
      </c>
      <c r="B39" s="153" t="s">
        <v>46</v>
      </c>
      <c r="C39" s="10"/>
      <c r="D39">
        <v>1</v>
      </c>
      <c r="E39">
        <v>0.8</v>
      </c>
      <c r="F39">
        <v>0.5</v>
      </c>
      <c r="G39">
        <f t="shared" si="4"/>
        <v>0.75867768595041329</v>
      </c>
      <c r="H39">
        <f t="shared" si="5"/>
        <v>0.19762845849802374</v>
      </c>
      <c r="I39" s="10"/>
    </row>
    <row r="40" spans="1:9" x14ac:dyDescent="0.3">
      <c r="A40" s="9">
        <v>3.4</v>
      </c>
      <c r="B40" s="153" t="s">
        <v>47</v>
      </c>
      <c r="C40" s="10"/>
      <c r="D40">
        <f>4*1</f>
        <v>4</v>
      </c>
      <c r="E40">
        <f>4*0.75</f>
        <v>3</v>
      </c>
      <c r="F40">
        <f>4*0.5</f>
        <v>2</v>
      </c>
      <c r="G40">
        <f t="shared" si="4"/>
        <v>3</v>
      </c>
      <c r="H40">
        <f t="shared" si="5"/>
        <v>0.79051383399209496</v>
      </c>
      <c r="I40" s="10"/>
    </row>
    <row r="41" spans="1:9" x14ac:dyDescent="0.3">
      <c r="A41" s="9">
        <v>3.5</v>
      </c>
      <c r="B41" s="153" t="s">
        <v>48</v>
      </c>
      <c r="C41" s="10"/>
      <c r="D41">
        <f>4*1</f>
        <v>4</v>
      </c>
      <c r="E41">
        <f>4*0.8</f>
        <v>3.2</v>
      </c>
      <c r="F41">
        <f>4*0.5</f>
        <v>2</v>
      </c>
      <c r="G41">
        <f t="shared" si="4"/>
        <v>3.0347107438016532</v>
      </c>
      <c r="H41">
        <f t="shared" si="5"/>
        <v>0.79051383399209496</v>
      </c>
      <c r="I41" s="10"/>
    </row>
    <row r="42" spans="1:9" x14ac:dyDescent="0.3">
      <c r="A42" s="9">
        <v>3.6</v>
      </c>
      <c r="B42" s="153" t="s">
        <v>20</v>
      </c>
      <c r="C42" s="10"/>
      <c r="D42">
        <v>1.5</v>
      </c>
      <c r="E42">
        <v>1</v>
      </c>
      <c r="F42">
        <v>0.5</v>
      </c>
      <c r="G42">
        <f t="shared" si="4"/>
        <v>1</v>
      </c>
      <c r="H42">
        <f t="shared" si="5"/>
        <v>0.39525691699604748</v>
      </c>
      <c r="I42" s="10"/>
    </row>
    <row r="43" spans="1:9" x14ac:dyDescent="0.3">
      <c r="A43" s="11"/>
      <c r="B43" s="12" t="s">
        <v>43</v>
      </c>
      <c r="C43" s="13"/>
      <c r="D43">
        <f>SUM(D37:D42)</f>
        <v>34.5</v>
      </c>
      <c r="E43">
        <f>SUM(E37:E42)</f>
        <v>25.5</v>
      </c>
      <c r="F43">
        <f>SUM(F37:F42)</f>
        <v>16.5</v>
      </c>
      <c r="G43">
        <f>SUM(G37:G42)</f>
        <v>25.5</v>
      </c>
      <c r="I43" s="10">
        <f>Table3[[#This Row],[E]]-G37-G42</f>
        <v>23.293388429752067</v>
      </c>
    </row>
    <row r="44" spans="1:9" x14ac:dyDescent="0.3">
      <c r="A44" s="9"/>
      <c r="B44" s="156"/>
      <c r="I44" s="10"/>
    </row>
    <row r="45" spans="1:9" s="145" customFormat="1" x14ac:dyDescent="0.3">
      <c r="A45" s="116"/>
      <c r="B45" s="145" t="s">
        <v>49</v>
      </c>
      <c r="I45" s="146"/>
    </row>
    <row r="46" spans="1:9" x14ac:dyDescent="0.3">
      <c r="A46" s="9"/>
      <c r="B46" s="155" t="s">
        <v>50</v>
      </c>
      <c r="C46" s="155" t="s">
        <v>30</v>
      </c>
      <c r="D46">
        <v>10</v>
      </c>
      <c r="E46">
        <v>7.5</v>
      </c>
      <c r="F46">
        <v>5</v>
      </c>
      <c r="G46">
        <f>(F46+(0.42*E46)+D46)/2.42</f>
        <v>7.5</v>
      </c>
      <c r="H46">
        <f>(D46-F46)/2.53</f>
        <v>1.9762845849802373</v>
      </c>
      <c r="I46" s="10"/>
    </row>
    <row r="47" spans="1:9" x14ac:dyDescent="0.3">
      <c r="A47" s="6">
        <v>4.0999999999999996</v>
      </c>
      <c r="B47" s="15" t="s">
        <v>21</v>
      </c>
      <c r="C47" s="8"/>
      <c r="D47">
        <v>2</v>
      </c>
      <c r="E47">
        <v>1</v>
      </c>
      <c r="F47">
        <v>0.5</v>
      </c>
      <c r="G47">
        <f>(F47+(0.42*E47)+D47)/2.42</f>
        <v>1.2066115702479339</v>
      </c>
      <c r="H47">
        <f>(D47-F47)/2.53</f>
        <v>0.59288537549407117</v>
      </c>
      <c r="I47" s="10"/>
    </row>
    <row r="48" spans="1:9" x14ac:dyDescent="0.3">
      <c r="A48" s="9">
        <v>4.2</v>
      </c>
      <c r="B48" s="155" t="s">
        <v>51</v>
      </c>
      <c r="C48" s="10"/>
      <c r="D48">
        <v>3</v>
      </c>
      <c r="E48">
        <v>2</v>
      </c>
      <c r="F48">
        <v>1</v>
      </c>
      <c r="G48">
        <f>(F48+(0.42*E48)+D48)/2.42</f>
        <v>2</v>
      </c>
      <c r="H48">
        <f>(D48-F48)/2.53</f>
        <v>0.79051383399209496</v>
      </c>
      <c r="I48" s="10"/>
    </row>
    <row r="49" spans="1:9" x14ac:dyDescent="0.3">
      <c r="A49" s="9">
        <v>4.3</v>
      </c>
      <c r="B49" s="155" t="s">
        <v>52</v>
      </c>
      <c r="C49" s="10"/>
      <c r="D49">
        <v>2</v>
      </c>
      <c r="E49">
        <v>1.5</v>
      </c>
      <c r="F49">
        <v>0.8</v>
      </c>
      <c r="G49">
        <f>(F49+(0.42*E49)+D49)/2.42</f>
        <v>1.4173553719008265</v>
      </c>
      <c r="H49">
        <f>(D49-F49)/2.53</f>
        <v>0.47430830039525695</v>
      </c>
      <c r="I49" s="10"/>
    </row>
    <row r="50" spans="1:9" x14ac:dyDescent="0.3">
      <c r="A50" s="9">
        <v>4.4000000000000004</v>
      </c>
      <c r="B50" s="155" t="s">
        <v>20</v>
      </c>
      <c r="C50" s="10"/>
      <c r="D50">
        <v>1.5</v>
      </c>
      <c r="E50">
        <v>1</v>
      </c>
      <c r="F50">
        <v>0.5</v>
      </c>
      <c r="G50">
        <f>(F50+(0.42*E50)+D50)/2.42</f>
        <v>1</v>
      </c>
      <c r="H50">
        <f>(D50-F50)/2.53</f>
        <v>0.39525691699604748</v>
      </c>
      <c r="I50" s="10"/>
    </row>
    <row r="51" spans="1:9" x14ac:dyDescent="0.3">
      <c r="A51" s="11"/>
      <c r="B51" s="12" t="s">
        <v>43</v>
      </c>
      <c r="C51" s="13"/>
      <c r="D51">
        <f>SUM(D46:D50)</f>
        <v>18.5</v>
      </c>
      <c r="E51">
        <f>SUM(E46:E50)</f>
        <v>13</v>
      </c>
      <c r="F51">
        <f>SUM(F46:F50)</f>
        <v>7.8</v>
      </c>
      <c r="G51">
        <f>SUM(G46:G50)</f>
        <v>13.12396694214876</v>
      </c>
      <c r="I51" s="10">
        <f>Table3[[#This Row],[E]]-G46-G47-G49-G50</f>
        <v>2</v>
      </c>
    </row>
    <row r="52" spans="1:9" x14ac:dyDescent="0.3">
      <c r="A52" s="9"/>
      <c r="B52" s="156"/>
      <c r="I52" s="10"/>
    </row>
    <row r="53" spans="1:9" s="145" customFormat="1" x14ac:dyDescent="0.3">
      <c r="A53" s="116"/>
      <c r="B53" s="145" t="s">
        <v>53</v>
      </c>
      <c r="I53" s="146"/>
    </row>
    <row r="54" spans="1:9" x14ac:dyDescent="0.3">
      <c r="A54" s="6">
        <v>5.0999999999999996</v>
      </c>
      <c r="B54" s="14" t="s">
        <v>54</v>
      </c>
      <c r="C54" s="62" t="s">
        <v>55</v>
      </c>
      <c r="D54">
        <v>10</v>
      </c>
      <c r="E54">
        <v>7.5</v>
      </c>
      <c r="F54">
        <v>5</v>
      </c>
      <c r="G54">
        <f t="shared" ref="G54:G65" si="6">(F54+(0.42*E54)+D54)/2.42</f>
        <v>7.5</v>
      </c>
      <c r="H54">
        <f t="shared" ref="H54:H65" si="7">(D54-F54)/2.53</f>
        <v>1.9762845849802373</v>
      </c>
      <c r="I54" s="10"/>
    </row>
    <row r="55" spans="1:9" x14ac:dyDescent="0.3">
      <c r="A55" s="9">
        <v>5.2</v>
      </c>
      <c r="B55" s="154" t="s">
        <v>21</v>
      </c>
      <c r="C55" s="10"/>
      <c r="D55">
        <v>2</v>
      </c>
      <c r="E55">
        <v>1</v>
      </c>
      <c r="F55">
        <v>0.5</v>
      </c>
      <c r="G55">
        <f t="shared" si="6"/>
        <v>1.2066115702479339</v>
      </c>
      <c r="H55">
        <f t="shared" si="7"/>
        <v>0.59288537549407117</v>
      </c>
      <c r="I55" s="10"/>
    </row>
    <row r="56" spans="1:9" x14ac:dyDescent="0.3">
      <c r="A56" s="9">
        <v>5.3</v>
      </c>
      <c r="B56" s="154" t="s">
        <v>56</v>
      </c>
      <c r="C56" s="10"/>
      <c r="D56">
        <v>4</v>
      </c>
      <c r="E56">
        <v>3</v>
      </c>
      <c r="F56">
        <v>2</v>
      </c>
      <c r="G56">
        <f t="shared" si="6"/>
        <v>3</v>
      </c>
      <c r="H56">
        <f t="shared" si="7"/>
        <v>0.79051383399209496</v>
      </c>
      <c r="I56" s="10"/>
    </row>
    <row r="57" spans="1:9" x14ac:dyDescent="0.3">
      <c r="A57" s="9">
        <v>5.4</v>
      </c>
      <c r="B57" s="154" t="s">
        <v>57</v>
      </c>
      <c r="C57" s="10"/>
      <c r="D57">
        <v>2</v>
      </c>
      <c r="E57">
        <v>1</v>
      </c>
      <c r="F57">
        <v>0.5</v>
      </c>
      <c r="G57">
        <f t="shared" si="6"/>
        <v>1.2066115702479339</v>
      </c>
      <c r="H57">
        <f t="shared" si="7"/>
        <v>0.59288537549407117</v>
      </c>
      <c r="I57" s="10"/>
    </row>
    <row r="58" spans="1:9" x14ac:dyDescent="0.3">
      <c r="A58" s="9">
        <v>5.5</v>
      </c>
      <c r="B58" s="154" t="s">
        <v>20</v>
      </c>
      <c r="C58" s="10"/>
      <c r="D58">
        <v>1.5</v>
      </c>
      <c r="E58">
        <v>1</v>
      </c>
      <c r="F58">
        <v>0.5</v>
      </c>
      <c r="G58">
        <f t="shared" si="6"/>
        <v>1</v>
      </c>
      <c r="H58">
        <f t="shared" si="7"/>
        <v>0.39525691699604748</v>
      </c>
      <c r="I58" s="10"/>
    </row>
    <row r="59" spans="1:9" x14ac:dyDescent="0.3">
      <c r="A59" s="9">
        <v>5.6</v>
      </c>
      <c r="B59" s="155" t="s">
        <v>37</v>
      </c>
      <c r="C59" s="63" t="s">
        <v>38</v>
      </c>
      <c r="D59">
        <v>10</v>
      </c>
      <c r="E59">
        <v>7.5</v>
      </c>
      <c r="F59">
        <v>5</v>
      </c>
      <c r="G59">
        <f t="shared" si="6"/>
        <v>7.5</v>
      </c>
      <c r="H59">
        <f t="shared" si="7"/>
        <v>1.9762845849802373</v>
      </c>
      <c r="I59" s="10"/>
    </row>
    <row r="60" spans="1:9" x14ac:dyDescent="0.3">
      <c r="A60" s="9">
        <v>5.7</v>
      </c>
      <c r="B60" s="155" t="s">
        <v>21</v>
      </c>
      <c r="C60" s="10"/>
      <c r="D60">
        <v>2</v>
      </c>
      <c r="E60">
        <v>1</v>
      </c>
      <c r="F60">
        <v>0.5</v>
      </c>
      <c r="G60">
        <f t="shared" si="6"/>
        <v>1.2066115702479339</v>
      </c>
      <c r="H60">
        <f t="shared" si="7"/>
        <v>0.59288537549407117</v>
      </c>
      <c r="I60" s="10"/>
    </row>
    <row r="61" spans="1:9" x14ac:dyDescent="0.3">
      <c r="A61" s="9">
        <v>5.8</v>
      </c>
      <c r="B61" s="155" t="s">
        <v>58</v>
      </c>
      <c r="C61" s="10"/>
      <c r="D61">
        <v>3</v>
      </c>
      <c r="E61">
        <v>2</v>
      </c>
      <c r="F61">
        <v>1</v>
      </c>
      <c r="G61">
        <f t="shared" si="6"/>
        <v>2</v>
      </c>
      <c r="H61">
        <f t="shared" si="7"/>
        <v>0.79051383399209496</v>
      </c>
      <c r="I61" s="10"/>
    </row>
    <row r="62" spans="1:9" x14ac:dyDescent="0.3">
      <c r="A62" s="9">
        <v>5.9</v>
      </c>
      <c r="B62" s="155" t="s">
        <v>59</v>
      </c>
      <c r="C62" s="10"/>
      <c r="D62">
        <v>2</v>
      </c>
      <c r="E62">
        <v>1.5</v>
      </c>
      <c r="F62">
        <v>0.8</v>
      </c>
      <c r="G62">
        <f t="shared" si="6"/>
        <v>1.4173553719008265</v>
      </c>
      <c r="H62">
        <f t="shared" si="7"/>
        <v>0.47430830039525695</v>
      </c>
      <c r="I62" s="10"/>
    </row>
    <row r="63" spans="1:9" x14ac:dyDescent="0.3">
      <c r="A63" s="9">
        <v>5.1100000000000003</v>
      </c>
      <c r="B63" s="155" t="s">
        <v>60</v>
      </c>
      <c r="C63" s="10"/>
      <c r="D63">
        <v>2</v>
      </c>
      <c r="E63">
        <v>1</v>
      </c>
      <c r="F63">
        <v>0.5</v>
      </c>
      <c r="G63">
        <f t="shared" si="6"/>
        <v>1.2066115702479339</v>
      </c>
      <c r="H63">
        <f t="shared" si="7"/>
        <v>0.59288537549407117</v>
      </c>
      <c r="I63" s="10"/>
    </row>
    <row r="64" spans="1:9" x14ac:dyDescent="0.3">
      <c r="A64" s="9">
        <v>5.12</v>
      </c>
      <c r="B64" s="155" t="s">
        <v>61</v>
      </c>
      <c r="C64" s="10"/>
      <c r="D64">
        <v>2</v>
      </c>
      <c r="E64">
        <v>1.5</v>
      </c>
      <c r="F64">
        <v>0.8</v>
      </c>
      <c r="G64">
        <f t="shared" si="6"/>
        <v>1.4173553719008265</v>
      </c>
      <c r="H64">
        <f t="shared" si="7"/>
        <v>0.47430830039525695</v>
      </c>
      <c r="I64" s="10"/>
    </row>
    <row r="65" spans="1:9" x14ac:dyDescent="0.3">
      <c r="A65" s="9">
        <v>5.13</v>
      </c>
      <c r="B65" s="155" t="s">
        <v>20</v>
      </c>
      <c r="C65" s="10"/>
      <c r="D65">
        <v>1.5</v>
      </c>
      <c r="E65">
        <v>1</v>
      </c>
      <c r="F65">
        <v>0.5</v>
      </c>
      <c r="G65">
        <f t="shared" si="6"/>
        <v>1</v>
      </c>
      <c r="H65">
        <f t="shared" si="7"/>
        <v>0.39525691699604748</v>
      </c>
      <c r="I65" s="10"/>
    </row>
    <row r="66" spans="1:9" x14ac:dyDescent="0.3">
      <c r="A66" s="11"/>
      <c r="B66" s="12" t="s">
        <v>43</v>
      </c>
      <c r="C66" s="13"/>
      <c r="D66">
        <f>SUM(D54:D65)</f>
        <v>42</v>
      </c>
      <c r="E66">
        <f>SUM(E54:E65)</f>
        <v>29</v>
      </c>
      <c r="F66">
        <f>SUM(F54:F65)</f>
        <v>17.600000000000001</v>
      </c>
      <c r="G66">
        <f>SUM(G54:G65)</f>
        <v>29.661157024793383</v>
      </c>
      <c r="I66" s="10">
        <f>Table3[[#This Row],[E]]-G54-G55-G58-G59-G60-G64-G65</f>
        <v>8.8305785123966896</v>
      </c>
    </row>
    <row r="67" spans="1:9" x14ac:dyDescent="0.3">
      <c r="A67" s="11"/>
      <c r="B67" s="12"/>
      <c r="C67" s="13"/>
      <c r="I67" s="10"/>
    </row>
    <row r="68" spans="1:9" s="145" customFormat="1" x14ac:dyDescent="0.3">
      <c r="A68" s="147"/>
      <c r="B68" s="148" t="s">
        <v>62</v>
      </c>
      <c r="C68" s="149"/>
      <c r="D68" s="150"/>
      <c r="E68" s="150"/>
      <c r="F68" s="150"/>
      <c r="G68" s="150"/>
      <c r="H68" s="150"/>
      <c r="I68" s="157"/>
    </row>
    <row r="69" spans="1:9" x14ac:dyDescent="0.3">
      <c r="A69" s="74">
        <v>5.0999999999999996</v>
      </c>
      <c r="B69" s="75" t="s">
        <v>63</v>
      </c>
      <c r="C69" s="76"/>
      <c r="D69" s="77"/>
      <c r="E69" s="77"/>
      <c r="F69" s="77"/>
      <c r="G69" s="77">
        <v>5</v>
      </c>
      <c r="H69" s="77">
        <v>0</v>
      </c>
      <c r="I69" s="158"/>
    </row>
    <row r="70" spans="1:9" x14ac:dyDescent="0.3">
      <c r="A70" s="159"/>
      <c r="B70" s="160" t="s">
        <v>34</v>
      </c>
      <c r="C70" s="161"/>
      <c r="D70" s="162"/>
      <c r="E70" s="162"/>
      <c r="F70" s="162"/>
      <c r="G70" s="162">
        <v>5</v>
      </c>
      <c r="H70" s="162"/>
      <c r="I70" s="163">
        <v>5</v>
      </c>
    </row>
  </sheetData>
  <mergeCells count="2">
    <mergeCell ref="A1:A2"/>
    <mergeCell ref="B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589B-BA38-4086-AA6E-C2123FC816B4}">
  <dimension ref="A1:I65"/>
  <sheetViews>
    <sheetView topLeftCell="A6" zoomScaleNormal="100" workbookViewId="0">
      <selection activeCell="K50" sqref="K50"/>
    </sheetView>
  </sheetViews>
  <sheetFormatPr baseColWidth="10" defaultColWidth="8.88671875" defaultRowHeight="14.4" x14ac:dyDescent="0.3"/>
  <cols>
    <col min="2" max="2" width="36.6640625" bestFit="1" customWidth="1"/>
    <col min="3" max="3" width="14.5546875" customWidth="1"/>
    <col min="5" max="5" width="13" customWidth="1"/>
    <col min="9" max="9" width="11" customWidth="1"/>
    <col min="11" max="11" width="19.109375" bestFit="1" customWidth="1"/>
    <col min="12" max="12" width="33.6640625" bestFit="1" customWidth="1"/>
    <col min="13" max="13" width="10.5546875" bestFit="1" customWidth="1"/>
    <col min="14" max="14" width="11.5546875" bestFit="1" customWidth="1"/>
  </cols>
  <sheetData>
    <row r="1" spans="1:9" x14ac:dyDescent="0.3">
      <c r="A1" s="214" t="s">
        <v>224</v>
      </c>
      <c r="B1" s="209" t="s">
        <v>9</v>
      </c>
      <c r="C1" s="210"/>
      <c r="D1" s="211"/>
      <c r="E1" s="129"/>
      <c r="F1" s="209" t="s">
        <v>23</v>
      </c>
      <c r="G1" s="211"/>
      <c r="H1" s="164" t="s">
        <v>24</v>
      </c>
      <c r="I1" s="177" t="s">
        <v>12</v>
      </c>
    </row>
    <row r="2" spans="1:9" x14ac:dyDescent="0.3">
      <c r="A2" s="215"/>
      <c r="B2" s="143" t="s">
        <v>11</v>
      </c>
      <c r="C2" s="144" t="s">
        <v>12</v>
      </c>
      <c r="D2" s="144" t="s">
        <v>69</v>
      </c>
      <c r="E2" s="152"/>
      <c r="F2" s="212" t="s">
        <v>26</v>
      </c>
      <c r="G2" s="213"/>
      <c r="H2" s="78">
        <f>SUM(I16,I29,I52,I61,G63)</f>
        <v>218.63388429752069</v>
      </c>
      <c r="I2" s="78">
        <f>SQRT(SUMSQ(H8:H10,H13:H14,H20:H21,H24:H26,H26,H33:H35,H39:H41,H47:H49,H56,H59,H60))</f>
        <v>27.913954647559184</v>
      </c>
    </row>
    <row r="3" spans="1:9" x14ac:dyDescent="0.3">
      <c r="A3" s="79" t="s">
        <v>15</v>
      </c>
      <c r="B3" s="78">
        <f>SUM(G8:G11,G19:G22,G38:G44)</f>
        <v>80.745454545454535</v>
      </c>
      <c r="C3" s="78">
        <f>SQRT(SUMSQ(H8:H11,H19:H22,H38:H44))</f>
        <v>9.9307071354949521</v>
      </c>
      <c r="D3" s="78">
        <f>_xlfn.NORM.INV(90%, B3,C3)</f>
        <v>93.472167821913033</v>
      </c>
      <c r="E3" s="152"/>
      <c r="F3" s="212" t="s">
        <v>28</v>
      </c>
      <c r="G3" s="213"/>
      <c r="H3" s="78">
        <f>SUM(G16,G29,G52,G61)</f>
        <v>247.61735537190089</v>
      </c>
      <c r="I3" s="78">
        <f>SQRT(SUMSQ(H8:H15,H19:H28,H32:H51,H55:H60))</f>
        <v>28.513889878102667</v>
      </c>
    </row>
    <row r="4" spans="1:9" x14ac:dyDescent="0.3">
      <c r="A4" s="4" t="s">
        <v>17</v>
      </c>
      <c r="B4" s="78">
        <f>SUM(G32:G37)</f>
        <v>124.68595041322313</v>
      </c>
      <c r="C4" s="78">
        <f>SQRT(SUMSQ(H32:H37))</f>
        <v>26.392686852471073</v>
      </c>
      <c r="D4" s="78">
        <f>_xlfn.NORM.INV(90%, B4,C4)</f>
        <v>158.50953956793583</v>
      </c>
      <c r="E4" s="152"/>
      <c r="F4" s="212" t="s">
        <v>29</v>
      </c>
      <c r="G4" s="213"/>
      <c r="H4" s="78">
        <f>_xlfn.NORM.INV(90%,H2,I2)</f>
        <v>254.40705657664114</v>
      </c>
      <c r="I4" s="80"/>
    </row>
    <row r="5" spans="1:9" x14ac:dyDescent="0.3">
      <c r="A5" s="5" t="s">
        <v>19</v>
      </c>
      <c r="B5" s="78">
        <f>SUM(G12:G15,G45:G51,G55:G58)</f>
        <v>28.152892561983467</v>
      </c>
      <c r="C5" s="78">
        <f>SQRT(SUMSQ(H12:H15,H23:H28,H45:H51,H55:H58))</f>
        <v>3.8727110557836819</v>
      </c>
      <c r="D5" s="78">
        <f>_xlfn.NORM.INV(90%, B5,C5)</f>
        <v>33.115971478424925</v>
      </c>
      <c r="E5" s="152"/>
      <c r="F5" s="212" t="s">
        <v>31</v>
      </c>
      <c r="G5" s="213"/>
      <c r="H5" s="78">
        <f>_xlfn.NORM.INV(90%,H3,I3)</f>
        <v>284.15937558494971</v>
      </c>
      <c r="I5" s="80"/>
    </row>
    <row r="6" spans="1:9" ht="15" thickBot="1" x14ac:dyDescent="0.35">
      <c r="A6" s="71" t="s">
        <v>64</v>
      </c>
      <c r="B6" s="72" t="s">
        <v>1</v>
      </c>
      <c r="C6" s="72" t="s">
        <v>2</v>
      </c>
      <c r="D6" s="72" t="s">
        <v>65</v>
      </c>
      <c r="E6" s="72" t="s">
        <v>4</v>
      </c>
      <c r="F6" s="73" t="s">
        <v>66</v>
      </c>
      <c r="G6" s="72" t="s">
        <v>6</v>
      </c>
      <c r="H6" s="72" t="s">
        <v>67</v>
      </c>
      <c r="I6" s="73" t="s">
        <v>8</v>
      </c>
    </row>
    <row r="7" spans="1:9" s="145" customFormat="1" x14ac:dyDescent="0.3">
      <c r="A7" s="178"/>
      <c r="B7" s="179" t="s">
        <v>68</v>
      </c>
      <c r="C7" s="180"/>
      <c r="D7" s="181"/>
      <c r="E7" s="181"/>
      <c r="F7" s="182"/>
      <c r="G7" s="181"/>
      <c r="H7" s="181"/>
      <c r="I7" s="182"/>
    </row>
    <row r="8" spans="1:9" x14ac:dyDescent="0.3">
      <c r="A8" s="29">
        <v>1.1000000000000001</v>
      </c>
      <c r="B8" s="22" t="s">
        <v>13</v>
      </c>
      <c r="C8" s="22" t="s">
        <v>14</v>
      </c>
      <c r="D8" s="21">
        <v>2</v>
      </c>
      <c r="E8" s="21">
        <v>1</v>
      </c>
      <c r="F8" s="30">
        <v>0.5</v>
      </c>
      <c r="G8" s="21">
        <f>(F8+(0.42*E8)+D8)/2.42</f>
        <v>1.2066115702479339</v>
      </c>
      <c r="H8" s="21">
        <f>(D8-F8)/2.53</f>
        <v>0.59288537549407117</v>
      </c>
      <c r="I8" s="30"/>
    </row>
    <row r="9" spans="1:9" x14ac:dyDescent="0.3">
      <c r="A9" s="27">
        <v>1.2</v>
      </c>
      <c r="B9" s="23" t="s">
        <v>70</v>
      </c>
      <c r="C9" s="39"/>
      <c r="D9" s="20">
        <f>2*10</f>
        <v>20</v>
      </c>
      <c r="E9" s="20">
        <f>2*5</f>
        <v>10</v>
      </c>
      <c r="F9" s="28">
        <f>2*3.5</f>
        <v>7</v>
      </c>
      <c r="G9" s="20">
        <f t="shared" ref="G9:G61" si="0">(F9+(0.42*E9)+D9)/2.42</f>
        <v>12.892561983471074</v>
      </c>
      <c r="H9" s="20">
        <f t="shared" ref="H9:H60" si="1">(D9-F9)/2.53</f>
        <v>5.1383399209486171</v>
      </c>
      <c r="I9" s="28"/>
    </row>
    <row r="10" spans="1:9" x14ac:dyDescent="0.3">
      <c r="A10" s="29">
        <v>1.3</v>
      </c>
      <c r="B10" s="22" t="s">
        <v>18</v>
      </c>
      <c r="C10" s="38"/>
      <c r="D10" s="21">
        <v>1</v>
      </c>
      <c r="E10" s="21">
        <v>0.8</v>
      </c>
      <c r="F10" s="30">
        <v>0.5</v>
      </c>
      <c r="G10" s="21">
        <f t="shared" si="0"/>
        <v>0.75867768595041329</v>
      </c>
      <c r="H10" s="21">
        <f t="shared" si="1"/>
        <v>0.19762845849802374</v>
      </c>
      <c r="I10" s="30"/>
    </row>
    <row r="11" spans="1:9" x14ac:dyDescent="0.3">
      <c r="A11" s="27">
        <v>1.4</v>
      </c>
      <c r="B11" s="23" t="s">
        <v>71</v>
      </c>
      <c r="C11" s="24"/>
      <c r="D11" s="20">
        <v>1.5</v>
      </c>
      <c r="E11" s="20">
        <v>1</v>
      </c>
      <c r="F11" s="28">
        <v>0.5</v>
      </c>
      <c r="G11" s="20">
        <f t="shared" si="0"/>
        <v>1</v>
      </c>
      <c r="H11" s="20">
        <f t="shared" si="1"/>
        <v>0.39525691699604748</v>
      </c>
      <c r="I11" s="28"/>
    </row>
    <row r="12" spans="1:9" x14ac:dyDescent="0.3">
      <c r="A12" s="29">
        <v>1.5</v>
      </c>
      <c r="B12" s="25" t="s">
        <v>72</v>
      </c>
      <c r="C12" s="25" t="s">
        <v>30</v>
      </c>
      <c r="D12" s="21">
        <v>2</v>
      </c>
      <c r="E12" s="21">
        <v>1</v>
      </c>
      <c r="F12" s="30">
        <v>0.5</v>
      </c>
      <c r="G12" s="21">
        <f t="shared" si="0"/>
        <v>1.2066115702479339</v>
      </c>
      <c r="H12" s="21">
        <f t="shared" si="1"/>
        <v>0.59288537549407117</v>
      </c>
      <c r="I12" s="30"/>
    </row>
    <row r="13" spans="1:9" x14ac:dyDescent="0.3">
      <c r="A13" s="27">
        <v>1.6</v>
      </c>
      <c r="B13" s="24" t="s">
        <v>73</v>
      </c>
      <c r="C13" s="24"/>
      <c r="D13" s="20">
        <v>3</v>
      </c>
      <c r="E13" s="20">
        <v>2</v>
      </c>
      <c r="F13" s="28">
        <v>1</v>
      </c>
      <c r="G13" s="20">
        <f t="shared" si="0"/>
        <v>2</v>
      </c>
      <c r="H13" s="20">
        <f t="shared" si="1"/>
        <v>0.79051383399209496</v>
      </c>
      <c r="I13" s="28"/>
    </row>
    <row r="14" spans="1:9" x14ac:dyDescent="0.3">
      <c r="A14" s="29">
        <v>1.7</v>
      </c>
      <c r="B14" s="25" t="s">
        <v>74</v>
      </c>
      <c r="C14" s="25"/>
      <c r="D14" s="21">
        <v>2</v>
      </c>
      <c r="E14" s="21">
        <v>1</v>
      </c>
      <c r="F14" s="30">
        <v>0.5</v>
      </c>
      <c r="G14" s="21">
        <f t="shared" si="0"/>
        <v>1.2066115702479339</v>
      </c>
      <c r="H14" s="21">
        <f t="shared" si="1"/>
        <v>0.59288537549407117</v>
      </c>
      <c r="I14" s="30"/>
    </row>
    <row r="15" spans="1:9" x14ac:dyDescent="0.3">
      <c r="A15" s="31">
        <v>1.8</v>
      </c>
      <c r="B15" s="32" t="s">
        <v>71</v>
      </c>
      <c r="C15" s="32"/>
      <c r="D15" s="33">
        <v>1.5</v>
      </c>
      <c r="E15" s="33">
        <v>1</v>
      </c>
      <c r="F15" s="34">
        <v>0.5</v>
      </c>
      <c r="G15" s="20">
        <f t="shared" si="0"/>
        <v>1</v>
      </c>
      <c r="H15" s="20">
        <f t="shared" si="1"/>
        <v>0.39525691699604748</v>
      </c>
      <c r="I15" s="28"/>
    </row>
    <row r="16" spans="1:9" x14ac:dyDescent="0.3">
      <c r="A16" s="29"/>
      <c r="B16" s="44" t="s">
        <v>75</v>
      </c>
      <c r="C16" s="25"/>
      <c r="D16" s="21">
        <f>SUM(D8:D15)</f>
        <v>33</v>
      </c>
      <c r="E16" s="21">
        <f t="shared" ref="E16:F16" si="2">SUM(E8:E15)</f>
        <v>17.8</v>
      </c>
      <c r="F16" s="21">
        <f t="shared" si="2"/>
        <v>11</v>
      </c>
      <c r="G16" s="21">
        <f t="shared" si="0"/>
        <v>21.271074380165288</v>
      </c>
      <c r="H16" s="21"/>
      <c r="I16" s="30">
        <f>G16-G15-G12-G11</f>
        <v>18.064462809917355</v>
      </c>
    </row>
    <row r="17" spans="1:9" x14ac:dyDescent="0.3">
      <c r="A17" s="27"/>
      <c r="B17" s="39"/>
      <c r="C17" s="39"/>
      <c r="D17" s="20"/>
      <c r="E17" s="20"/>
      <c r="F17" s="28"/>
      <c r="G17" s="20"/>
      <c r="H17" s="20"/>
      <c r="I17" s="28"/>
    </row>
    <row r="18" spans="1:9" s="145" customFormat="1" x14ac:dyDescent="0.3">
      <c r="A18" s="183"/>
      <c r="B18" s="184" t="s">
        <v>76</v>
      </c>
      <c r="C18" s="185"/>
      <c r="D18" s="186"/>
      <c r="E18" s="186"/>
      <c r="F18" s="187"/>
      <c r="G18" s="188"/>
      <c r="H18" s="188"/>
      <c r="I18" s="191"/>
    </row>
    <row r="19" spans="1:9" x14ac:dyDescent="0.3">
      <c r="A19" s="27">
        <v>2.1</v>
      </c>
      <c r="B19" s="23" t="s">
        <v>77</v>
      </c>
      <c r="C19" s="23" t="s">
        <v>14</v>
      </c>
      <c r="D19" s="20">
        <v>2</v>
      </c>
      <c r="E19" s="20">
        <v>1</v>
      </c>
      <c r="F19" s="28">
        <v>0.5</v>
      </c>
      <c r="G19" s="20">
        <f t="shared" si="0"/>
        <v>1.2066115702479339</v>
      </c>
      <c r="H19" s="20">
        <f t="shared" si="1"/>
        <v>0.59288537549407117</v>
      </c>
      <c r="I19" s="28"/>
    </row>
    <row r="20" spans="1:9" x14ac:dyDescent="0.3">
      <c r="A20" s="29">
        <v>2.2000000000000002</v>
      </c>
      <c r="B20" s="22" t="s">
        <v>78</v>
      </c>
      <c r="C20" s="38"/>
      <c r="D20" s="21">
        <f>2*5</f>
        <v>10</v>
      </c>
      <c r="E20" s="21">
        <f>2*2.5</f>
        <v>5</v>
      </c>
      <c r="F20" s="30">
        <f>2*2</f>
        <v>4</v>
      </c>
      <c r="G20" s="21">
        <f t="shared" si="0"/>
        <v>6.6528925619834718</v>
      </c>
      <c r="H20" s="21">
        <f t="shared" si="1"/>
        <v>2.3715415019762847</v>
      </c>
      <c r="I20" s="30"/>
    </row>
    <row r="21" spans="1:9" x14ac:dyDescent="0.3">
      <c r="A21" s="27">
        <v>2.2999999999999998</v>
      </c>
      <c r="B21" s="23" t="s">
        <v>18</v>
      </c>
      <c r="C21" s="39"/>
      <c r="D21" s="20">
        <v>1</v>
      </c>
      <c r="E21" s="20">
        <v>0.8</v>
      </c>
      <c r="F21" s="28">
        <v>0.5</v>
      </c>
      <c r="G21" s="20">
        <f t="shared" si="0"/>
        <v>0.75867768595041329</v>
      </c>
      <c r="H21" s="20">
        <f t="shared" si="1"/>
        <v>0.19762845849802374</v>
      </c>
      <c r="I21" s="28"/>
    </row>
    <row r="22" spans="1:9" x14ac:dyDescent="0.3">
      <c r="A22" s="29">
        <v>2.4</v>
      </c>
      <c r="B22" s="22" t="s">
        <v>71</v>
      </c>
      <c r="C22" s="25"/>
      <c r="D22" s="21">
        <v>1.5</v>
      </c>
      <c r="E22" s="21">
        <v>1</v>
      </c>
      <c r="F22" s="30">
        <v>0.5</v>
      </c>
      <c r="G22" s="21">
        <f t="shared" si="0"/>
        <v>1</v>
      </c>
      <c r="H22" s="21">
        <f t="shared" si="1"/>
        <v>0.39525691699604748</v>
      </c>
      <c r="I22" s="30"/>
    </row>
    <row r="23" spans="1:9" x14ac:dyDescent="0.3">
      <c r="A23" s="27">
        <v>2.5</v>
      </c>
      <c r="B23" s="24" t="s">
        <v>77</v>
      </c>
      <c r="C23" s="24" t="s">
        <v>30</v>
      </c>
      <c r="D23" s="20">
        <v>2</v>
      </c>
      <c r="E23" s="20">
        <v>1</v>
      </c>
      <c r="F23" s="28">
        <v>0.5</v>
      </c>
      <c r="G23" s="20">
        <f t="shared" si="0"/>
        <v>1.2066115702479339</v>
      </c>
      <c r="H23" s="20">
        <f t="shared" si="1"/>
        <v>0.59288537549407117</v>
      </c>
      <c r="I23" s="28"/>
    </row>
    <row r="24" spans="1:9" x14ac:dyDescent="0.3">
      <c r="A24" s="29">
        <v>2.6</v>
      </c>
      <c r="B24" s="25" t="s">
        <v>79</v>
      </c>
      <c r="C24" s="25"/>
      <c r="D24" s="21">
        <f>2*3</f>
        <v>6</v>
      </c>
      <c r="E24" s="21">
        <f>2*2</f>
        <v>4</v>
      </c>
      <c r="F24" s="30">
        <f>2*1</f>
        <v>2</v>
      </c>
      <c r="G24" s="21">
        <f t="shared" si="0"/>
        <v>4</v>
      </c>
      <c r="H24" s="21">
        <f t="shared" si="1"/>
        <v>1.5810276679841899</v>
      </c>
      <c r="I24" s="30"/>
    </row>
    <row r="25" spans="1:9" x14ac:dyDescent="0.3">
      <c r="A25" s="27">
        <v>2.7</v>
      </c>
      <c r="B25" s="24" t="s">
        <v>74</v>
      </c>
      <c r="C25" s="24"/>
      <c r="D25" s="20">
        <v>2</v>
      </c>
      <c r="E25" s="20">
        <v>1</v>
      </c>
      <c r="F25" s="28">
        <v>0.5</v>
      </c>
      <c r="G25" s="20">
        <f t="shared" si="0"/>
        <v>1.2066115702479339</v>
      </c>
      <c r="H25" s="20">
        <f t="shared" si="1"/>
        <v>0.59288537549407117</v>
      </c>
      <c r="I25" s="28"/>
    </row>
    <row r="26" spans="1:9" x14ac:dyDescent="0.3">
      <c r="A26" s="29">
        <v>2.8</v>
      </c>
      <c r="B26" s="25" t="s">
        <v>13</v>
      </c>
      <c r="C26" s="21"/>
      <c r="D26" s="21">
        <v>2</v>
      </c>
      <c r="E26" s="21">
        <v>1</v>
      </c>
      <c r="F26" s="21">
        <v>0.5</v>
      </c>
      <c r="G26" s="21">
        <f t="shared" si="0"/>
        <v>1.2066115702479339</v>
      </c>
      <c r="H26" s="21">
        <f t="shared" si="1"/>
        <v>0.59288537549407117</v>
      </c>
      <c r="I26" s="30"/>
    </row>
    <row r="27" spans="1:9" x14ac:dyDescent="0.3">
      <c r="A27" s="27">
        <v>2.9</v>
      </c>
      <c r="B27" s="24" t="s">
        <v>80</v>
      </c>
      <c r="C27" s="24"/>
      <c r="D27" s="20">
        <v>2</v>
      </c>
      <c r="E27" s="20">
        <v>1</v>
      </c>
      <c r="F27" s="28">
        <v>0.5</v>
      </c>
      <c r="G27" s="20">
        <f t="shared" si="0"/>
        <v>1.2066115702479339</v>
      </c>
      <c r="H27" s="20">
        <f t="shared" si="1"/>
        <v>0.59288537549407117</v>
      </c>
      <c r="I27" s="28"/>
    </row>
    <row r="28" spans="1:9" x14ac:dyDescent="0.3">
      <c r="A28" s="29">
        <v>2.11</v>
      </c>
      <c r="B28" s="25" t="s">
        <v>71</v>
      </c>
      <c r="C28" s="38"/>
      <c r="D28" s="21">
        <v>1.5</v>
      </c>
      <c r="E28" s="21">
        <v>1</v>
      </c>
      <c r="F28" s="30">
        <v>0.5</v>
      </c>
      <c r="G28" s="21">
        <f t="shared" si="0"/>
        <v>1</v>
      </c>
      <c r="H28" s="21">
        <f t="shared" si="1"/>
        <v>0.39525691699604748</v>
      </c>
      <c r="I28" s="30"/>
    </row>
    <row r="29" spans="1:9" x14ac:dyDescent="0.3">
      <c r="A29" s="27"/>
      <c r="B29" s="20" t="s">
        <v>75</v>
      </c>
      <c r="C29" s="39"/>
      <c r="D29" s="20">
        <f>SUM(D19:D28)</f>
        <v>30</v>
      </c>
      <c r="E29" s="20">
        <f t="shared" ref="E29:F29" si="3">SUM(E19:E28)</f>
        <v>16.8</v>
      </c>
      <c r="F29" s="20">
        <f t="shared" si="3"/>
        <v>10</v>
      </c>
      <c r="G29" s="20">
        <f t="shared" si="0"/>
        <v>19.444628099173553</v>
      </c>
      <c r="H29" s="20"/>
      <c r="I29" s="28">
        <f>G29-G19-G22-G23-G27-G28</f>
        <v>13.824793388429754</v>
      </c>
    </row>
    <row r="30" spans="1:9" x14ac:dyDescent="0.3">
      <c r="A30" s="29"/>
      <c r="B30" s="38"/>
      <c r="C30" s="38"/>
      <c r="D30" s="21"/>
      <c r="E30" s="21"/>
      <c r="F30" s="30"/>
      <c r="G30" s="21"/>
      <c r="H30" s="21"/>
      <c r="I30" s="30"/>
    </row>
    <row r="31" spans="1:9" s="145" customFormat="1" x14ac:dyDescent="0.3">
      <c r="A31" s="178"/>
      <c r="B31" s="181" t="s">
        <v>81</v>
      </c>
      <c r="C31" s="189"/>
      <c r="D31" s="181"/>
      <c r="E31" s="181"/>
      <c r="F31" s="182"/>
      <c r="G31" s="181"/>
      <c r="H31" s="181"/>
      <c r="I31" s="182"/>
    </row>
    <row r="32" spans="1:9" x14ac:dyDescent="0.3">
      <c r="A32" s="29">
        <v>3.1</v>
      </c>
      <c r="B32" s="55" t="s">
        <v>82</v>
      </c>
      <c r="C32" s="38" t="s">
        <v>83</v>
      </c>
      <c r="D32" s="21">
        <v>2</v>
      </c>
      <c r="E32" s="21">
        <v>1</v>
      </c>
      <c r="F32" s="30">
        <v>0.5</v>
      </c>
      <c r="G32" s="21">
        <f t="shared" si="0"/>
        <v>1.2066115702479339</v>
      </c>
      <c r="H32" s="21">
        <f t="shared" si="1"/>
        <v>0.59288537549407117</v>
      </c>
      <c r="I32" s="30"/>
    </row>
    <row r="33" spans="1:9" x14ac:dyDescent="0.3">
      <c r="A33" s="27">
        <v>3.2</v>
      </c>
      <c r="B33" s="56" t="s">
        <v>84</v>
      </c>
      <c r="C33" s="24"/>
      <c r="D33" s="20">
        <f>28*2.5</f>
        <v>70</v>
      </c>
      <c r="E33" s="20">
        <f>28*2</f>
        <v>56</v>
      </c>
      <c r="F33" s="28">
        <f>28*1</f>
        <v>28</v>
      </c>
      <c r="G33" s="20">
        <f t="shared" si="0"/>
        <v>50.214876033057848</v>
      </c>
      <c r="H33" s="20">
        <f t="shared" si="1"/>
        <v>16.600790513833992</v>
      </c>
      <c r="I33" s="28"/>
    </row>
    <row r="34" spans="1:9" x14ac:dyDescent="0.3">
      <c r="A34" s="29">
        <v>3.3</v>
      </c>
      <c r="B34" s="55" t="s">
        <v>85</v>
      </c>
      <c r="C34" s="25"/>
      <c r="D34" s="21">
        <f>27*2</f>
        <v>54</v>
      </c>
      <c r="E34" s="21">
        <f>27*1.5</f>
        <v>40.5</v>
      </c>
      <c r="F34" s="30">
        <f>27*0.8</f>
        <v>21.6</v>
      </c>
      <c r="G34" s="21">
        <f t="shared" si="0"/>
        <v>38.268595041322314</v>
      </c>
      <c r="H34" s="21">
        <f t="shared" si="1"/>
        <v>12.806324110671937</v>
      </c>
      <c r="I34" s="30"/>
    </row>
    <row r="35" spans="1:9" x14ac:dyDescent="0.3">
      <c r="A35" s="31">
        <v>3.4</v>
      </c>
      <c r="B35" s="57" t="s">
        <v>86</v>
      </c>
      <c r="C35" s="32"/>
      <c r="D35" s="33">
        <f>27*2</f>
        <v>54</v>
      </c>
      <c r="E35" s="33">
        <f>27*1</f>
        <v>27</v>
      </c>
      <c r="F35" s="34">
        <f>27*0.5</f>
        <v>13.5</v>
      </c>
      <c r="G35" s="20">
        <f t="shared" si="0"/>
        <v>32.578512396694215</v>
      </c>
      <c r="H35" s="20">
        <f t="shared" si="1"/>
        <v>16.007905138339922</v>
      </c>
      <c r="I35" s="28"/>
    </row>
    <row r="36" spans="1:9" x14ac:dyDescent="0.3">
      <c r="A36" s="29">
        <v>3.5</v>
      </c>
      <c r="B36" s="55" t="s">
        <v>87</v>
      </c>
      <c r="C36" s="21"/>
      <c r="D36" s="21">
        <v>2</v>
      </c>
      <c r="E36" s="21">
        <v>1.5</v>
      </c>
      <c r="F36" s="21">
        <v>0.8</v>
      </c>
      <c r="G36" s="21">
        <f t="shared" si="0"/>
        <v>1.4173553719008265</v>
      </c>
      <c r="H36" s="21">
        <f t="shared" si="1"/>
        <v>0.47430830039525695</v>
      </c>
      <c r="I36" s="30"/>
    </row>
    <row r="37" spans="1:9" x14ac:dyDescent="0.3">
      <c r="A37" s="27">
        <v>3.6</v>
      </c>
      <c r="B37" s="56" t="s">
        <v>71</v>
      </c>
      <c r="C37" s="24"/>
      <c r="D37" s="20">
        <v>1.5</v>
      </c>
      <c r="E37" s="20">
        <v>1</v>
      </c>
      <c r="F37" s="28">
        <v>0.5</v>
      </c>
      <c r="G37" s="20">
        <f t="shared" si="0"/>
        <v>1</v>
      </c>
      <c r="H37" s="20">
        <f t="shared" si="1"/>
        <v>0.39525691699604748</v>
      </c>
      <c r="I37" s="28"/>
    </row>
    <row r="38" spans="1:9" x14ac:dyDescent="0.3">
      <c r="A38" s="35">
        <v>3.7</v>
      </c>
      <c r="B38" s="46" t="s">
        <v>77</v>
      </c>
      <c r="C38" s="46" t="s">
        <v>14</v>
      </c>
      <c r="D38" s="36">
        <v>2</v>
      </c>
      <c r="E38" s="36">
        <v>1</v>
      </c>
      <c r="F38" s="37">
        <v>0.5</v>
      </c>
      <c r="G38" s="21">
        <f t="shared" si="0"/>
        <v>1.2066115702479339</v>
      </c>
      <c r="H38" s="21">
        <f t="shared" si="1"/>
        <v>0.59288537549407117</v>
      </c>
      <c r="I38" s="30"/>
    </row>
    <row r="39" spans="1:9" x14ac:dyDescent="0.3">
      <c r="A39" s="27">
        <v>3.8</v>
      </c>
      <c r="B39" s="23" t="s">
        <v>88</v>
      </c>
      <c r="C39" s="39"/>
      <c r="D39" s="20">
        <f>2*10</f>
        <v>20</v>
      </c>
      <c r="E39" s="20">
        <f>2*5</f>
        <v>10</v>
      </c>
      <c r="F39" s="28">
        <f>2*3.5</f>
        <v>7</v>
      </c>
      <c r="G39" s="20">
        <f t="shared" si="0"/>
        <v>12.892561983471074</v>
      </c>
      <c r="H39" s="20">
        <f t="shared" si="1"/>
        <v>5.1383399209486171</v>
      </c>
      <c r="I39" s="28"/>
    </row>
    <row r="40" spans="1:9" x14ac:dyDescent="0.3">
      <c r="A40" s="29">
        <v>3.9</v>
      </c>
      <c r="B40" s="22" t="s">
        <v>89</v>
      </c>
      <c r="C40" s="38"/>
      <c r="D40" s="21">
        <f>3*5</f>
        <v>15</v>
      </c>
      <c r="E40" s="21">
        <f>3*2.5</f>
        <v>7.5</v>
      </c>
      <c r="F40" s="30">
        <f>3*2</f>
        <v>6</v>
      </c>
      <c r="G40" s="21">
        <f t="shared" si="0"/>
        <v>9.9793388429752063</v>
      </c>
      <c r="H40" s="21">
        <f t="shared" si="1"/>
        <v>3.5573122529644272</v>
      </c>
      <c r="I40" s="30"/>
    </row>
    <row r="41" spans="1:9" x14ac:dyDescent="0.3">
      <c r="A41" s="27">
        <v>3.11</v>
      </c>
      <c r="B41" s="23" t="s">
        <v>90</v>
      </c>
      <c r="C41" s="39"/>
      <c r="D41" s="20">
        <f>4*1</f>
        <v>4</v>
      </c>
      <c r="E41" s="20">
        <f>4*0.8</f>
        <v>3.2</v>
      </c>
      <c r="F41" s="28">
        <f>4*0.5</f>
        <v>2</v>
      </c>
      <c r="G41" s="20">
        <f t="shared" si="0"/>
        <v>3.0347107438016532</v>
      </c>
      <c r="H41" s="20">
        <f t="shared" si="1"/>
        <v>0.79051383399209496</v>
      </c>
      <c r="I41" s="28"/>
    </row>
    <row r="42" spans="1:9" x14ac:dyDescent="0.3">
      <c r="A42" s="50">
        <v>3.12</v>
      </c>
      <c r="B42" s="51" t="s">
        <v>91</v>
      </c>
      <c r="C42" s="52"/>
      <c r="D42" s="53">
        <f>18*1</f>
        <v>18</v>
      </c>
      <c r="E42" s="53">
        <f>18*0.75</f>
        <v>13.5</v>
      </c>
      <c r="F42" s="54">
        <f>18*0.5</f>
        <v>9</v>
      </c>
      <c r="G42" s="20">
        <f t="shared" si="0"/>
        <v>13.500000000000002</v>
      </c>
      <c r="H42" s="20">
        <f t="shared" si="1"/>
        <v>3.5573122529644272</v>
      </c>
      <c r="I42" s="54"/>
    </row>
    <row r="43" spans="1:9" x14ac:dyDescent="0.3">
      <c r="A43" s="27">
        <v>3.13</v>
      </c>
      <c r="B43" s="23" t="s">
        <v>92</v>
      </c>
      <c r="C43" s="39"/>
      <c r="D43" s="20">
        <f>18*1</f>
        <v>18</v>
      </c>
      <c r="E43" s="20">
        <f>18*0.8</f>
        <v>14.4</v>
      </c>
      <c r="F43" s="28">
        <f>18*0.5</f>
        <v>9</v>
      </c>
      <c r="G43" s="20">
        <f t="shared" si="0"/>
        <v>13.65619834710744</v>
      </c>
      <c r="H43" s="20">
        <f t="shared" si="1"/>
        <v>3.5573122529644272</v>
      </c>
      <c r="I43" s="28"/>
    </row>
    <row r="44" spans="1:9" x14ac:dyDescent="0.3">
      <c r="A44" s="29">
        <v>3.14</v>
      </c>
      <c r="B44" s="22" t="s">
        <v>71</v>
      </c>
      <c r="C44" s="38"/>
      <c r="D44" s="21">
        <v>1.5</v>
      </c>
      <c r="E44" s="21">
        <v>1</v>
      </c>
      <c r="F44" s="30">
        <v>0.5</v>
      </c>
      <c r="G44" s="21">
        <f t="shared" si="0"/>
        <v>1</v>
      </c>
      <c r="H44" s="21">
        <f t="shared" si="1"/>
        <v>0.39525691699604748</v>
      </c>
      <c r="I44" s="30"/>
    </row>
    <row r="45" spans="1:9" x14ac:dyDescent="0.3">
      <c r="A45" s="31">
        <v>3.15</v>
      </c>
      <c r="B45" s="32" t="s">
        <v>50</v>
      </c>
      <c r="C45" s="32" t="s">
        <v>38</v>
      </c>
      <c r="D45" s="33">
        <v>10</v>
      </c>
      <c r="E45" s="33">
        <v>7.5</v>
      </c>
      <c r="F45" s="34">
        <v>5</v>
      </c>
      <c r="G45" s="20">
        <f t="shared" si="0"/>
        <v>7.5</v>
      </c>
      <c r="H45" s="20">
        <f t="shared" si="1"/>
        <v>1.9762845849802373</v>
      </c>
      <c r="I45" s="28"/>
    </row>
    <row r="46" spans="1:9" x14ac:dyDescent="0.3">
      <c r="A46" s="29">
        <v>3.16</v>
      </c>
      <c r="B46" s="25" t="s">
        <v>93</v>
      </c>
      <c r="C46" s="38"/>
      <c r="D46" s="21">
        <v>2</v>
      </c>
      <c r="E46" s="21">
        <v>1</v>
      </c>
      <c r="F46" s="21">
        <v>0.5</v>
      </c>
      <c r="G46" s="21">
        <f t="shared" si="0"/>
        <v>1.2066115702479339</v>
      </c>
      <c r="H46" s="21">
        <f t="shared" si="1"/>
        <v>0.59288537549407117</v>
      </c>
      <c r="I46" s="30"/>
    </row>
    <row r="47" spans="1:9" x14ac:dyDescent="0.3">
      <c r="A47" s="27">
        <v>3.17</v>
      </c>
      <c r="B47" s="24" t="s">
        <v>79</v>
      </c>
      <c r="C47" s="24"/>
      <c r="D47" s="20">
        <f>2*3</f>
        <v>6</v>
      </c>
      <c r="E47" s="20">
        <f>2*2</f>
        <v>4</v>
      </c>
      <c r="F47" s="28">
        <f>2*1</f>
        <v>2</v>
      </c>
      <c r="G47" s="20">
        <f t="shared" si="0"/>
        <v>4</v>
      </c>
      <c r="H47" s="20">
        <f t="shared" si="1"/>
        <v>1.5810276679841899</v>
      </c>
      <c r="I47" s="28"/>
    </row>
    <row r="48" spans="1:9" x14ac:dyDescent="0.3">
      <c r="A48" s="35">
        <v>3.18</v>
      </c>
      <c r="B48" s="43" t="s">
        <v>74</v>
      </c>
      <c r="C48" s="43"/>
      <c r="D48" s="36">
        <v>2</v>
      </c>
      <c r="E48" s="36">
        <v>1</v>
      </c>
      <c r="F48" s="37">
        <v>0.5</v>
      </c>
      <c r="G48" s="21">
        <f t="shared" si="0"/>
        <v>1.2066115702479339</v>
      </c>
      <c r="H48" s="21">
        <f t="shared" si="1"/>
        <v>0.59288537549407117</v>
      </c>
      <c r="I48" s="30"/>
    </row>
    <row r="49" spans="1:9" x14ac:dyDescent="0.3">
      <c r="A49" s="27">
        <v>3.19</v>
      </c>
      <c r="B49" s="24" t="s">
        <v>13</v>
      </c>
      <c r="C49" s="24"/>
      <c r="D49" s="20">
        <v>2</v>
      </c>
      <c r="E49" s="20">
        <v>1</v>
      </c>
      <c r="F49" s="28">
        <v>0.5</v>
      </c>
      <c r="G49" s="20">
        <f t="shared" si="0"/>
        <v>1.2066115702479339</v>
      </c>
      <c r="H49" s="20">
        <f t="shared" si="1"/>
        <v>0.59288537549407117</v>
      </c>
      <c r="I49" s="28"/>
    </row>
    <row r="50" spans="1:9" x14ac:dyDescent="0.3">
      <c r="A50" s="29">
        <v>3.21</v>
      </c>
      <c r="B50" s="25" t="s">
        <v>80</v>
      </c>
      <c r="C50" s="25"/>
      <c r="D50" s="21">
        <v>2</v>
      </c>
      <c r="E50" s="21">
        <v>1</v>
      </c>
      <c r="F50" s="30">
        <v>0.5</v>
      </c>
      <c r="G50" s="21">
        <f t="shared" si="0"/>
        <v>1.2066115702479339</v>
      </c>
      <c r="H50" s="21">
        <f t="shared" si="1"/>
        <v>0.59288537549407117</v>
      </c>
      <c r="I50" s="30"/>
    </row>
    <row r="51" spans="1:9" x14ac:dyDescent="0.3">
      <c r="A51" s="31">
        <v>3.22</v>
      </c>
      <c r="B51" s="32" t="s">
        <v>71</v>
      </c>
      <c r="C51" s="32"/>
      <c r="D51" s="33">
        <v>1.5</v>
      </c>
      <c r="E51" s="33">
        <v>1</v>
      </c>
      <c r="F51" s="34">
        <v>0.5</v>
      </c>
      <c r="G51" s="20">
        <f t="shared" si="0"/>
        <v>1</v>
      </c>
      <c r="H51" s="20">
        <f t="shared" si="1"/>
        <v>0.39525691699604748</v>
      </c>
      <c r="I51" s="28"/>
    </row>
    <row r="52" spans="1:9" x14ac:dyDescent="0.3">
      <c r="A52" s="29"/>
      <c r="B52" s="44" t="s">
        <v>75</v>
      </c>
      <c r="C52" s="25"/>
      <c r="D52" s="21">
        <f>SUM(D32:D51)</f>
        <v>287.5</v>
      </c>
      <c r="E52" s="21">
        <f>SUM(E32:E51)</f>
        <v>194.1</v>
      </c>
      <c r="F52" s="21">
        <f>SUM(F32:F51)</f>
        <v>108.4</v>
      </c>
      <c r="G52" s="21">
        <f t="shared" si="0"/>
        <v>197.28181818181821</v>
      </c>
      <c r="H52" s="21"/>
      <c r="I52" s="30">
        <f>G52-G32-G36-G37-G38-G44-G45-G46-G50-G51</f>
        <v>180.53801652892565</v>
      </c>
    </row>
    <row r="53" spans="1:9" x14ac:dyDescent="0.3">
      <c r="A53" s="27"/>
      <c r="B53" s="24"/>
      <c r="C53" s="24"/>
      <c r="D53" s="20"/>
      <c r="E53" s="20"/>
      <c r="F53" s="28"/>
      <c r="G53" s="20"/>
      <c r="H53" s="20"/>
      <c r="I53" s="28"/>
    </row>
    <row r="54" spans="1:9" s="145" customFormat="1" x14ac:dyDescent="0.3">
      <c r="A54" s="192"/>
      <c r="B54" s="190" t="s">
        <v>94</v>
      </c>
      <c r="C54" s="190"/>
      <c r="D54" s="188"/>
      <c r="E54" s="188"/>
      <c r="F54" s="188"/>
      <c r="G54" s="188"/>
      <c r="H54" s="188"/>
      <c r="I54" s="191"/>
    </row>
    <row r="55" spans="1:9" x14ac:dyDescent="0.3">
      <c r="A55" s="40">
        <v>4.0999999999999996</v>
      </c>
      <c r="B55" s="47" t="s">
        <v>95</v>
      </c>
      <c r="C55" s="47" t="s">
        <v>38</v>
      </c>
      <c r="D55" s="41">
        <v>2</v>
      </c>
      <c r="E55" s="41">
        <v>1</v>
      </c>
      <c r="F55" s="42">
        <v>0.5</v>
      </c>
      <c r="G55" s="20">
        <f t="shared" si="0"/>
        <v>1.2066115702479339</v>
      </c>
      <c r="H55" s="20">
        <f t="shared" si="1"/>
        <v>0.59288537549407117</v>
      </c>
      <c r="I55" s="28"/>
    </row>
    <row r="56" spans="1:9" x14ac:dyDescent="0.3">
      <c r="A56" s="29">
        <v>4.2</v>
      </c>
      <c r="B56" s="25" t="s">
        <v>96</v>
      </c>
      <c r="C56" s="38"/>
      <c r="D56" s="21">
        <v>3</v>
      </c>
      <c r="E56" s="21">
        <v>2</v>
      </c>
      <c r="F56" s="30">
        <v>1</v>
      </c>
      <c r="G56" s="21">
        <f t="shared" si="0"/>
        <v>2</v>
      </c>
      <c r="H56" s="21">
        <f t="shared" si="1"/>
        <v>0.79051383399209496</v>
      </c>
      <c r="I56" s="30"/>
    </row>
    <row r="57" spans="1:9" x14ac:dyDescent="0.3">
      <c r="A57" s="27">
        <v>4.3</v>
      </c>
      <c r="B57" s="24" t="s">
        <v>97</v>
      </c>
      <c r="C57" s="39"/>
      <c r="D57" s="20">
        <v>2</v>
      </c>
      <c r="E57" s="20">
        <v>1</v>
      </c>
      <c r="F57" s="28">
        <v>0.5</v>
      </c>
      <c r="G57" s="20">
        <f t="shared" si="0"/>
        <v>1.2066115702479339</v>
      </c>
      <c r="H57" s="20">
        <f t="shared" si="1"/>
        <v>0.59288537549407117</v>
      </c>
      <c r="I57" s="28"/>
    </row>
    <row r="58" spans="1:9" x14ac:dyDescent="0.3">
      <c r="A58" s="29">
        <v>4.4000000000000004</v>
      </c>
      <c r="B58" s="25" t="s">
        <v>71</v>
      </c>
      <c r="C58" s="38"/>
      <c r="D58" s="21">
        <v>1.5</v>
      </c>
      <c r="E58" s="21">
        <v>1</v>
      </c>
      <c r="F58" s="30">
        <v>0.5</v>
      </c>
      <c r="G58" s="21">
        <f t="shared" si="0"/>
        <v>1</v>
      </c>
      <c r="H58" s="21">
        <f t="shared" si="1"/>
        <v>0.39525691699604748</v>
      </c>
      <c r="I58" s="30"/>
    </row>
    <row r="59" spans="1:9" x14ac:dyDescent="0.3">
      <c r="A59" s="27">
        <v>4.5</v>
      </c>
      <c r="B59" s="48" t="s">
        <v>98</v>
      </c>
      <c r="C59" s="39"/>
      <c r="D59" s="20">
        <v>2</v>
      </c>
      <c r="E59" s="20">
        <v>1</v>
      </c>
      <c r="F59" s="28">
        <v>0.5</v>
      </c>
      <c r="G59" s="20">
        <f t="shared" si="0"/>
        <v>1.2066115702479339</v>
      </c>
      <c r="H59" s="20">
        <f t="shared" si="1"/>
        <v>0.59288537549407117</v>
      </c>
      <c r="I59" s="28"/>
    </row>
    <row r="60" spans="1:9" x14ac:dyDescent="0.3">
      <c r="A60" s="29">
        <v>4.5999999999999996</v>
      </c>
      <c r="B60" s="49" t="s">
        <v>99</v>
      </c>
      <c r="C60" s="38"/>
      <c r="D60" s="21">
        <v>5</v>
      </c>
      <c r="E60" s="21">
        <v>3</v>
      </c>
      <c r="F60" s="30">
        <v>1</v>
      </c>
      <c r="G60" s="21">
        <f t="shared" si="0"/>
        <v>3</v>
      </c>
      <c r="H60" s="21">
        <f t="shared" si="1"/>
        <v>1.5810276679841899</v>
      </c>
      <c r="I60" s="30"/>
    </row>
    <row r="61" spans="1:9" x14ac:dyDescent="0.3">
      <c r="A61" s="27"/>
      <c r="B61" s="45" t="s">
        <v>34</v>
      </c>
      <c r="C61" s="39"/>
      <c r="D61" s="20">
        <f>SUM(D55:D60)</f>
        <v>15.5</v>
      </c>
      <c r="E61" s="20">
        <f t="shared" ref="E61:F61" si="4">SUM(E55:E60)</f>
        <v>9</v>
      </c>
      <c r="F61" s="20">
        <f t="shared" si="4"/>
        <v>4</v>
      </c>
      <c r="G61" s="20">
        <f t="shared" si="0"/>
        <v>9.6198347107438025</v>
      </c>
      <c r="H61" s="20"/>
      <c r="I61" s="28">
        <f>G61-G55-G57-G58</f>
        <v>6.2066115702479356</v>
      </c>
    </row>
    <row r="62" spans="1:9" x14ac:dyDescent="0.3">
      <c r="A62" s="50"/>
      <c r="B62" s="67"/>
      <c r="C62" s="52"/>
      <c r="D62" s="53"/>
      <c r="E62" s="53"/>
      <c r="F62" s="53"/>
      <c r="G62" s="53"/>
      <c r="H62" s="53"/>
      <c r="I62" s="54"/>
    </row>
    <row r="63" spans="1:9" s="145" customFormat="1" x14ac:dyDescent="0.3">
      <c r="A63" s="147"/>
      <c r="B63" s="148" t="s">
        <v>62</v>
      </c>
      <c r="C63" s="149"/>
      <c r="D63" s="150"/>
      <c r="E63" s="150"/>
      <c r="F63" s="150"/>
      <c r="G63" s="150"/>
      <c r="H63" s="150"/>
      <c r="I63" s="157"/>
    </row>
    <row r="64" spans="1:9" x14ac:dyDescent="0.3">
      <c r="A64" s="81">
        <v>5.0999999999999996</v>
      </c>
      <c r="B64" s="82" t="s">
        <v>63</v>
      </c>
      <c r="C64" s="83"/>
      <c r="D64" s="84"/>
      <c r="E64" s="84"/>
      <c r="F64" s="84"/>
      <c r="G64" s="84">
        <v>5</v>
      </c>
      <c r="H64" s="84">
        <v>0</v>
      </c>
      <c r="I64" s="193"/>
    </row>
    <row r="65" spans="1:9" x14ac:dyDescent="0.3">
      <c r="A65" s="31"/>
      <c r="B65" s="194" t="s">
        <v>34</v>
      </c>
      <c r="C65" s="195"/>
      <c r="D65" s="33"/>
      <c r="E65" s="33"/>
      <c r="F65" s="33"/>
      <c r="G65" s="33">
        <v>5</v>
      </c>
      <c r="H65" s="33"/>
      <c r="I65" s="34"/>
    </row>
  </sheetData>
  <mergeCells count="7">
    <mergeCell ref="F4:G4"/>
    <mergeCell ref="F5:G5"/>
    <mergeCell ref="A1:A2"/>
    <mergeCell ref="B1:D1"/>
    <mergeCell ref="F1:G1"/>
    <mergeCell ref="F2:G2"/>
    <mergeCell ref="F3:G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2E16-1799-4D21-A636-6C046BEC47D8}">
  <dimension ref="A1:I53"/>
  <sheetViews>
    <sheetView topLeftCell="A32" zoomScaleNormal="100" workbookViewId="0">
      <selection activeCell="F58" sqref="F58"/>
    </sheetView>
  </sheetViews>
  <sheetFormatPr baseColWidth="10" defaultColWidth="8.88671875" defaultRowHeight="14.4" x14ac:dyDescent="0.3"/>
  <cols>
    <col min="1" max="1" width="8.21875" customWidth="1"/>
    <col min="2" max="2" width="46.44140625" bestFit="1" customWidth="1"/>
    <col min="3" max="3" width="15.5546875" customWidth="1"/>
    <col min="5" max="5" width="12.88671875" customWidth="1"/>
    <col min="11" max="11" width="19.5546875" bestFit="1" customWidth="1"/>
    <col min="12" max="12" width="22.88671875" bestFit="1" customWidth="1"/>
    <col min="13" max="13" width="9.5546875" bestFit="1" customWidth="1"/>
    <col min="14" max="14" width="10.5546875" bestFit="1" customWidth="1"/>
    <col min="18" max="18" width="38.88671875" bestFit="1" customWidth="1"/>
  </cols>
  <sheetData>
    <row r="1" spans="1:9" x14ac:dyDescent="0.3">
      <c r="A1" s="217" t="s">
        <v>224</v>
      </c>
      <c r="B1" s="216" t="s">
        <v>9</v>
      </c>
      <c r="C1" s="216"/>
      <c r="D1" s="216"/>
      <c r="E1" s="196"/>
      <c r="F1" s="219" t="s">
        <v>23</v>
      </c>
      <c r="G1" s="220"/>
      <c r="H1" s="141" t="s">
        <v>24</v>
      </c>
      <c r="I1" s="142" t="s">
        <v>12</v>
      </c>
    </row>
    <row r="2" spans="1:9" x14ac:dyDescent="0.3">
      <c r="A2" s="218"/>
      <c r="B2" s="143" t="s">
        <v>11</v>
      </c>
      <c r="C2" s="144" t="s">
        <v>12</v>
      </c>
      <c r="D2" s="144" t="s">
        <v>69</v>
      </c>
      <c r="E2" s="152"/>
      <c r="F2" s="212" t="s">
        <v>26</v>
      </c>
      <c r="G2" s="213"/>
      <c r="H2" s="80">
        <f>I17+I25+I32+I49+I53</f>
        <v>517.7190082644629</v>
      </c>
      <c r="I2" s="80">
        <f>SQRT(SUMSQ(H8:H10,H13:H15,H22:H23,H29:H30,H37,H38,H42:H48,H35))</f>
        <v>59.884292708337419</v>
      </c>
    </row>
    <row r="3" spans="1:9" x14ac:dyDescent="0.3">
      <c r="A3" s="79" t="s">
        <v>15</v>
      </c>
      <c r="B3" s="78">
        <f>SUM(G8:G11,G28:G31,G35:G39)</f>
        <v>203.61983471074379</v>
      </c>
      <c r="C3" s="78">
        <f>SQRT(SUMSQ(H8:H11,H28:H31,H35:H39))</f>
        <v>44.213492444291845</v>
      </c>
      <c r="D3" s="80">
        <f>_xlfn.NORM.INV(90%,B3,C3)</f>
        <v>260.28170517092036</v>
      </c>
      <c r="E3" s="152"/>
      <c r="F3" s="212" t="s">
        <v>28</v>
      </c>
      <c r="G3" s="213"/>
      <c r="H3" s="80">
        <f>G17+G25+G32+G49</f>
        <v>634.69834710743805</v>
      </c>
      <c r="I3" s="80">
        <f>SQRT(SUMSQ(H8:H16,H20:H24,H28:H31,H35:H48))</f>
        <v>63.576740290628081</v>
      </c>
    </row>
    <row r="4" spans="1:9" x14ac:dyDescent="0.3">
      <c r="A4" s="4" t="s">
        <v>17</v>
      </c>
      <c r="B4" s="78">
        <f>SUM(G20:G24)</f>
        <v>80.5</v>
      </c>
      <c r="C4" s="78">
        <f>SQRT(SUMSQ(H20:H24))</f>
        <v>14.828720539370808</v>
      </c>
      <c r="D4" s="80">
        <f>_xlfn.NORM.INV(90%,B4,C4)</f>
        <v>99.503770022254031</v>
      </c>
      <c r="E4" s="152"/>
      <c r="F4" s="212" t="s">
        <v>29</v>
      </c>
      <c r="G4" s="213"/>
      <c r="H4" s="80">
        <f>_xlfn.NORM.INV(90%,H2,I2)</f>
        <v>594.46381733636383</v>
      </c>
      <c r="I4" s="26"/>
    </row>
    <row r="5" spans="1:9" x14ac:dyDescent="0.3">
      <c r="A5" s="5" t="s">
        <v>19</v>
      </c>
      <c r="B5" s="78">
        <f>SUM(G12:G16,G40:G48)</f>
        <v>350.57851239669424</v>
      </c>
      <c r="C5" s="78">
        <f>SQRT(SUMSQ(H12:H16,H40:H48))</f>
        <v>43.212012670387878</v>
      </c>
      <c r="D5" s="80">
        <f>_xlfn.NORM.INV(90%,B5,C5)</f>
        <v>405.95693488476292</v>
      </c>
      <c r="E5" s="152"/>
      <c r="F5" s="212" t="s">
        <v>31</v>
      </c>
      <c r="G5" s="213"/>
      <c r="H5" s="80">
        <f>_xlfn.NORM.INV(90%,H3,I3)</f>
        <v>716.17521815911493</v>
      </c>
      <c r="I5" s="26"/>
    </row>
    <row r="6" spans="1:9" x14ac:dyDescent="0.3">
      <c r="A6" s="9" t="s">
        <v>64</v>
      </c>
      <c r="B6" t="s">
        <v>1</v>
      </c>
      <c r="C6" t="s">
        <v>2</v>
      </c>
      <c r="D6" t="s">
        <v>65</v>
      </c>
      <c r="E6" t="s">
        <v>4</v>
      </c>
      <c r="F6" s="10" t="s">
        <v>66</v>
      </c>
      <c r="G6" t="s">
        <v>6</v>
      </c>
      <c r="H6" t="s">
        <v>67</v>
      </c>
      <c r="I6" s="10" t="s">
        <v>8</v>
      </c>
    </row>
    <row r="7" spans="1:9" s="145" customFormat="1" x14ac:dyDescent="0.3">
      <c r="A7" s="116"/>
      <c r="B7" s="165" t="s">
        <v>68</v>
      </c>
      <c r="F7" s="146"/>
      <c r="I7" s="146"/>
    </row>
    <row r="8" spans="1:9" x14ac:dyDescent="0.3">
      <c r="A8" s="9">
        <v>1.1000000000000001</v>
      </c>
      <c r="B8" s="153" t="s">
        <v>57</v>
      </c>
      <c r="C8" s="153" t="s">
        <v>14</v>
      </c>
      <c r="D8">
        <v>2</v>
      </c>
      <c r="E8">
        <v>1</v>
      </c>
      <c r="F8" s="10">
        <v>0.5</v>
      </c>
      <c r="G8">
        <f>(F8+(0.42*E8)+D8)/2.42</f>
        <v>1.2066115702479339</v>
      </c>
      <c r="H8">
        <f t="shared" ref="H8:H48" si="0">(D8-F8)/2.53</f>
        <v>0.59288537549407117</v>
      </c>
      <c r="I8" s="10"/>
    </row>
    <row r="9" spans="1:9" x14ac:dyDescent="0.3">
      <c r="A9" s="9">
        <v>1.2</v>
      </c>
      <c r="B9" s="153" t="s">
        <v>100</v>
      </c>
      <c r="C9" s="153"/>
      <c r="D9">
        <f>1*4</f>
        <v>4</v>
      </c>
      <c r="E9">
        <f>0.75*4</f>
        <v>3</v>
      </c>
      <c r="F9" s="10">
        <f>0.5*4</f>
        <v>2</v>
      </c>
      <c r="G9">
        <f t="shared" ref="G9:G48" si="1">(F9+(0.42*E9)+D9)/2.42</f>
        <v>3</v>
      </c>
      <c r="H9">
        <f t="shared" si="0"/>
        <v>0.79051383399209496</v>
      </c>
      <c r="I9" s="10"/>
    </row>
    <row r="10" spans="1:9" x14ac:dyDescent="0.3">
      <c r="A10" s="9">
        <v>1.3</v>
      </c>
      <c r="B10" s="153" t="s">
        <v>101</v>
      </c>
      <c r="C10" s="153"/>
      <c r="D10">
        <v>2</v>
      </c>
      <c r="E10">
        <v>1</v>
      </c>
      <c r="F10" s="10">
        <v>0.8</v>
      </c>
      <c r="G10">
        <f t="shared" si="1"/>
        <v>1.3305785123966942</v>
      </c>
      <c r="H10">
        <f t="shared" si="0"/>
        <v>0.47430830039525695</v>
      </c>
      <c r="I10" s="10"/>
    </row>
    <row r="11" spans="1:9" x14ac:dyDescent="0.3">
      <c r="A11" s="9">
        <v>1.4</v>
      </c>
      <c r="B11" s="153" t="s">
        <v>71</v>
      </c>
      <c r="C11" s="153"/>
      <c r="D11">
        <v>1.5</v>
      </c>
      <c r="E11">
        <v>1</v>
      </c>
      <c r="F11" s="10">
        <v>0.5</v>
      </c>
      <c r="G11">
        <f t="shared" si="1"/>
        <v>1</v>
      </c>
      <c r="H11">
        <f t="shared" si="0"/>
        <v>0.39525691699604748</v>
      </c>
      <c r="I11" s="10"/>
    </row>
    <row r="12" spans="1:9" x14ac:dyDescent="0.3">
      <c r="A12" s="9">
        <v>1.5</v>
      </c>
      <c r="B12" s="155" t="s">
        <v>102</v>
      </c>
      <c r="C12" s="155" t="s">
        <v>30</v>
      </c>
      <c r="D12">
        <v>2</v>
      </c>
      <c r="E12">
        <v>1</v>
      </c>
      <c r="F12" s="10">
        <v>0.5</v>
      </c>
      <c r="G12">
        <f t="shared" si="1"/>
        <v>1.2066115702479339</v>
      </c>
      <c r="H12">
        <f t="shared" si="0"/>
        <v>0.59288537549407117</v>
      </c>
      <c r="I12" s="10"/>
    </row>
    <row r="13" spans="1:9" x14ac:dyDescent="0.3">
      <c r="A13" s="9">
        <v>1.6</v>
      </c>
      <c r="B13" s="155" t="s">
        <v>103</v>
      </c>
      <c r="C13" s="155"/>
      <c r="D13">
        <v>6</v>
      </c>
      <c r="E13">
        <v>4</v>
      </c>
      <c r="F13" s="10">
        <v>2</v>
      </c>
      <c r="G13">
        <f t="shared" si="1"/>
        <v>4</v>
      </c>
      <c r="H13">
        <f t="shared" si="0"/>
        <v>1.5810276679841899</v>
      </c>
      <c r="I13" s="10"/>
    </row>
    <row r="14" spans="1:9" x14ac:dyDescent="0.3">
      <c r="A14" s="9">
        <v>1.7</v>
      </c>
      <c r="B14" s="155" t="s">
        <v>104</v>
      </c>
      <c r="C14" s="155"/>
      <c r="D14">
        <v>4</v>
      </c>
      <c r="E14">
        <v>3</v>
      </c>
      <c r="F14" s="10">
        <f>0.8*2</f>
        <v>1.6</v>
      </c>
      <c r="G14">
        <f t="shared" si="1"/>
        <v>2.834710743801653</v>
      </c>
      <c r="H14">
        <f t="shared" si="0"/>
        <v>0.94861660079051391</v>
      </c>
      <c r="I14" s="10"/>
    </row>
    <row r="15" spans="1:9" x14ac:dyDescent="0.3">
      <c r="A15" s="9">
        <v>1.8</v>
      </c>
      <c r="B15" s="155" t="s">
        <v>105</v>
      </c>
      <c r="C15" s="155"/>
      <c r="D15">
        <v>2</v>
      </c>
      <c r="E15">
        <v>1</v>
      </c>
      <c r="F15" s="10">
        <v>0.5</v>
      </c>
      <c r="G15">
        <f t="shared" si="1"/>
        <v>1.2066115702479339</v>
      </c>
      <c r="H15">
        <f t="shared" si="0"/>
        <v>0.59288537549407117</v>
      </c>
      <c r="I15" s="10"/>
    </row>
    <row r="16" spans="1:9" x14ac:dyDescent="0.3">
      <c r="A16" s="11">
        <v>1.9</v>
      </c>
      <c r="B16" s="17" t="s">
        <v>71</v>
      </c>
      <c r="C16" s="17"/>
      <c r="D16" s="16">
        <v>1.5</v>
      </c>
      <c r="E16" s="16">
        <v>1</v>
      </c>
      <c r="F16" s="13">
        <v>0.5</v>
      </c>
      <c r="G16">
        <f t="shared" si="1"/>
        <v>1</v>
      </c>
      <c r="H16">
        <f t="shared" si="0"/>
        <v>0.39525691699604748</v>
      </c>
      <c r="I16" s="10"/>
    </row>
    <row r="17" spans="1:9" x14ac:dyDescent="0.3">
      <c r="A17" s="9"/>
      <c r="B17" t="s">
        <v>34</v>
      </c>
      <c r="D17">
        <f>SUM(D8:D16)</f>
        <v>25</v>
      </c>
      <c r="E17">
        <f t="shared" ref="E17:F17" si="2">SUM(E8:E16)</f>
        <v>16</v>
      </c>
      <c r="F17">
        <f t="shared" si="2"/>
        <v>8.9</v>
      </c>
      <c r="G17">
        <f>(F17+(0.42*E17)+D17)/2.42</f>
        <v>16.785123966942152</v>
      </c>
      <c r="I17" s="10">
        <f>G17-G11-G12-G16</f>
        <v>13.578512396694219</v>
      </c>
    </row>
    <row r="18" spans="1:9" x14ac:dyDescent="0.3">
      <c r="A18" s="9"/>
      <c r="B18" s="155"/>
      <c r="C18" s="155"/>
      <c r="F18" s="10"/>
      <c r="I18" s="10"/>
    </row>
    <row r="19" spans="1:9" s="145" customFormat="1" x14ac:dyDescent="0.3">
      <c r="A19" s="116"/>
      <c r="B19" s="165" t="s">
        <v>106</v>
      </c>
      <c r="F19" s="146"/>
      <c r="I19" s="146"/>
    </row>
    <row r="20" spans="1:9" x14ac:dyDescent="0.3">
      <c r="A20" s="6">
        <v>2.1</v>
      </c>
      <c r="B20" s="14" t="s">
        <v>37</v>
      </c>
      <c r="C20" s="14" t="s">
        <v>107</v>
      </c>
      <c r="D20" s="7">
        <v>10</v>
      </c>
      <c r="E20" s="7">
        <v>7.5</v>
      </c>
      <c r="F20" s="8">
        <v>5</v>
      </c>
      <c r="G20">
        <f t="shared" si="1"/>
        <v>7.5</v>
      </c>
      <c r="H20">
        <f t="shared" si="0"/>
        <v>1.9762845849802373</v>
      </c>
      <c r="I20" s="10"/>
    </row>
    <row r="21" spans="1:9" x14ac:dyDescent="0.3">
      <c r="A21" s="9">
        <v>2.2000000000000002</v>
      </c>
      <c r="B21" s="154" t="s">
        <v>108</v>
      </c>
      <c r="C21" s="154"/>
      <c r="D21">
        <v>3</v>
      </c>
      <c r="E21">
        <v>2</v>
      </c>
      <c r="F21" s="10">
        <v>1.5</v>
      </c>
      <c r="G21">
        <f t="shared" si="1"/>
        <v>2.2066115702479339</v>
      </c>
      <c r="H21">
        <f t="shared" si="0"/>
        <v>0.59288537549407117</v>
      </c>
      <c r="I21" s="10"/>
    </row>
    <row r="22" spans="1:9" x14ac:dyDescent="0.3">
      <c r="A22" s="9">
        <v>2.2999999999999998</v>
      </c>
      <c r="B22" s="154" t="s">
        <v>109</v>
      </c>
      <c r="C22" s="154"/>
      <c r="D22">
        <f>18*2.5</f>
        <v>45</v>
      </c>
      <c r="E22">
        <f>18*2</f>
        <v>36</v>
      </c>
      <c r="F22" s="10">
        <f>18*1</f>
        <v>18</v>
      </c>
      <c r="G22">
        <f t="shared" si="1"/>
        <v>32.280991735537192</v>
      </c>
      <c r="H22">
        <f t="shared" si="0"/>
        <v>10.671936758893281</v>
      </c>
      <c r="I22" s="10"/>
    </row>
    <row r="23" spans="1:9" x14ac:dyDescent="0.3">
      <c r="A23" s="9">
        <v>2.4</v>
      </c>
      <c r="B23" s="154" t="s">
        <v>110</v>
      </c>
      <c r="C23" s="154"/>
      <c r="D23">
        <f>17*3</f>
        <v>51</v>
      </c>
      <c r="E23">
        <f>17*2</f>
        <v>34</v>
      </c>
      <c r="F23" s="10">
        <f>17*1.5</f>
        <v>25.5</v>
      </c>
      <c r="G23">
        <f t="shared" si="1"/>
        <v>37.512396694214878</v>
      </c>
      <c r="H23">
        <f t="shared" si="0"/>
        <v>10.079051383399211</v>
      </c>
      <c r="I23" s="10"/>
    </row>
    <row r="24" spans="1:9" x14ac:dyDescent="0.3">
      <c r="A24" s="11">
        <v>2.6</v>
      </c>
      <c r="B24" s="58" t="s">
        <v>71</v>
      </c>
      <c r="C24" s="58"/>
      <c r="D24" s="16">
        <v>1.5</v>
      </c>
      <c r="E24" s="16">
        <v>1</v>
      </c>
      <c r="F24" s="13">
        <v>0.5</v>
      </c>
      <c r="G24">
        <f t="shared" si="1"/>
        <v>1</v>
      </c>
      <c r="H24">
        <f t="shared" si="0"/>
        <v>0.39525691699604748</v>
      </c>
      <c r="I24" s="10"/>
    </row>
    <row r="25" spans="1:9" x14ac:dyDescent="0.3">
      <c r="A25" s="9"/>
      <c r="B25" t="s">
        <v>34</v>
      </c>
      <c r="D25">
        <f>SUM(D20:D24)</f>
        <v>110.5</v>
      </c>
      <c r="E25">
        <f>SUM(E20:E24)</f>
        <v>80.5</v>
      </c>
      <c r="F25">
        <f>SUM(F20:F24)</f>
        <v>50.5</v>
      </c>
      <c r="G25">
        <f t="shared" si="1"/>
        <v>80.5</v>
      </c>
      <c r="I25" s="10">
        <f>Table22[[#This Row],[E]]-G21-G20-G24</f>
        <v>69.793388429752071</v>
      </c>
    </row>
    <row r="26" spans="1:9" x14ac:dyDescent="0.3">
      <c r="A26" s="9"/>
      <c r="B26" s="155"/>
      <c r="C26" s="155"/>
      <c r="F26" s="10"/>
      <c r="I26" s="10"/>
    </row>
    <row r="27" spans="1:9" s="145" customFormat="1" x14ac:dyDescent="0.3">
      <c r="A27" s="116"/>
      <c r="B27" s="165" t="s">
        <v>111</v>
      </c>
      <c r="F27" s="146"/>
      <c r="I27" s="146"/>
    </row>
    <row r="28" spans="1:9" x14ac:dyDescent="0.3">
      <c r="A28" s="6">
        <v>3.1</v>
      </c>
      <c r="B28" s="18" t="s">
        <v>112</v>
      </c>
      <c r="C28" s="18" t="s">
        <v>14</v>
      </c>
      <c r="D28" s="7">
        <v>2</v>
      </c>
      <c r="E28" s="7">
        <v>1</v>
      </c>
      <c r="F28" s="8">
        <v>0.5</v>
      </c>
      <c r="G28">
        <f t="shared" si="1"/>
        <v>1.2066115702479339</v>
      </c>
      <c r="H28">
        <f t="shared" si="0"/>
        <v>0.59288537549407117</v>
      </c>
      <c r="I28" s="10"/>
    </row>
    <row r="29" spans="1:9" x14ac:dyDescent="0.3">
      <c r="A29" s="9">
        <v>3.2</v>
      </c>
      <c r="B29" s="153" t="s">
        <v>113</v>
      </c>
      <c r="C29" s="153"/>
      <c r="D29">
        <f>4*15</f>
        <v>60</v>
      </c>
      <c r="E29">
        <f>4*8</f>
        <v>32</v>
      </c>
      <c r="F29" s="10">
        <f>4*6</f>
        <v>24</v>
      </c>
      <c r="G29">
        <f t="shared" si="1"/>
        <v>40.264462809917354</v>
      </c>
      <c r="H29">
        <f t="shared" si="0"/>
        <v>14.229249011857709</v>
      </c>
      <c r="I29" s="10"/>
    </row>
    <row r="30" spans="1:9" x14ac:dyDescent="0.3">
      <c r="A30" s="9">
        <v>3.3</v>
      </c>
      <c r="B30" s="153" t="s">
        <v>114</v>
      </c>
      <c r="C30" s="153"/>
      <c r="D30">
        <v>6</v>
      </c>
      <c r="E30">
        <v>3</v>
      </c>
      <c r="F30" s="10">
        <v>1.5</v>
      </c>
      <c r="G30">
        <f t="shared" si="1"/>
        <v>3.6198347107438016</v>
      </c>
      <c r="H30">
        <f t="shared" si="0"/>
        <v>1.7786561264822136</v>
      </c>
      <c r="I30" s="10"/>
    </row>
    <row r="31" spans="1:9" x14ac:dyDescent="0.3">
      <c r="A31" s="11">
        <v>3.4</v>
      </c>
      <c r="B31" s="19" t="s">
        <v>20</v>
      </c>
      <c r="C31" s="19"/>
      <c r="D31" s="16">
        <v>1.5</v>
      </c>
      <c r="E31" s="16">
        <v>1</v>
      </c>
      <c r="F31" s="13">
        <v>0.5</v>
      </c>
      <c r="G31">
        <f t="shared" si="1"/>
        <v>1</v>
      </c>
      <c r="H31">
        <f t="shared" si="0"/>
        <v>0.39525691699604748</v>
      </c>
      <c r="I31" s="10"/>
    </row>
    <row r="32" spans="1:9" x14ac:dyDescent="0.3">
      <c r="A32" s="9"/>
      <c r="B32" t="s">
        <v>34</v>
      </c>
      <c r="D32">
        <f>SUM(D28:D31)</f>
        <v>69.5</v>
      </c>
      <c r="E32">
        <f t="shared" ref="E32:F32" si="3">SUM(E28:E31)</f>
        <v>37</v>
      </c>
      <c r="F32">
        <f t="shared" si="3"/>
        <v>26.5</v>
      </c>
      <c r="G32">
        <f t="shared" si="1"/>
        <v>46.090909090909086</v>
      </c>
      <c r="I32" s="10">
        <f>Table22[[#This Row],[E]]-G31-G28</f>
        <v>43.88429752066115</v>
      </c>
    </row>
    <row r="33" spans="1:9" x14ac:dyDescent="0.3">
      <c r="A33" s="9"/>
      <c r="B33" s="155"/>
      <c r="C33" s="155"/>
      <c r="F33" s="10"/>
      <c r="I33" s="10"/>
    </row>
    <row r="34" spans="1:9" s="145" customFormat="1" x14ac:dyDescent="0.3">
      <c r="A34" s="116"/>
      <c r="B34" s="165" t="s">
        <v>115</v>
      </c>
      <c r="F34" s="146"/>
      <c r="I34" s="146"/>
    </row>
    <row r="35" spans="1:9" x14ac:dyDescent="0.3">
      <c r="A35" s="9">
        <v>4.0999999999999996</v>
      </c>
      <c r="B35" s="153" t="s">
        <v>116</v>
      </c>
      <c r="C35" s="153" t="s">
        <v>14</v>
      </c>
      <c r="D35">
        <v>2</v>
      </c>
      <c r="E35">
        <v>1</v>
      </c>
      <c r="F35">
        <v>0.5</v>
      </c>
      <c r="G35">
        <f t="shared" si="1"/>
        <v>1.2066115702479339</v>
      </c>
      <c r="H35">
        <f t="shared" si="0"/>
        <v>0.59288537549407117</v>
      </c>
      <c r="I35" s="10"/>
    </row>
    <row r="36" spans="1:9" x14ac:dyDescent="0.3">
      <c r="A36" s="6">
        <v>4.2</v>
      </c>
      <c r="B36" s="18" t="s">
        <v>117</v>
      </c>
      <c r="C36" s="18"/>
      <c r="D36" s="7">
        <f>9*2</f>
        <v>18</v>
      </c>
      <c r="E36" s="7">
        <f>9*1</f>
        <v>9</v>
      </c>
      <c r="F36" s="8">
        <f>9*0.5</f>
        <v>4.5</v>
      </c>
      <c r="G36">
        <f t="shared" si="1"/>
        <v>10.859504132231406</v>
      </c>
      <c r="H36">
        <f t="shared" si="0"/>
        <v>5.3359683794466406</v>
      </c>
      <c r="I36" s="10"/>
    </row>
    <row r="37" spans="1:9" x14ac:dyDescent="0.3">
      <c r="A37" s="9">
        <v>4.3</v>
      </c>
      <c r="B37" s="153" t="s">
        <v>118</v>
      </c>
      <c r="C37" s="153"/>
      <c r="D37">
        <f>10*4*4</f>
        <v>160</v>
      </c>
      <c r="E37">
        <f>10*4*2</f>
        <v>80</v>
      </c>
      <c r="F37" s="10">
        <f>10*4*1.5</f>
        <v>60</v>
      </c>
      <c r="G37">
        <f t="shared" si="1"/>
        <v>104.79338842975207</v>
      </c>
      <c r="H37">
        <f t="shared" si="0"/>
        <v>39.525691699604749</v>
      </c>
      <c r="I37" s="10"/>
    </row>
    <row r="38" spans="1:9" x14ac:dyDescent="0.3">
      <c r="A38" s="9">
        <v>4.4000000000000004</v>
      </c>
      <c r="B38" s="153" t="s">
        <v>119</v>
      </c>
      <c r="C38" s="153"/>
      <c r="D38">
        <f>10*2*2</f>
        <v>40</v>
      </c>
      <c r="E38">
        <f>10*2*1</f>
        <v>20</v>
      </c>
      <c r="F38" s="10">
        <f>10*2*0.5</f>
        <v>10</v>
      </c>
      <c r="G38">
        <f t="shared" si="1"/>
        <v>24.132231404958677</v>
      </c>
      <c r="H38">
        <f t="shared" si="0"/>
        <v>11.857707509881424</v>
      </c>
      <c r="I38" s="10"/>
    </row>
    <row r="39" spans="1:9" x14ac:dyDescent="0.3">
      <c r="A39" s="9">
        <v>4.5</v>
      </c>
      <c r="B39" s="153" t="s">
        <v>120</v>
      </c>
      <c r="C39" s="153"/>
      <c r="D39">
        <f>10*1.5</f>
        <v>15</v>
      </c>
      <c r="E39">
        <f>10*1</f>
        <v>10</v>
      </c>
      <c r="F39" s="10">
        <f>10*0.5</f>
        <v>5</v>
      </c>
      <c r="G39">
        <f t="shared" si="1"/>
        <v>10</v>
      </c>
      <c r="H39">
        <f t="shared" si="0"/>
        <v>3.9525691699604746</v>
      </c>
      <c r="I39" s="10"/>
    </row>
    <row r="40" spans="1:9" x14ac:dyDescent="0.3">
      <c r="A40" s="9">
        <v>4.5999999999999996</v>
      </c>
      <c r="B40" s="155" t="s">
        <v>121</v>
      </c>
      <c r="C40" s="155" t="s">
        <v>30</v>
      </c>
      <c r="D40">
        <f>10*10</f>
        <v>100</v>
      </c>
      <c r="E40">
        <f>10*7.5</f>
        <v>75</v>
      </c>
      <c r="F40" s="10">
        <f>10*5</f>
        <v>50</v>
      </c>
      <c r="G40">
        <f t="shared" si="1"/>
        <v>75</v>
      </c>
      <c r="H40">
        <f t="shared" si="0"/>
        <v>19.762845849802375</v>
      </c>
      <c r="I40" s="10"/>
    </row>
    <row r="41" spans="1:9" x14ac:dyDescent="0.3">
      <c r="A41" s="9">
        <v>4.7</v>
      </c>
      <c r="B41" s="155" t="s">
        <v>122</v>
      </c>
      <c r="C41" s="155"/>
      <c r="D41">
        <f>10*1.5</f>
        <v>15</v>
      </c>
      <c r="E41">
        <f>10*1</f>
        <v>10</v>
      </c>
      <c r="F41" s="10">
        <f>10*0.5</f>
        <v>5</v>
      </c>
      <c r="G41">
        <f t="shared" si="1"/>
        <v>10</v>
      </c>
      <c r="H41">
        <f t="shared" si="0"/>
        <v>3.9525691699604746</v>
      </c>
      <c r="I41" s="10"/>
    </row>
    <row r="42" spans="1:9" x14ac:dyDescent="0.3">
      <c r="A42" s="9">
        <v>4.8</v>
      </c>
      <c r="B42" s="155" t="s">
        <v>123</v>
      </c>
      <c r="C42" s="155"/>
      <c r="D42">
        <f>10*2*3</f>
        <v>60</v>
      </c>
      <c r="E42">
        <f>10*2*2</f>
        <v>40</v>
      </c>
      <c r="F42" s="10">
        <f>10*2*1</f>
        <v>20</v>
      </c>
      <c r="G42">
        <f t="shared" si="1"/>
        <v>40</v>
      </c>
      <c r="H42">
        <f t="shared" si="0"/>
        <v>15.810276679841898</v>
      </c>
      <c r="I42" s="10"/>
    </row>
    <row r="43" spans="1:9" x14ac:dyDescent="0.3">
      <c r="A43" s="9">
        <v>4.9000000000000004</v>
      </c>
      <c r="B43" s="155" t="s">
        <v>124</v>
      </c>
      <c r="C43" s="155"/>
      <c r="D43">
        <f>10*2</f>
        <v>20</v>
      </c>
      <c r="E43">
        <f>10*1</f>
        <v>10</v>
      </c>
      <c r="F43" s="10">
        <f>10*0.5</f>
        <v>5</v>
      </c>
      <c r="G43">
        <f t="shared" si="1"/>
        <v>12.066115702479339</v>
      </c>
      <c r="H43">
        <f t="shared" si="0"/>
        <v>5.9288537549407119</v>
      </c>
      <c r="I43" s="10"/>
    </row>
    <row r="44" spans="1:9" x14ac:dyDescent="0.3">
      <c r="A44" s="9">
        <v>4.1100000000000003</v>
      </c>
      <c r="B44" s="155" t="s">
        <v>125</v>
      </c>
      <c r="C44" s="155"/>
      <c r="D44">
        <f>10*2*2</f>
        <v>40</v>
      </c>
      <c r="E44">
        <f>10*2*1</f>
        <v>20</v>
      </c>
      <c r="F44" s="10">
        <f>10*2*0.5</f>
        <v>10</v>
      </c>
      <c r="G44">
        <f t="shared" si="1"/>
        <v>24.132231404958677</v>
      </c>
      <c r="H44">
        <f t="shared" si="0"/>
        <v>11.857707509881424</v>
      </c>
      <c r="I44" s="10"/>
    </row>
    <row r="45" spans="1:9" x14ac:dyDescent="0.3">
      <c r="A45" s="9">
        <v>4.12</v>
      </c>
      <c r="B45" s="155" t="s">
        <v>126</v>
      </c>
      <c r="C45" s="155"/>
      <c r="D45">
        <f>10*2*3</f>
        <v>60</v>
      </c>
      <c r="E45">
        <f>10*2*2</f>
        <v>40</v>
      </c>
      <c r="F45" s="10">
        <f>10*2*1</f>
        <v>20</v>
      </c>
      <c r="G45">
        <f t="shared" si="1"/>
        <v>40</v>
      </c>
      <c r="H45">
        <f t="shared" si="0"/>
        <v>15.810276679841898</v>
      </c>
      <c r="I45" s="10"/>
    </row>
    <row r="46" spans="1:9" x14ac:dyDescent="0.3">
      <c r="A46" s="9">
        <v>4.13</v>
      </c>
      <c r="B46" s="155" t="s">
        <v>127</v>
      </c>
      <c r="C46" s="155"/>
      <c r="D46">
        <f>10*10</f>
        <v>100</v>
      </c>
      <c r="E46">
        <f>10*7.5</f>
        <v>75</v>
      </c>
      <c r="F46" s="10">
        <f>10*5</f>
        <v>50</v>
      </c>
      <c r="G46">
        <f t="shared" si="1"/>
        <v>75</v>
      </c>
      <c r="H46">
        <f t="shared" si="0"/>
        <v>19.762845849802375</v>
      </c>
      <c r="I46" s="10"/>
    </row>
    <row r="47" spans="1:9" x14ac:dyDescent="0.3">
      <c r="A47" s="9">
        <v>4.1399999999999997</v>
      </c>
      <c r="B47" s="155" t="s">
        <v>128</v>
      </c>
      <c r="C47" s="155"/>
      <c r="D47">
        <f>10*2*2</f>
        <v>40</v>
      </c>
      <c r="E47">
        <f>10*2*1</f>
        <v>20</v>
      </c>
      <c r="F47" s="10">
        <f>10*2*0.5</f>
        <v>10</v>
      </c>
      <c r="G47">
        <f t="shared" si="1"/>
        <v>24.132231404958677</v>
      </c>
      <c r="H47">
        <f t="shared" si="0"/>
        <v>11.857707509881424</v>
      </c>
      <c r="I47" s="10"/>
    </row>
    <row r="48" spans="1:9" x14ac:dyDescent="0.3">
      <c r="A48" s="9">
        <v>4.1500000000000004</v>
      </c>
      <c r="B48" s="155" t="s">
        <v>129</v>
      </c>
      <c r="C48" s="155"/>
      <c r="D48">
        <f>10*2*3</f>
        <v>60</v>
      </c>
      <c r="E48">
        <f>10*2*2</f>
        <v>40</v>
      </c>
      <c r="F48" s="10">
        <f>10*2*1</f>
        <v>20</v>
      </c>
      <c r="G48">
        <f t="shared" si="1"/>
        <v>40</v>
      </c>
      <c r="H48">
        <f t="shared" si="0"/>
        <v>15.810276679841898</v>
      </c>
      <c r="I48" s="10"/>
    </row>
    <row r="49" spans="1:9" x14ac:dyDescent="0.3">
      <c r="A49" s="9"/>
      <c r="B49" t="s">
        <v>34</v>
      </c>
      <c r="D49">
        <f>SUM(D35:D48)</f>
        <v>730</v>
      </c>
      <c r="E49">
        <f>SUM(E35:E48)</f>
        <v>450</v>
      </c>
      <c r="F49">
        <f>SUM(F35:F48)</f>
        <v>270</v>
      </c>
      <c r="G49">
        <f>(F49+(0.42*E49)+D49)/2.42</f>
        <v>491.32231404958679</v>
      </c>
      <c r="I49" s="10">
        <f>Table22[[#This Row],[E]]-G41-G40-G36-G39</f>
        <v>385.4628099173554</v>
      </c>
    </row>
    <row r="50" spans="1:9" x14ac:dyDescent="0.3">
      <c r="A50" s="9"/>
      <c r="I50" s="10"/>
    </row>
    <row r="51" spans="1:9" s="145" customFormat="1" x14ac:dyDescent="0.3">
      <c r="A51" s="147"/>
      <c r="B51" s="148" t="s">
        <v>62</v>
      </c>
      <c r="C51" s="149"/>
      <c r="D51" s="150"/>
      <c r="E51" s="150"/>
      <c r="F51" s="150"/>
      <c r="G51" s="150"/>
      <c r="H51" s="150"/>
      <c r="I51" s="157"/>
    </row>
    <row r="52" spans="1:9" x14ac:dyDescent="0.3">
      <c r="A52" s="81">
        <v>5.0999999999999996</v>
      </c>
      <c r="B52" s="82" t="s">
        <v>63</v>
      </c>
      <c r="C52" s="83"/>
      <c r="D52" s="84"/>
      <c r="E52" s="84"/>
      <c r="F52" s="84"/>
      <c r="G52" s="84">
        <v>5</v>
      </c>
      <c r="H52" s="84">
        <v>0</v>
      </c>
      <c r="I52" s="193"/>
    </row>
    <row r="53" spans="1:9" x14ac:dyDescent="0.3">
      <c r="A53" s="31"/>
      <c r="B53" s="194" t="s">
        <v>34</v>
      </c>
      <c r="C53" s="195"/>
      <c r="D53" s="33"/>
      <c r="E53" s="33"/>
      <c r="F53" s="33"/>
      <c r="G53" s="33">
        <v>5</v>
      </c>
      <c r="H53" s="33"/>
      <c r="I53" s="34">
        <v>5</v>
      </c>
    </row>
  </sheetData>
  <mergeCells count="7">
    <mergeCell ref="F3:G3"/>
    <mergeCell ref="F4:G4"/>
    <mergeCell ref="F5:G5"/>
    <mergeCell ref="B1:D1"/>
    <mergeCell ref="A1:A2"/>
    <mergeCell ref="F1:G1"/>
    <mergeCell ref="F2:G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3EEA-5538-43B2-B226-3538D3887F56}">
  <dimension ref="A1:AI61"/>
  <sheetViews>
    <sheetView tabSelected="1" topLeftCell="W16" workbookViewId="0">
      <selection activeCell="AA35" sqref="AA35"/>
    </sheetView>
  </sheetViews>
  <sheetFormatPr baseColWidth="10" defaultColWidth="8.88671875" defaultRowHeight="14.4" x14ac:dyDescent="0.3"/>
  <cols>
    <col min="1" max="1" width="12.109375" bestFit="1" customWidth="1"/>
    <col min="2" max="2" width="9.5546875" bestFit="1" customWidth="1"/>
    <col min="15" max="15" width="12.109375" bestFit="1" customWidth="1"/>
    <col min="16" max="16" width="9.5546875" bestFit="1" customWidth="1"/>
    <col min="17" max="17" width="9.44140625" customWidth="1"/>
    <col min="29" max="29" width="12.109375" bestFit="1" customWidth="1"/>
    <col min="30" max="30" width="9.5546875" bestFit="1" customWidth="1"/>
  </cols>
  <sheetData>
    <row r="1" spans="1:33" x14ac:dyDescent="0.3">
      <c r="A1" s="221" t="s">
        <v>130</v>
      </c>
      <c r="B1" s="222"/>
      <c r="C1" s="223"/>
      <c r="O1" s="230" t="s">
        <v>131</v>
      </c>
      <c r="P1" s="231"/>
      <c r="Q1" s="232"/>
      <c r="AC1" s="230" t="s">
        <v>132</v>
      </c>
      <c r="AD1" s="231"/>
      <c r="AE1" s="232"/>
    </row>
    <row r="2" spans="1:33" x14ac:dyDescent="0.3">
      <c r="A2" s="224"/>
      <c r="B2" s="225"/>
      <c r="C2" s="226"/>
      <c r="O2" s="233"/>
      <c r="P2" s="234"/>
      <c r="Q2" s="235"/>
      <c r="AC2" s="233"/>
      <c r="AD2" s="234"/>
      <c r="AE2" s="235"/>
    </row>
    <row r="3" spans="1:33" x14ac:dyDescent="0.3">
      <c r="A3" s="227" t="s">
        <v>133</v>
      </c>
      <c r="B3" s="228"/>
      <c r="C3" s="229"/>
      <c r="O3" s="236" t="s">
        <v>133</v>
      </c>
      <c r="P3" s="237"/>
      <c r="Q3" s="238"/>
      <c r="AC3" s="236" t="s">
        <v>133</v>
      </c>
      <c r="AD3" s="237"/>
      <c r="AE3" s="238"/>
    </row>
    <row r="5" spans="1:33" x14ac:dyDescent="0.3">
      <c r="A5" s="85" t="s">
        <v>134</v>
      </c>
      <c r="B5" s="86" t="s">
        <v>135</v>
      </c>
      <c r="O5" s="85" t="s">
        <v>136</v>
      </c>
      <c r="P5" s="86" t="s">
        <v>67</v>
      </c>
      <c r="AC5" s="85" t="s">
        <v>136</v>
      </c>
      <c r="AD5" s="86" t="s">
        <v>67</v>
      </c>
    </row>
    <row r="6" spans="1:33" x14ac:dyDescent="0.3">
      <c r="A6" s="96">
        <f>'3x Estimat VW'!H2</f>
        <v>68.609917355371891</v>
      </c>
      <c r="B6" s="69">
        <f>'3x Estimat VW'!I2</f>
        <v>6.6764497783782097</v>
      </c>
      <c r="O6" s="96">
        <f>'3x estimate Hy'!H2</f>
        <v>517.7190082644629</v>
      </c>
      <c r="P6" s="69">
        <f>'3x estimate Hy'!I2</f>
        <v>59.884292708337419</v>
      </c>
      <c r="AC6" s="96">
        <f>'3x estimate Outlander'!H2</f>
        <v>218.63388429752069</v>
      </c>
      <c r="AD6" s="69">
        <f>'3x estimate Outlander'!I2</f>
        <v>27.913954647559184</v>
      </c>
    </row>
    <row r="8" spans="1:33" x14ac:dyDescent="0.3">
      <c r="A8" s="90" t="s">
        <v>137</v>
      </c>
      <c r="B8" s="90" t="s">
        <v>138</v>
      </c>
      <c r="O8" s="92" t="s">
        <v>139</v>
      </c>
      <c r="P8" s="93" t="s">
        <v>138</v>
      </c>
      <c r="AC8" s="92" t="s">
        <v>139</v>
      </c>
      <c r="AD8" s="93" t="s">
        <v>138</v>
      </c>
    </row>
    <row r="9" spans="1:33" x14ac:dyDescent="0.3">
      <c r="A9" s="85" t="s">
        <v>140</v>
      </c>
      <c r="B9" s="86" t="s">
        <v>141</v>
      </c>
      <c r="D9" s="85" t="s">
        <v>142</v>
      </c>
      <c r="E9" s="86" t="s">
        <v>138</v>
      </c>
      <c r="O9" s="85" t="s">
        <v>140</v>
      </c>
      <c r="P9" s="86" t="s">
        <v>141</v>
      </c>
      <c r="R9" s="85" t="s">
        <v>142</v>
      </c>
      <c r="S9" s="86" t="s">
        <v>138</v>
      </c>
      <c r="AC9" s="3" t="s">
        <v>140</v>
      </c>
      <c r="AD9" s="91" t="s">
        <v>141</v>
      </c>
      <c r="AF9" s="85" t="s">
        <v>142</v>
      </c>
      <c r="AG9" s="86" t="s">
        <v>138</v>
      </c>
    </row>
    <row r="10" spans="1:33" x14ac:dyDescent="0.3">
      <c r="A10" s="95">
        <f t="shared" ref="A10:A41" si="0">NORMINV(B10, $A$6,$B$6)</f>
        <v>43.780090565266406</v>
      </c>
      <c r="B10" s="87">
        <v>1E-4</v>
      </c>
      <c r="D10" s="95">
        <f>_xlfn.NORM.INV(0.9,$A$6,$B$6)</f>
        <v>77.166132021132384</v>
      </c>
      <c r="E10" s="87">
        <v>0</v>
      </c>
      <c r="O10" s="94">
        <f t="shared" ref="O10:O41" si="1">NORMINV(P10, $O$6,$P$6)</f>
        <v>295.00833646230268</v>
      </c>
      <c r="P10" s="89">
        <v>1E-4</v>
      </c>
      <c r="R10" s="95">
        <f>_xlfn.NORM.INV(0.9,O6,P6)</f>
        <v>594.46381733636383</v>
      </c>
      <c r="S10" s="87">
        <v>0</v>
      </c>
      <c r="AC10" s="94">
        <f t="shared" ref="AC10:AC41" si="2">NORMINV(AD10, $AC$6,$AD$6)</f>
        <v>114.82142678898589</v>
      </c>
      <c r="AD10" s="89">
        <v>1E-4</v>
      </c>
      <c r="AF10" s="95">
        <f>_xlfn.NORM.INV(0.9,AC6,AD6)</f>
        <v>254.40705657664114</v>
      </c>
      <c r="AG10" s="87">
        <v>0</v>
      </c>
    </row>
    <row r="11" spans="1:33" x14ac:dyDescent="0.3">
      <c r="A11" s="95">
        <f t="shared" si="0"/>
        <v>46.640880888155259</v>
      </c>
      <c r="B11" s="87">
        <v>5.0000000000000001E-4</v>
      </c>
      <c r="D11" s="95">
        <f>D10</f>
        <v>77.166132021132384</v>
      </c>
      <c r="E11" s="87">
        <v>0.9</v>
      </c>
      <c r="O11" s="95">
        <f t="shared" si="1"/>
        <v>320.66814231119349</v>
      </c>
      <c r="P11" s="87">
        <v>5.0000000000000001E-4</v>
      </c>
      <c r="R11" s="95">
        <f>R10</f>
        <v>594.46381733636383</v>
      </c>
      <c r="S11" s="87">
        <v>0.9</v>
      </c>
      <c r="AC11" s="95">
        <f t="shared" si="2"/>
        <v>126.7822703480748</v>
      </c>
      <c r="AD11" s="87">
        <v>5.0000000000000001E-4</v>
      </c>
      <c r="AF11" s="95">
        <f>AF10</f>
        <v>254.40705657664114</v>
      </c>
      <c r="AG11" s="87">
        <v>0.9</v>
      </c>
    </row>
    <row r="12" spans="1:33" x14ac:dyDescent="0.3">
      <c r="A12" s="95">
        <f t="shared" si="0"/>
        <v>47.97813655972061</v>
      </c>
      <c r="B12" s="87">
        <v>1E-3</v>
      </c>
      <c r="D12" s="96">
        <f>MIN($A$10,$A$61)</f>
        <v>43.780090565266406</v>
      </c>
      <c r="E12" s="88">
        <v>0.9</v>
      </c>
      <c r="O12" s="95">
        <f t="shared" si="1"/>
        <v>332.66263230514903</v>
      </c>
      <c r="P12" s="87">
        <v>1E-3</v>
      </c>
      <c r="R12" s="96">
        <f>MIN(O10,O61)</f>
        <v>295.00833646230268</v>
      </c>
      <c r="S12" s="88">
        <v>0.9</v>
      </c>
      <c r="AC12" s="95">
        <f t="shared" si="2"/>
        <v>132.37327985273015</v>
      </c>
      <c r="AD12" s="87">
        <v>1E-3</v>
      </c>
      <c r="AF12" s="96">
        <f>MIN(AC10,AC61)</f>
        <v>114.82142678898589</v>
      </c>
      <c r="AG12" s="88">
        <v>0.9</v>
      </c>
    </row>
    <row r="13" spans="1:33" x14ac:dyDescent="0.3">
      <c r="A13" s="95">
        <f t="shared" si="0"/>
        <v>49.868897374812747</v>
      </c>
      <c r="B13" s="87">
        <v>2.5000000000000001E-3</v>
      </c>
      <c r="O13" s="95">
        <f t="shared" si="1"/>
        <v>349.6217764387751</v>
      </c>
      <c r="P13" s="87">
        <v>2.5000000000000001E-3</v>
      </c>
      <c r="AC13" s="95">
        <f t="shared" si="2"/>
        <v>140.2784709938046</v>
      </c>
      <c r="AD13" s="87">
        <v>2.5000000000000001E-3</v>
      </c>
    </row>
    <row r="14" spans="1:33" x14ac:dyDescent="0.3">
      <c r="A14" s="95">
        <f t="shared" si="0"/>
        <v>53.078172607301298</v>
      </c>
      <c r="B14" s="87">
        <v>0.01</v>
      </c>
      <c r="D14" s="85" t="s">
        <v>143</v>
      </c>
      <c r="E14" s="86" t="s">
        <v>138</v>
      </c>
      <c r="O14" s="95">
        <f t="shared" si="1"/>
        <v>378.40731123398268</v>
      </c>
      <c r="P14" s="87">
        <v>0.01</v>
      </c>
      <c r="R14" s="85" t="s">
        <v>142</v>
      </c>
      <c r="S14" s="86" t="s">
        <v>138</v>
      </c>
      <c r="AC14" s="95">
        <f t="shared" si="2"/>
        <v>153.69631524709894</v>
      </c>
      <c r="AD14" s="87">
        <v>0.01</v>
      </c>
      <c r="AF14" s="85" t="s">
        <v>143</v>
      </c>
      <c r="AG14" s="86" t="s">
        <v>138</v>
      </c>
    </row>
    <row r="15" spans="1:33" x14ac:dyDescent="0.3">
      <c r="A15" s="95">
        <f t="shared" si="0"/>
        <v>55.524316245160179</v>
      </c>
      <c r="B15" s="87">
        <v>2.5000000000000001E-2</v>
      </c>
      <c r="D15" s="95">
        <f>A6</f>
        <v>68.609917355371891</v>
      </c>
      <c r="E15" s="87">
        <v>0</v>
      </c>
      <c r="O15" s="95">
        <f t="shared" si="1"/>
        <v>400.347951316467</v>
      </c>
      <c r="P15" s="87">
        <v>2.5000000000000001E-2</v>
      </c>
      <c r="R15" s="95">
        <f>O6</f>
        <v>517.7190082644629</v>
      </c>
      <c r="S15" s="87">
        <v>0</v>
      </c>
      <c r="AC15" s="95">
        <f t="shared" si="2"/>
        <v>163.92353852222024</v>
      </c>
      <c r="AD15" s="87">
        <v>2.5000000000000001E-2</v>
      </c>
      <c r="AF15" s="95">
        <f>AC6</f>
        <v>218.63388429752069</v>
      </c>
      <c r="AG15" s="87">
        <v>0</v>
      </c>
    </row>
    <row r="16" spans="1:33" x14ac:dyDescent="0.3">
      <c r="A16" s="95">
        <f t="shared" si="0"/>
        <v>57.62813472224714</v>
      </c>
      <c r="B16" s="87">
        <v>0.05</v>
      </c>
      <c r="D16" s="95">
        <f>A6</f>
        <v>68.609917355371891</v>
      </c>
      <c r="E16" s="87">
        <v>0.5</v>
      </c>
      <c r="O16" s="95">
        <f t="shared" si="1"/>
        <v>419.21811220573045</v>
      </c>
      <c r="P16" s="87">
        <v>0.05</v>
      </c>
      <c r="R16" s="95">
        <f>R15</f>
        <v>517.7190082644629</v>
      </c>
      <c r="S16" s="87">
        <v>0.5</v>
      </c>
      <c r="AC16" s="95">
        <f t="shared" si="2"/>
        <v>172.71951475292406</v>
      </c>
      <c r="AD16" s="87">
        <v>0.05</v>
      </c>
      <c r="AF16" s="95">
        <f>AF15</f>
        <v>218.63388429752069</v>
      </c>
      <c r="AG16" s="87">
        <v>0.5</v>
      </c>
    </row>
    <row r="17" spans="1:35" x14ac:dyDescent="0.3">
      <c r="A17" s="95">
        <f t="shared" si="0"/>
        <v>58.998957785256373</v>
      </c>
      <c r="B17" s="87">
        <v>7.5000000000000011E-2</v>
      </c>
      <c r="D17" s="96">
        <f>A10</f>
        <v>43.780090565266406</v>
      </c>
      <c r="E17" s="88">
        <v>0.5</v>
      </c>
      <c r="O17" s="95">
        <f t="shared" si="1"/>
        <v>431.51368429592083</v>
      </c>
      <c r="P17" s="87">
        <v>7.5000000000000011E-2</v>
      </c>
      <c r="R17" s="96">
        <f>O10</f>
        <v>295.00833646230268</v>
      </c>
      <c r="S17" s="88">
        <v>0.5</v>
      </c>
      <c r="AC17" s="95">
        <f t="shared" si="2"/>
        <v>178.45086810401045</v>
      </c>
      <c r="AD17" s="87">
        <v>7.5000000000000011E-2</v>
      </c>
      <c r="AF17" s="96">
        <f>AC10</f>
        <v>114.82142678898589</v>
      </c>
      <c r="AG17" s="88">
        <v>0.5</v>
      </c>
    </row>
    <row r="18" spans="1:35" x14ac:dyDescent="0.3">
      <c r="A18" s="95">
        <f t="shared" si="0"/>
        <v>60.053702689611399</v>
      </c>
      <c r="B18" s="87">
        <v>0.1</v>
      </c>
      <c r="O18" s="95">
        <f t="shared" si="1"/>
        <v>440.97419919256197</v>
      </c>
      <c r="P18" s="87">
        <v>0.1</v>
      </c>
      <c r="AC18" s="95">
        <f t="shared" si="2"/>
        <v>182.86071201840025</v>
      </c>
      <c r="AD18" s="87">
        <v>0.1</v>
      </c>
    </row>
    <row r="19" spans="1:35" x14ac:dyDescent="0.3">
      <c r="A19" s="95">
        <f t="shared" si="0"/>
        <v>60.929667489702979</v>
      </c>
      <c r="B19" s="87">
        <v>0.125</v>
      </c>
      <c r="G19" t="s">
        <v>144</v>
      </c>
      <c r="O19" s="95">
        <f t="shared" si="1"/>
        <v>448.83114925317142</v>
      </c>
      <c r="P19" s="87">
        <v>0.125</v>
      </c>
      <c r="U19" t="s">
        <v>144</v>
      </c>
      <c r="AC19" s="95">
        <f t="shared" si="2"/>
        <v>186.523083864857</v>
      </c>
      <c r="AD19" s="87">
        <v>0.125</v>
      </c>
      <c r="AI19" t="s">
        <v>144</v>
      </c>
    </row>
    <row r="20" spans="1:35" x14ac:dyDescent="0.3">
      <c r="A20" s="95">
        <f t="shared" si="0"/>
        <v>61.6902218817823</v>
      </c>
      <c r="B20" s="87">
        <v>0.15000000000000002</v>
      </c>
      <c r="O20" s="95">
        <f t="shared" si="1"/>
        <v>455.65292779532251</v>
      </c>
      <c r="P20" s="87">
        <v>0.15000000000000002</v>
      </c>
      <c r="AC20" s="95">
        <f t="shared" si="2"/>
        <v>189.70292966797501</v>
      </c>
      <c r="AD20" s="87">
        <v>0.15000000000000002</v>
      </c>
    </row>
    <row r="21" spans="1:35" x14ac:dyDescent="0.3">
      <c r="A21" s="95">
        <f t="shared" si="0"/>
        <v>62.370178890109706</v>
      </c>
      <c r="B21" s="87">
        <v>0.17500000000000002</v>
      </c>
      <c r="O21" s="95">
        <f t="shared" si="1"/>
        <v>461.75178959574106</v>
      </c>
      <c r="P21" s="87">
        <v>0.17500000000000002</v>
      </c>
      <c r="AC21" s="95">
        <f t="shared" si="2"/>
        <v>192.54580121240107</v>
      </c>
      <c r="AD21" s="87">
        <v>0.17500000000000002</v>
      </c>
    </row>
    <row r="22" spans="1:35" x14ac:dyDescent="0.3">
      <c r="A22" s="95">
        <f t="shared" si="0"/>
        <v>62.990875457005615</v>
      </c>
      <c r="B22" s="87">
        <v>0.2</v>
      </c>
      <c r="O22" s="95">
        <f t="shared" si="1"/>
        <v>467.31911596363045</v>
      </c>
      <c r="P22" s="87">
        <v>0.2</v>
      </c>
      <c r="AC22" s="95">
        <f t="shared" si="2"/>
        <v>195.14090735314355</v>
      </c>
      <c r="AD22" s="87">
        <v>0.2</v>
      </c>
    </row>
    <row r="23" spans="1:35" x14ac:dyDescent="0.3">
      <c r="A23" s="95">
        <f t="shared" si="0"/>
        <v>63.566426870043969</v>
      </c>
      <c r="B23" s="87">
        <v>0.22500000000000001</v>
      </c>
      <c r="O23" s="95">
        <f t="shared" si="1"/>
        <v>472.48151370961614</v>
      </c>
      <c r="P23" s="87">
        <v>0.22500000000000001</v>
      </c>
      <c r="AC23" s="95">
        <f t="shared" si="2"/>
        <v>197.54726351160983</v>
      </c>
      <c r="AD23" s="87">
        <v>0.22500000000000001</v>
      </c>
    </row>
    <row r="24" spans="1:35" x14ac:dyDescent="0.3">
      <c r="A24" s="95">
        <f t="shared" si="0"/>
        <v>64.106720412156889</v>
      </c>
      <c r="B24" s="87">
        <v>0.25</v>
      </c>
      <c r="O24" s="95">
        <f t="shared" si="1"/>
        <v>477.32766663494732</v>
      </c>
      <c r="P24" s="87">
        <v>0.25</v>
      </c>
      <c r="AC24" s="95">
        <f t="shared" si="2"/>
        <v>199.80620800030374</v>
      </c>
      <c r="AD24" s="87">
        <v>0.25</v>
      </c>
    </row>
    <row r="25" spans="1:35" x14ac:dyDescent="0.3">
      <c r="A25" s="95">
        <f t="shared" si="0"/>
        <v>64.619001894332257</v>
      </c>
      <c r="B25" s="87">
        <v>0.27500000000000002</v>
      </c>
      <c r="O25" s="95">
        <f t="shared" si="1"/>
        <v>481.92256590716244</v>
      </c>
      <c r="P25" s="87">
        <v>0.27500000000000002</v>
      </c>
      <c r="AC25" s="95">
        <f t="shared" si="2"/>
        <v>201.94803524905169</v>
      </c>
      <c r="AD25" s="87">
        <v>0.27500000000000002</v>
      </c>
    </row>
    <row r="26" spans="1:35" x14ac:dyDescent="0.3">
      <c r="A26" s="95">
        <f t="shared" si="0"/>
        <v>65.108783668520871</v>
      </c>
      <c r="B26" s="87">
        <v>0.30000000000000004</v>
      </c>
      <c r="O26" s="95">
        <f t="shared" si="1"/>
        <v>486.31565446505238</v>
      </c>
      <c r="P26" s="87">
        <v>0.30000000000000004</v>
      </c>
      <c r="AC26" s="95">
        <f t="shared" si="2"/>
        <v>203.99579216863165</v>
      </c>
      <c r="AD26" s="87">
        <v>0.30000000000000004</v>
      </c>
    </row>
    <row r="27" spans="1:35" x14ac:dyDescent="0.3">
      <c r="A27" s="95">
        <f t="shared" si="0"/>
        <v>65.58039688137579</v>
      </c>
      <c r="B27" s="87">
        <v>0.32500000000000001</v>
      </c>
      <c r="O27" s="95">
        <f t="shared" si="1"/>
        <v>490.54578044835358</v>
      </c>
      <c r="P27" s="87">
        <v>0.32500000000000001</v>
      </c>
      <c r="AC27" s="95">
        <f t="shared" si="2"/>
        <v>205.96758710034155</v>
      </c>
      <c r="AD27" s="87">
        <v>0.32500000000000001</v>
      </c>
    </row>
    <row r="28" spans="1:35" x14ac:dyDescent="0.3">
      <c r="A28" s="95">
        <f t="shared" si="0"/>
        <v>66.037344612820505</v>
      </c>
      <c r="B28" s="87">
        <v>0.35000000000000003</v>
      </c>
      <c r="O28" s="95">
        <f t="shared" si="1"/>
        <v>494.64436466759901</v>
      </c>
      <c r="P28" s="87">
        <v>0.35000000000000003</v>
      </c>
      <c r="AC28" s="95">
        <f t="shared" si="2"/>
        <v>207.87806627344349</v>
      </c>
      <c r="AD28" s="87">
        <v>0.35000000000000003</v>
      </c>
    </row>
    <row r="29" spans="1:35" x14ac:dyDescent="0.3">
      <c r="A29" s="95">
        <f t="shared" si="0"/>
        <v>66.482537644449366</v>
      </c>
      <c r="B29" s="87">
        <v>0.375</v>
      </c>
      <c r="O29" s="95">
        <f t="shared" si="1"/>
        <v>498.63751532442177</v>
      </c>
      <c r="P29" s="87">
        <v>0.375</v>
      </c>
      <c r="AC29" s="95">
        <f t="shared" si="2"/>
        <v>209.73939954289202</v>
      </c>
      <c r="AD29" s="87">
        <v>0.375</v>
      </c>
    </row>
    <row r="30" spans="1:35" x14ac:dyDescent="0.3">
      <c r="A30" s="95">
        <f t="shared" si="0"/>
        <v>66.918458144788119</v>
      </c>
      <c r="B30" s="87">
        <v>0.4</v>
      </c>
      <c r="O30" s="95">
        <f t="shared" si="1"/>
        <v>502.54749618346932</v>
      </c>
      <c r="P30" s="87">
        <v>0.4</v>
      </c>
      <c r="AC30" s="95">
        <f t="shared" si="2"/>
        <v>211.56196475049748</v>
      </c>
      <c r="AD30" s="87">
        <v>0.4</v>
      </c>
    </row>
    <row r="31" spans="1:35" x14ac:dyDescent="0.3">
      <c r="A31" s="95">
        <f t="shared" si="0"/>
        <v>67.347277680195674</v>
      </c>
      <c r="B31" s="87">
        <v>0.42500000000000004</v>
      </c>
      <c r="O31" s="95">
        <f t="shared" si="1"/>
        <v>506.39378506900289</v>
      </c>
      <c r="P31" s="87">
        <v>0.42500000000000004</v>
      </c>
      <c r="AC31" s="95">
        <f t="shared" si="2"/>
        <v>213.35484112352421</v>
      </c>
      <c r="AD31" s="87">
        <v>0.42500000000000004</v>
      </c>
    </row>
    <row r="32" spans="1:35" x14ac:dyDescent="0.3">
      <c r="A32" s="95">
        <f t="shared" si="0"/>
        <v>67.770945684010627</v>
      </c>
      <c r="B32" s="87">
        <v>0.45</v>
      </c>
      <c r="O32" s="95">
        <f t="shared" si="1"/>
        <v>510.19386738726973</v>
      </c>
      <c r="P32" s="87">
        <v>0.45</v>
      </c>
      <c r="AC32" s="95">
        <f t="shared" si="2"/>
        <v>215.12617916045696</v>
      </c>
      <c r="AD32" s="87">
        <v>0.45</v>
      </c>
    </row>
    <row r="33" spans="1:30" x14ac:dyDescent="0.3">
      <c r="A33" s="95">
        <f t="shared" si="0"/>
        <v>68.191258701670108</v>
      </c>
      <c r="B33" s="87">
        <v>0.47500000000000003</v>
      </c>
      <c r="O33" s="95">
        <f t="shared" si="1"/>
        <v>513.96385721931472</v>
      </c>
      <c r="P33" s="87">
        <v>0.47500000000000003</v>
      </c>
      <c r="AC33" s="95">
        <f t="shared" si="2"/>
        <v>216.88349014191925</v>
      </c>
      <c r="AD33" s="87">
        <v>0.47500000000000003</v>
      </c>
    </row>
    <row r="34" spans="1:30" x14ac:dyDescent="0.3">
      <c r="A34" s="95">
        <f t="shared" si="0"/>
        <v>68.609917355371891</v>
      </c>
      <c r="B34" s="87">
        <v>0.5</v>
      </c>
      <c r="O34" s="95">
        <f t="shared" si="1"/>
        <v>517.7190082644629</v>
      </c>
      <c r="P34" s="87">
        <v>0.5</v>
      </c>
      <c r="AC34" s="95">
        <f t="shared" si="2"/>
        <v>218.63388429752069</v>
      </c>
      <c r="AD34" s="87">
        <v>0.5</v>
      </c>
    </row>
    <row r="35" spans="1:30" x14ac:dyDescent="0.3">
      <c r="A35" s="95">
        <f t="shared" si="0"/>
        <v>69.028576009073674</v>
      </c>
      <c r="B35" s="87">
        <v>0.52500000000000002</v>
      </c>
      <c r="O35" s="95">
        <f t="shared" si="1"/>
        <v>521.47415930961108</v>
      </c>
      <c r="P35" s="87">
        <v>0.52500000000000002</v>
      </c>
      <c r="AC35" s="95">
        <f t="shared" si="2"/>
        <v>220.38427845312214</v>
      </c>
      <c r="AD35" s="87">
        <v>0.52500000000000002</v>
      </c>
    </row>
    <row r="36" spans="1:30" x14ac:dyDescent="0.3">
      <c r="A36" s="95">
        <f t="shared" si="0"/>
        <v>69.448889026733156</v>
      </c>
      <c r="B36" s="87">
        <v>0.55000000000000004</v>
      </c>
      <c r="O36" s="95">
        <f t="shared" si="1"/>
        <v>525.24414914165607</v>
      </c>
      <c r="P36" s="87">
        <v>0.55000000000000004</v>
      </c>
      <c r="AC36" s="95">
        <f t="shared" si="2"/>
        <v>222.14158943458443</v>
      </c>
      <c r="AD36" s="87">
        <v>0.55000000000000004</v>
      </c>
    </row>
    <row r="37" spans="1:30" x14ac:dyDescent="0.3">
      <c r="A37" s="95">
        <f t="shared" si="0"/>
        <v>69.872557030548109</v>
      </c>
      <c r="B37" s="87">
        <v>0.57500000000000007</v>
      </c>
      <c r="O37" s="95">
        <f t="shared" si="1"/>
        <v>529.04423145992291</v>
      </c>
      <c r="P37" s="87">
        <v>0.57500000000000007</v>
      </c>
      <c r="AC37" s="95">
        <f t="shared" si="2"/>
        <v>223.91292747151721</v>
      </c>
      <c r="AD37" s="87">
        <v>0.57500000000000007</v>
      </c>
    </row>
    <row r="38" spans="1:30" x14ac:dyDescent="0.3">
      <c r="A38" s="95">
        <f t="shared" si="0"/>
        <v>70.301376565955664</v>
      </c>
      <c r="B38" s="87">
        <v>0.60000000000000009</v>
      </c>
      <c r="O38" s="95">
        <f t="shared" si="1"/>
        <v>532.89052034545648</v>
      </c>
      <c r="P38" s="87">
        <v>0.60000000000000009</v>
      </c>
      <c r="AC38" s="95">
        <f t="shared" si="2"/>
        <v>225.70580384454391</v>
      </c>
      <c r="AD38" s="87">
        <v>0.60000000000000009</v>
      </c>
    </row>
    <row r="39" spans="1:30" x14ac:dyDescent="0.3">
      <c r="A39" s="95">
        <f t="shared" si="0"/>
        <v>70.737297066294417</v>
      </c>
      <c r="B39" s="87">
        <v>0.625</v>
      </c>
      <c r="O39" s="95">
        <f t="shared" si="1"/>
        <v>536.80050120450403</v>
      </c>
      <c r="P39" s="87">
        <v>0.625</v>
      </c>
      <c r="AC39" s="95">
        <f t="shared" si="2"/>
        <v>227.52836905214937</v>
      </c>
      <c r="AD39" s="87">
        <v>0.625</v>
      </c>
    </row>
    <row r="40" spans="1:30" x14ac:dyDescent="0.3">
      <c r="A40" s="95">
        <f t="shared" si="0"/>
        <v>71.182490097923292</v>
      </c>
      <c r="B40" s="87">
        <v>0.65</v>
      </c>
      <c r="O40" s="95">
        <f t="shared" si="1"/>
        <v>540.79365186132679</v>
      </c>
      <c r="P40" s="87">
        <v>0.65</v>
      </c>
      <c r="AC40" s="95">
        <f t="shared" si="2"/>
        <v>229.38970232159789</v>
      </c>
      <c r="AD40" s="87">
        <v>0.65</v>
      </c>
    </row>
    <row r="41" spans="1:30" x14ac:dyDescent="0.3">
      <c r="A41" s="95">
        <f t="shared" si="0"/>
        <v>71.639437829367992</v>
      </c>
      <c r="B41" s="87">
        <v>0.67500000000000004</v>
      </c>
      <c r="O41" s="95">
        <f t="shared" si="1"/>
        <v>544.89223608057227</v>
      </c>
      <c r="P41" s="87">
        <v>0.67500000000000004</v>
      </c>
      <c r="AC41" s="95">
        <f t="shared" si="2"/>
        <v>231.30018149469984</v>
      </c>
      <c r="AD41" s="87">
        <v>0.67500000000000004</v>
      </c>
    </row>
    <row r="42" spans="1:30" x14ac:dyDescent="0.3">
      <c r="A42" s="95">
        <f t="shared" ref="A42:A61" si="3">NORMINV(B42, $A$6,$B$6)</f>
        <v>72.111051042222911</v>
      </c>
      <c r="B42" s="87">
        <v>0.70000000000000007</v>
      </c>
      <c r="O42" s="95">
        <f t="shared" ref="O42:O61" si="4">NORMINV(P42, $O$6,$P$6)</f>
        <v>549.12236206387342</v>
      </c>
      <c r="P42" s="87">
        <v>0.70000000000000007</v>
      </c>
      <c r="AC42" s="95">
        <f t="shared" ref="AC42:AC61" si="5">NORMINV(AD42, $AC$6,$AD$6)</f>
        <v>233.27197642640974</v>
      </c>
      <c r="AD42" s="87">
        <v>0.70000000000000007</v>
      </c>
    </row>
    <row r="43" spans="1:30" x14ac:dyDescent="0.3">
      <c r="A43" s="95">
        <f t="shared" si="3"/>
        <v>72.600832816411526</v>
      </c>
      <c r="B43" s="87">
        <v>0.72500000000000009</v>
      </c>
      <c r="O43" s="95">
        <f t="shared" si="4"/>
        <v>553.51545062176331</v>
      </c>
      <c r="P43" s="87">
        <v>0.72500000000000009</v>
      </c>
      <c r="AC43" s="95">
        <f t="shared" si="5"/>
        <v>235.3197333459897</v>
      </c>
      <c r="AD43" s="87">
        <v>0.72500000000000009</v>
      </c>
    </row>
    <row r="44" spans="1:30" x14ac:dyDescent="0.3">
      <c r="A44" s="95">
        <f t="shared" si="3"/>
        <v>73.113114298586893</v>
      </c>
      <c r="B44" s="87">
        <v>0.75</v>
      </c>
      <c r="O44" s="95">
        <f t="shared" si="4"/>
        <v>558.11034989397842</v>
      </c>
      <c r="P44" s="87">
        <v>0.75</v>
      </c>
      <c r="AC44" s="95">
        <f t="shared" si="5"/>
        <v>237.46156059473765</v>
      </c>
      <c r="AD44" s="87">
        <v>0.75</v>
      </c>
    </row>
    <row r="45" spans="1:30" x14ac:dyDescent="0.3">
      <c r="A45" s="95">
        <f t="shared" si="3"/>
        <v>73.653407840699813</v>
      </c>
      <c r="B45" s="87">
        <v>0.77500000000000002</v>
      </c>
      <c r="O45" s="95">
        <f t="shared" si="4"/>
        <v>562.95650281930966</v>
      </c>
      <c r="P45" s="87">
        <v>0.77500000000000002</v>
      </c>
      <c r="AC45" s="95">
        <f t="shared" si="5"/>
        <v>239.72050508343156</v>
      </c>
      <c r="AD45" s="87">
        <v>0.77500000000000002</v>
      </c>
    </row>
    <row r="46" spans="1:30" x14ac:dyDescent="0.3">
      <c r="A46" s="95">
        <f t="shared" si="3"/>
        <v>74.228959253738168</v>
      </c>
      <c r="B46" s="87">
        <v>0.8</v>
      </c>
      <c r="O46" s="95">
        <f t="shared" si="4"/>
        <v>568.11890056529535</v>
      </c>
      <c r="P46" s="87">
        <v>0.8</v>
      </c>
      <c r="AC46" s="95">
        <f t="shared" si="5"/>
        <v>242.12686124189784</v>
      </c>
      <c r="AD46" s="87">
        <v>0.8</v>
      </c>
    </row>
    <row r="47" spans="1:30" x14ac:dyDescent="0.3">
      <c r="A47" s="95">
        <f t="shared" si="3"/>
        <v>74.849655820634084</v>
      </c>
      <c r="B47" s="87">
        <v>0.82500000000000007</v>
      </c>
      <c r="O47" s="95">
        <f t="shared" si="4"/>
        <v>573.6862269331848</v>
      </c>
      <c r="P47" s="87">
        <v>0.82500000000000007</v>
      </c>
      <c r="AC47" s="95">
        <f t="shared" si="5"/>
        <v>244.72196738264032</v>
      </c>
      <c r="AD47" s="87">
        <v>0.82500000000000007</v>
      </c>
    </row>
    <row r="48" spans="1:30" x14ac:dyDescent="0.3">
      <c r="A48" s="95">
        <f t="shared" si="3"/>
        <v>75.529612828961461</v>
      </c>
      <c r="B48" s="87">
        <v>0.85000000000000009</v>
      </c>
      <c r="O48" s="95">
        <f t="shared" si="4"/>
        <v>579.78508873360317</v>
      </c>
      <c r="P48" s="87">
        <v>0.85000000000000009</v>
      </c>
      <c r="AC48" s="95">
        <f t="shared" si="5"/>
        <v>247.56483892706632</v>
      </c>
      <c r="AD48" s="87">
        <v>0.85000000000000009</v>
      </c>
    </row>
    <row r="49" spans="1:30" x14ac:dyDescent="0.3">
      <c r="A49" s="95">
        <f t="shared" si="3"/>
        <v>76.290167221040804</v>
      </c>
      <c r="B49" s="87">
        <v>0.875</v>
      </c>
      <c r="O49" s="95">
        <f t="shared" si="4"/>
        <v>586.60686727575433</v>
      </c>
      <c r="P49" s="87">
        <v>0.875</v>
      </c>
      <c r="AC49" s="95">
        <f t="shared" si="5"/>
        <v>250.74468473018439</v>
      </c>
      <c r="AD49" s="87">
        <v>0.875</v>
      </c>
    </row>
    <row r="50" spans="1:30" x14ac:dyDescent="0.3">
      <c r="A50" s="95">
        <f t="shared" si="3"/>
        <v>77.166132021132384</v>
      </c>
      <c r="B50" s="87">
        <v>0.9</v>
      </c>
      <c r="O50" s="95">
        <f t="shared" si="4"/>
        <v>594.46381733636383</v>
      </c>
      <c r="P50" s="87">
        <v>0.9</v>
      </c>
      <c r="AC50" s="95">
        <f t="shared" si="5"/>
        <v>254.40705657664114</v>
      </c>
      <c r="AD50" s="87">
        <v>0.9</v>
      </c>
    </row>
    <row r="51" spans="1:30" x14ac:dyDescent="0.3">
      <c r="A51" s="95">
        <f t="shared" si="3"/>
        <v>77.561401002912405</v>
      </c>
      <c r="B51" s="87">
        <v>0.91</v>
      </c>
      <c r="O51" s="95">
        <f t="shared" si="4"/>
        <v>598.00917515214462</v>
      </c>
      <c r="P51" s="87">
        <v>0.91</v>
      </c>
      <c r="AC51" s="95">
        <f t="shared" si="5"/>
        <v>256.05965950143604</v>
      </c>
      <c r="AD51" s="87">
        <v>0.91</v>
      </c>
    </row>
    <row r="52" spans="1:30" x14ac:dyDescent="0.3">
      <c r="A52" s="95">
        <f t="shared" si="3"/>
        <v>77.990807062806667</v>
      </c>
      <c r="B52" s="87">
        <v>0.92</v>
      </c>
      <c r="O52" s="95">
        <f t="shared" si="4"/>
        <v>601.86072485820534</v>
      </c>
      <c r="P52" s="87">
        <v>0.92</v>
      </c>
      <c r="AC52" s="95">
        <f t="shared" si="5"/>
        <v>257.85498810857899</v>
      </c>
      <c r="AD52" s="87">
        <v>0.92</v>
      </c>
    </row>
    <row r="53" spans="1:30" x14ac:dyDescent="0.3">
      <c r="A53" s="95">
        <f t="shared" si="3"/>
        <v>78.462962038391268</v>
      </c>
      <c r="B53" s="87">
        <v>0.93</v>
      </c>
      <c r="O53" s="95">
        <f t="shared" si="4"/>
        <v>606.09571017228268</v>
      </c>
      <c r="P53" s="87">
        <v>0.93</v>
      </c>
      <c r="AC53" s="95">
        <f t="shared" si="5"/>
        <v>259.82904812738883</v>
      </c>
      <c r="AD53" s="87">
        <v>0.93</v>
      </c>
    </row>
    <row r="54" spans="1:30" x14ac:dyDescent="0.3">
      <c r="A54" s="95">
        <f t="shared" si="3"/>
        <v>78.990285176446349</v>
      </c>
      <c r="B54" s="87">
        <v>0.94000000000000006</v>
      </c>
      <c r="O54" s="95">
        <f t="shared" si="4"/>
        <v>610.82552529849488</v>
      </c>
      <c r="P54" s="87">
        <v>0.94000000000000006</v>
      </c>
      <c r="AC54" s="95">
        <f t="shared" si="5"/>
        <v>262.03376390431981</v>
      </c>
      <c r="AD54" s="87">
        <v>0.94000000000000006</v>
      </c>
    </row>
    <row r="55" spans="1:30" x14ac:dyDescent="0.3">
      <c r="A55" s="95">
        <f t="shared" si="3"/>
        <v>79.591699988496643</v>
      </c>
      <c r="B55" s="87">
        <v>0.95000000000000007</v>
      </c>
      <c r="O55" s="95">
        <f t="shared" si="4"/>
        <v>616.21990432319535</v>
      </c>
      <c r="P55" s="87">
        <v>0.95000000000000007</v>
      </c>
      <c r="AC55" s="95">
        <f t="shared" si="5"/>
        <v>264.54825384211733</v>
      </c>
      <c r="AD55" s="87">
        <v>0.95000000000000007</v>
      </c>
    </row>
    <row r="56" spans="1:30" x14ac:dyDescent="0.3">
      <c r="A56" s="95">
        <f t="shared" si="3"/>
        <v>81.695518465583604</v>
      </c>
      <c r="B56" s="87">
        <v>0.97499999999999998</v>
      </c>
      <c r="O56" s="95">
        <f t="shared" si="4"/>
        <v>635.09006521245874</v>
      </c>
      <c r="P56" s="87">
        <v>0.97499999999999998</v>
      </c>
      <c r="AC56" s="95">
        <f t="shared" si="5"/>
        <v>273.34423007282112</v>
      </c>
      <c r="AD56" s="87">
        <v>0.97499999999999998</v>
      </c>
    </row>
    <row r="57" spans="1:30" x14ac:dyDescent="0.3">
      <c r="A57" s="95">
        <f t="shared" si="3"/>
        <v>84.141662103442485</v>
      </c>
      <c r="B57" s="87">
        <v>0.99</v>
      </c>
      <c r="O57" s="95">
        <f t="shared" si="4"/>
        <v>657.03070529494312</v>
      </c>
      <c r="P57" s="87">
        <v>0.99</v>
      </c>
      <c r="AC57" s="95">
        <f t="shared" si="5"/>
        <v>283.57145334794245</v>
      </c>
      <c r="AD57" s="87">
        <v>0.99</v>
      </c>
    </row>
    <row r="58" spans="1:30" x14ac:dyDescent="0.3">
      <c r="A58" s="95">
        <f t="shared" si="3"/>
        <v>87.350937335931079</v>
      </c>
      <c r="B58" s="87">
        <v>0.99750000000000005</v>
      </c>
      <c r="O58" s="95">
        <f t="shared" si="4"/>
        <v>685.81624009015104</v>
      </c>
      <c r="P58" s="87">
        <v>0.99750000000000005</v>
      </c>
      <c r="AC58" s="95">
        <f t="shared" si="5"/>
        <v>296.98929760123701</v>
      </c>
      <c r="AD58" s="87">
        <v>0.99750000000000005</v>
      </c>
    </row>
    <row r="59" spans="1:30" x14ac:dyDescent="0.3">
      <c r="A59" s="95">
        <f t="shared" si="3"/>
        <v>89.241698151023172</v>
      </c>
      <c r="B59" s="87">
        <v>0.999</v>
      </c>
      <c r="O59" s="95">
        <f t="shared" si="4"/>
        <v>702.77538422377677</v>
      </c>
      <c r="P59" s="87">
        <v>0.999</v>
      </c>
      <c r="AC59" s="95">
        <f t="shared" si="5"/>
        <v>304.89448874231124</v>
      </c>
      <c r="AD59" s="87">
        <v>0.999</v>
      </c>
    </row>
    <row r="60" spans="1:30" x14ac:dyDescent="0.3">
      <c r="A60" s="95">
        <f t="shared" si="3"/>
        <v>90.57895382258873</v>
      </c>
      <c r="B60" s="87">
        <v>0.99950000000000006</v>
      </c>
      <c r="O60" s="95">
        <f t="shared" si="4"/>
        <v>714.76987421773424</v>
      </c>
      <c r="P60" s="87">
        <v>0.99950000000000006</v>
      </c>
      <c r="AC60" s="95">
        <f t="shared" si="5"/>
        <v>310.48549824696744</v>
      </c>
      <c r="AD60" s="87">
        <v>0.99950000000000006</v>
      </c>
    </row>
    <row r="61" spans="1:30" x14ac:dyDescent="0.3">
      <c r="A61" s="96">
        <f t="shared" si="3"/>
        <v>93.439744145477562</v>
      </c>
      <c r="B61" s="88">
        <v>0.99990000000000001</v>
      </c>
      <c r="O61" s="96">
        <f t="shared" si="4"/>
        <v>740.42968006662477</v>
      </c>
      <c r="P61" s="88">
        <v>0.99990000000000001</v>
      </c>
      <c r="AC61" s="96">
        <f t="shared" si="5"/>
        <v>322.4463418060563</v>
      </c>
      <c r="AD61" s="88">
        <v>0.99990000000000001</v>
      </c>
    </row>
  </sheetData>
  <mergeCells count="6">
    <mergeCell ref="A1:C2"/>
    <mergeCell ref="A3:C3"/>
    <mergeCell ref="O1:Q2"/>
    <mergeCell ref="O3:Q3"/>
    <mergeCell ref="AC1:AE2"/>
    <mergeCell ref="AC3:AE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F09B-2A88-456A-9E80-26F18937257D}">
  <dimension ref="A1:H37"/>
  <sheetViews>
    <sheetView showGridLines="0" topLeftCell="A9" workbookViewId="0">
      <selection activeCell="B14" sqref="B14"/>
    </sheetView>
  </sheetViews>
  <sheetFormatPr baseColWidth="10" defaultColWidth="11.5546875" defaultRowHeight="14.4" x14ac:dyDescent="0.3"/>
  <cols>
    <col min="1" max="1" width="9.109375" customWidth="1"/>
    <col min="2" max="2" width="20.6640625" customWidth="1"/>
    <col min="3" max="3" width="19" customWidth="1"/>
    <col min="4" max="4" width="23.6640625" bestFit="1" customWidth="1"/>
    <col min="5" max="5" width="11.5546875" bestFit="1" customWidth="1"/>
    <col min="6" max="6" width="19" bestFit="1" customWidth="1"/>
    <col min="7" max="7" width="19" customWidth="1"/>
    <col min="8" max="8" width="7" bestFit="1" customWidth="1"/>
    <col min="9" max="9" width="11.5546875" bestFit="1" customWidth="1"/>
    <col min="10" max="10" width="19" bestFit="1" customWidth="1"/>
    <col min="11" max="12" width="19" customWidth="1"/>
    <col min="13" max="13" width="11.5546875" bestFit="1" customWidth="1"/>
  </cols>
  <sheetData>
    <row r="1" spans="1:8" x14ac:dyDescent="0.3">
      <c r="A1" s="241" t="s">
        <v>145</v>
      </c>
      <c r="B1" s="242"/>
      <c r="C1" s="242"/>
      <c r="D1" s="243"/>
    </row>
    <row r="2" spans="1:8" x14ac:dyDescent="0.3">
      <c r="A2" s="244"/>
      <c r="B2" s="245"/>
      <c r="C2" s="245"/>
      <c r="D2" s="246"/>
    </row>
    <row r="3" spans="1:8" x14ac:dyDescent="0.3">
      <c r="A3" s="165" t="s">
        <v>146</v>
      </c>
      <c r="B3" s="166" t="s">
        <v>147</v>
      </c>
      <c r="C3" s="165" t="s">
        <v>220</v>
      </c>
      <c r="D3" s="167" t="s">
        <v>222</v>
      </c>
    </row>
    <row r="4" spans="1:8" x14ac:dyDescent="0.3">
      <c r="A4" s="9" t="s">
        <v>149</v>
      </c>
      <c r="B4" s="65">
        <f>'3x Estimat VW'!D3</f>
        <v>55.326839113164397</v>
      </c>
      <c r="C4" s="65">
        <f>(B4/(60*60))*($C$35)</f>
        <v>6237.7630015480381</v>
      </c>
      <c r="D4" s="70">
        <f>C4*C32</f>
        <v>6237.7630015480381</v>
      </c>
    </row>
    <row r="5" spans="1:8" x14ac:dyDescent="0.3">
      <c r="A5" s="9" t="s">
        <v>17</v>
      </c>
      <c r="B5" s="65">
        <f>'3x Estimat VW'!D4</f>
        <v>22.591388088172792</v>
      </c>
      <c r="C5" s="65">
        <f t="shared" ref="C5:C6" si="0">(B5/(60*60))*($C$35)</f>
        <v>2547.0409484587212</v>
      </c>
      <c r="D5" s="70">
        <f>C5*C33</f>
        <v>1273.5204742293606</v>
      </c>
    </row>
    <row r="6" spans="1:8" x14ac:dyDescent="0.3">
      <c r="A6" s="11" t="s">
        <v>19</v>
      </c>
      <c r="B6" s="66">
        <f>'3x Estimat VW'!D5</f>
        <v>58.022379462654726</v>
      </c>
      <c r="C6" s="66">
        <f t="shared" si="0"/>
        <v>6541.6687032064938</v>
      </c>
      <c r="D6" s="69">
        <f>C6*C34</f>
        <v>3270.8343516032469</v>
      </c>
    </row>
    <row r="7" spans="1:8" x14ac:dyDescent="0.3">
      <c r="A7" s="9" t="s">
        <v>153</v>
      </c>
      <c r="D7" s="70">
        <f>SUM(D4:D6)</f>
        <v>10782.117827380645</v>
      </c>
    </row>
    <row r="8" spans="1:8" x14ac:dyDescent="0.3">
      <c r="A8" s="169" t="s">
        <v>155</v>
      </c>
      <c r="B8" s="16"/>
      <c r="C8" s="16"/>
      <c r="D8" s="170">
        <f>D7*C31+C29</f>
        <v>2185.4117827380646</v>
      </c>
    </row>
    <row r="10" spans="1:8" x14ac:dyDescent="0.3">
      <c r="A10" s="241" t="s">
        <v>158</v>
      </c>
      <c r="B10" s="242"/>
      <c r="C10" s="242"/>
      <c r="D10" s="243"/>
      <c r="H10" s="2"/>
    </row>
    <row r="11" spans="1:8" x14ac:dyDescent="0.3">
      <c r="A11" s="244"/>
      <c r="B11" s="245"/>
      <c r="C11" s="245"/>
      <c r="D11" s="246"/>
      <c r="H11" s="2"/>
    </row>
    <row r="12" spans="1:8" x14ac:dyDescent="0.3">
      <c r="A12" s="165" t="s">
        <v>146</v>
      </c>
      <c r="B12" s="168" t="s">
        <v>159</v>
      </c>
      <c r="C12" s="165" t="s">
        <v>220</v>
      </c>
      <c r="D12" s="167" t="s">
        <v>222</v>
      </c>
    </row>
    <row r="13" spans="1:8" x14ac:dyDescent="0.3">
      <c r="A13" s="9" t="s">
        <v>149</v>
      </c>
      <c r="B13" s="68">
        <f>'3x estimate Hy'!D3</f>
        <v>260.28170517092036</v>
      </c>
      <c r="C13" s="65">
        <f>B13*$C$36/(60*60)</f>
        <v>3809.2227551764195</v>
      </c>
      <c r="D13" s="70">
        <f>C13*C32</f>
        <v>3809.2227551764195</v>
      </c>
    </row>
    <row r="14" spans="1:8" x14ac:dyDescent="0.3">
      <c r="A14" s="9" t="s">
        <v>17</v>
      </c>
      <c r="B14" s="65">
        <f>'3x estimate Hy'!D4</f>
        <v>99.503770022254031</v>
      </c>
      <c r="C14" s="65">
        <f t="shared" ref="C14:C15" si="1">B14*$C$36/(60*60)</f>
        <v>1456.2376742756876</v>
      </c>
      <c r="D14" s="70">
        <f>C14*C33</f>
        <v>728.1188371378438</v>
      </c>
    </row>
    <row r="15" spans="1:8" x14ac:dyDescent="0.3">
      <c r="A15" s="11" t="s">
        <v>19</v>
      </c>
      <c r="B15" s="66">
        <f>'3x estimate Hy'!D5</f>
        <v>405.95693488476292</v>
      </c>
      <c r="C15" s="66">
        <f t="shared" si="1"/>
        <v>5941.1797420385055</v>
      </c>
      <c r="D15" s="69">
        <f>C15*C34</f>
        <v>2970.5898710192528</v>
      </c>
    </row>
    <row r="16" spans="1:8" x14ac:dyDescent="0.3">
      <c r="A16" s="9" t="s">
        <v>75</v>
      </c>
      <c r="D16" s="70">
        <f>SUM(D13:D15)</f>
        <v>7507.9314633335161</v>
      </c>
    </row>
    <row r="17" spans="1:4" x14ac:dyDescent="0.3">
      <c r="A17" s="169" t="s">
        <v>155</v>
      </c>
      <c r="B17" s="16"/>
      <c r="C17" s="16"/>
      <c r="D17" s="170">
        <f>D16*C31+C29</f>
        <v>1857.9931463333517</v>
      </c>
    </row>
    <row r="19" spans="1:4" x14ac:dyDescent="0.3">
      <c r="A19" s="241" t="s">
        <v>132</v>
      </c>
      <c r="B19" s="242"/>
      <c r="C19" s="242"/>
      <c r="D19" s="243"/>
    </row>
    <row r="20" spans="1:4" x14ac:dyDescent="0.3">
      <c r="A20" s="247"/>
      <c r="B20" s="248"/>
      <c r="C20" s="248"/>
      <c r="D20" s="249"/>
    </row>
    <row r="21" spans="1:4" x14ac:dyDescent="0.3">
      <c r="A21" s="165" t="s">
        <v>146</v>
      </c>
      <c r="B21" s="167" t="s">
        <v>159</v>
      </c>
      <c r="C21" s="165" t="s">
        <v>221</v>
      </c>
      <c r="D21" s="167" t="s">
        <v>222</v>
      </c>
    </row>
    <row r="22" spans="1:4" x14ac:dyDescent="0.3">
      <c r="A22" s="9" t="s">
        <v>149</v>
      </c>
      <c r="B22" s="65">
        <f>'3x estimate Outlander'!D3</f>
        <v>93.472167821913033</v>
      </c>
      <c r="C22" s="65">
        <f>B22*$C$37/(60*60)</f>
        <v>3196.4884945988092</v>
      </c>
      <c r="D22" s="70">
        <f>C22*C32</f>
        <v>3196.4884945988092</v>
      </c>
    </row>
    <row r="23" spans="1:4" x14ac:dyDescent="0.3">
      <c r="A23" s="9" t="s">
        <v>17</v>
      </c>
      <c r="B23" s="65">
        <f>'3x estimate Outlander'!D4</f>
        <v>158.50953956793583</v>
      </c>
      <c r="C23" s="65">
        <f t="shared" ref="C23:C24" si="2">B23*$C$37/(60*60)</f>
        <v>5420.5859489468276</v>
      </c>
      <c r="D23" s="70">
        <f>C23*C33</f>
        <v>2710.2929744734138</v>
      </c>
    </row>
    <row r="24" spans="1:4" x14ac:dyDescent="0.3">
      <c r="A24" s="11" t="s">
        <v>19</v>
      </c>
      <c r="B24" s="66">
        <f>'3x estimate Outlander'!D5</f>
        <v>33.115971478424925</v>
      </c>
      <c r="C24" s="66">
        <f t="shared" si="2"/>
        <v>1132.4742357524701</v>
      </c>
      <c r="D24" s="69">
        <f>C24*C34</f>
        <v>566.23711787623506</v>
      </c>
    </row>
    <row r="25" spans="1:4" x14ac:dyDescent="0.3">
      <c r="A25" s="9" t="s">
        <v>153</v>
      </c>
      <c r="B25" s="65"/>
      <c r="C25" s="65"/>
      <c r="D25" s="70">
        <f>SUM(D22:D24)</f>
        <v>6473.0185869484576</v>
      </c>
    </row>
    <row r="26" spans="1:4" x14ac:dyDescent="0.3">
      <c r="A26" s="169" t="s">
        <v>155</v>
      </c>
      <c r="B26" s="16"/>
      <c r="C26" s="16"/>
      <c r="D26" s="170">
        <f>D25*C31+C29</f>
        <v>1754.5018586948459</v>
      </c>
    </row>
    <row r="28" spans="1:4" x14ac:dyDescent="0.3">
      <c r="A28" s="250" t="s">
        <v>148</v>
      </c>
      <c r="B28" s="251"/>
      <c r="C28" s="171">
        <f>0.62/10</f>
        <v>6.2E-2</v>
      </c>
    </row>
    <row r="29" spans="1:4" x14ac:dyDescent="0.3">
      <c r="A29" s="239" t="s">
        <v>150</v>
      </c>
      <c r="B29" s="240"/>
      <c r="C29" s="172">
        <f>11072/10</f>
        <v>1107.2</v>
      </c>
    </row>
    <row r="30" spans="1:4" x14ac:dyDescent="0.3">
      <c r="A30" s="239" t="s">
        <v>151</v>
      </c>
      <c r="B30" s="240"/>
      <c r="C30" s="172">
        <f>0.38/10</f>
        <v>3.7999999999999999E-2</v>
      </c>
    </row>
    <row r="31" spans="1:4" x14ac:dyDescent="0.3">
      <c r="A31" s="239" t="s">
        <v>152</v>
      </c>
      <c r="B31" s="240"/>
      <c r="C31" s="173">
        <f>C28+C30</f>
        <v>0.1</v>
      </c>
    </row>
    <row r="32" spans="1:4" x14ac:dyDescent="0.3">
      <c r="A32" s="239" t="s">
        <v>154</v>
      </c>
      <c r="B32" s="240"/>
      <c r="C32" s="174">
        <v>1</v>
      </c>
    </row>
    <row r="33" spans="1:3" x14ac:dyDescent="0.3">
      <c r="A33" s="239" t="s">
        <v>156</v>
      </c>
      <c r="B33" s="240"/>
      <c r="C33" s="175">
        <v>0.5</v>
      </c>
    </row>
    <row r="34" spans="1:3" x14ac:dyDescent="0.3">
      <c r="A34" s="239" t="s">
        <v>157</v>
      </c>
      <c r="B34" s="240"/>
      <c r="C34" s="175">
        <v>0.5</v>
      </c>
    </row>
    <row r="35" spans="1:3" x14ac:dyDescent="0.3">
      <c r="A35" s="9" t="s">
        <v>217</v>
      </c>
      <c r="C35" s="175">
        <v>405878</v>
      </c>
    </row>
    <row r="36" spans="1:3" x14ac:dyDescent="0.3">
      <c r="A36" s="9" t="s">
        <v>218</v>
      </c>
      <c r="C36" s="175">
        <v>52686</v>
      </c>
    </row>
    <row r="37" spans="1:3" x14ac:dyDescent="0.3">
      <c r="A37" s="11" t="s">
        <v>219</v>
      </c>
      <c r="B37" s="16"/>
      <c r="C37" s="176">
        <v>123110</v>
      </c>
    </row>
  </sheetData>
  <mergeCells count="10">
    <mergeCell ref="A34:B34"/>
    <mergeCell ref="A1:D2"/>
    <mergeCell ref="A10:D11"/>
    <mergeCell ref="A19:D20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0EA3-CA83-43A8-9878-E745D8CFE15F}">
  <dimension ref="A1:I21"/>
  <sheetViews>
    <sheetView showGridLines="0" workbookViewId="0">
      <selection activeCell="E18" sqref="E18:E19"/>
    </sheetView>
  </sheetViews>
  <sheetFormatPr baseColWidth="10" defaultRowHeight="14.4" x14ac:dyDescent="0.3"/>
  <cols>
    <col min="1" max="1" width="17.33203125" bestFit="1" customWidth="1"/>
    <col min="2" max="2" width="21.88671875" bestFit="1" customWidth="1"/>
    <col min="3" max="3" width="17.5546875" bestFit="1" customWidth="1"/>
    <col min="4" max="4" width="7" bestFit="1" customWidth="1"/>
    <col min="5" max="6" width="30.77734375" bestFit="1" customWidth="1"/>
    <col min="7" max="7" width="25.109375" bestFit="1" customWidth="1"/>
    <col min="8" max="8" width="32.77734375" bestFit="1" customWidth="1"/>
    <col min="9" max="9" width="12.77734375" bestFit="1" customWidth="1"/>
  </cols>
  <sheetData>
    <row r="1" spans="1:9" ht="18" x14ac:dyDescent="0.35">
      <c r="A1" s="252" t="s">
        <v>225</v>
      </c>
      <c r="B1" s="253"/>
      <c r="C1" s="253"/>
      <c r="D1" s="253"/>
      <c r="E1" s="253"/>
      <c r="F1" s="253"/>
      <c r="G1" s="254"/>
      <c r="H1" s="197"/>
      <c r="I1" s="197"/>
    </row>
    <row r="2" spans="1:9" ht="18" x14ac:dyDescent="0.35">
      <c r="A2" s="198" t="s">
        <v>161</v>
      </c>
      <c r="B2" s="198" t="s">
        <v>170</v>
      </c>
      <c r="C2" s="198" t="s">
        <v>171</v>
      </c>
      <c r="D2" s="198" t="s">
        <v>169</v>
      </c>
      <c r="E2" s="198" t="s">
        <v>172</v>
      </c>
      <c r="F2" s="198" t="s">
        <v>173</v>
      </c>
      <c r="G2" s="198" t="s">
        <v>174</v>
      </c>
      <c r="H2" s="197"/>
      <c r="I2" s="197"/>
    </row>
    <row r="3" spans="1:9" ht="18" x14ac:dyDescent="0.35">
      <c r="A3" s="199" t="s">
        <v>226</v>
      </c>
      <c r="B3" s="200">
        <v>10.896000000000001</v>
      </c>
      <c r="C3" s="200">
        <f>0.797*12</f>
        <v>9.5640000000000001</v>
      </c>
      <c r="D3" s="201">
        <f>C3/B3</f>
        <v>0.8777533039647577</v>
      </c>
      <c r="E3" s="200">
        <f>C16*D3</f>
        <v>1053.3039647577093</v>
      </c>
      <c r="F3" s="202">
        <f>_xlfn.FORECAST.LINEAR(E3,B15:C15,B16:C16)</f>
        <v>377033.23045154184</v>
      </c>
      <c r="G3" s="202">
        <f>C$15-F3</f>
        <v>8630.7695484581636</v>
      </c>
      <c r="H3" s="197"/>
      <c r="I3" s="197"/>
    </row>
    <row r="4" spans="1:9" ht="18" x14ac:dyDescent="0.35">
      <c r="A4" s="199" t="s">
        <v>178</v>
      </c>
      <c r="B4" s="200">
        <v>43.921999999999997</v>
      </c>
      <c r="C4" s="200">
        <f>0.868*40</f>
        <v>34.72</v>
      </c>
      <c r="D4" s="201">
        <f>C4/B4</f>
        <v>0.79049223623696552</v>
      </c>
      <c r="E4" s="200">
        <f>C16*D4</f>
        <v>948.59068348435858</v>
      </c>
      <c r="F4" s="202">
        <f>_xlfn.FORECAST.LINEAR(E4,B15:C15,B16:C16)</f>
        <v>370872.48999362509</v>
      </c>
      <c r="G4" s="202">
        <f>C$15-F4</f>
        <v>14791.510006374912</v>
      </c>
      <c r="H4" s="197"/>
      <c r="I4" s="197"/>
    </row>
    <row r="5" spans="1:9" ht="18" x14ac:dyDescent="0.35">
      <c r="A5" s="199" t="s">
        <v>179</v>
      </c>
      <c r="B5" s="200">
        <v>25.478000000000002</v>
      </c>
      <c r="C5" s="200">
        <f>1.396*16</f>
        <v>22.335999999999999</v>
      </c>
      <c r="D5" s="201">
        <f>C5/B5</f>
        <v>0.87667791820394059</v>
      </c>
      <c r="E5" s="200">
        <f>C16*D5</f>
        <v>1052.0135018447288</v>
      </c>
      <c r="F5" s="202">
        <f>_xlfn.FORECAST.LINEAR(E5,B15:C15,B16:C16)</f>
        <v>376957.30687259597</v>
      </c>
      <c r="G5" s="202">
        <f>C$15-F5</f>
        <v>8706.6931274040253</v>
      </c>
      <c r="H5" s="197"/>
      <c r="I5" s="197"/>
    </row>
    <row r="6" spans="1:9" ht="18" x14ac:dyDescent="0.35">
      <c r="A6" s="197"/>
      <c r="B6" s="197"/>
      <c r="C6" s="197"/>
      <c r="D6" s="197"/>
      <c r="E6" s="197"/>
      <c r="F6" s="197"/>
      <c r="G6" s="197"/>
      <c r="H6" s="197"/>
      <c r="I6" s="197"/>
    </row>
    <row r="7" spans="1:9" ht="18" x14ac:dyDescent="0.35">
      <c r="A7" s="252" t="s">
        <v>241</v>
      </c>
      <c r="B7" s="253"/>
      <c r="C7" s="253"/>
      <c r="D7" s="253"/>
      <c r="E7" s="253"/>
      <c r="F7" s="253"/>
      <c r="G7" s="253"/>
      <c r="H7" s="253"/>
      <c r="I7" s="254"/>
    </row>
    <row r="8" spans="1:9" ht="18" x14ac:dyDescent="0.35">
      <c r="A8" s="198" t="s">
        <v>161</v>
      </c>
      <c r="B8" s="198" t="s">
        <v>170</v>
      </c>
      <c r="C8" s="198" t="s">
        <v>171</v>
      </c>
      <c r="D8" s="198" t="s">
        <v>169</v>
      </c>
      <c r="E8" s="198" t="s">
        <v>175</v>
      </c>
      <c r="F8" s="198" t="s">
        <v>172</v>
      </c>
      <c r="G8" s="198" t="s">
        <v>176</v>
      </c>
      <c r="H8" s="198" t="s">
        <v>177</v>
      </c>
      <c r="I8" s="198" t="s">
        <v>174</v>
      </c>
    </row>
    <row r="9" spans="1:9" ht="18" x14ac:dyDescent="0.35">
      <c r="A9" s="199" t="s">
        <v>226</v>
      </c>
      <c r="B9" s="200">
        <v>10.896000000000001</v>
      </c>
      <c r="C9" s="200">
        <f>0.797*12</f>
        <v>9.5640000000000001</v>
      </c>
      <c r="D9" s="201">
        <f>C9/B9</f>
        <v>0.8777533039647577</v>
      </c>
      <c r="E9" s="201">
        <v>4422</v>
      </c>
      <c r="F9" s="200">
        <f>D9*E9</f>
        <v>3881.4251101321584</v>
      </c>
      <c r="G9" s="200">
        <f>_xlfn.FORECAST.LINEAR(E9,$B$15:$C$15,$B$16:$C16)</f>
        <v>575228.35624999995</v>
      </c>
      <c r="H9" s="202">
        <f>_xlfn.FORECAST.LINEAR(F9,B15:C15,B16:C16)</f>
        <v>543423.97046393168</v>
      </c>
      <c r="I9" s="200">
        <f>G9-H9</f>
        <v>31804.385786068277</v>
      </c>
    </row>
    <row r="10" spans="1:9" ht="18" x14ac:dyDescent="0.35">
      <c r="A10" s="199" t="s">
        <v>178</v>
      </c>
      <c r="B10" s="200">
        <v>43.921999999999997</v>
      </c>
      <c r="C10" s="200">
        <f>0.868*40</f>
        <v>34.72</v>
      </c>
      <c r="D10" s="201">
        <f>C10/B10</f>
        <v>0.79049223623696552</v>
      </c>
      <c r="E10" s="201">
        <v>2314</v>
      </c>
      <c r="F10" s="200">
        <f>D10*E10</f>
        <v>1829.1990346523382</v>
      </c>
      <c r="G10" s="200">
        <f>_xlfn.FORECAST.LINEAR(E10,$B$15:$C$15,$B$16:$C$16)</f>
        <v>451205.49375000002</v>
      </c>
      <c r="H10" s="202">
        <f>_xlfn.FORECAST.LINEAR(F10,B15:C15,B16:C16)</f>
        <v>422682.5319543737</v>
      </c>
      <c r="I10" s="200">
        <f>G10-H10</f>
        <v>28522.961795626325</v>
      </c>
    </row>
    <row r="11" spans="1:9" ht="18" x14ac:dyDescent="0.35">
      <c r="A11" s="199" t="s">
        <v>179</v>
      </c>
      <c r="B11" s="200">
        <v>25.478000000000002</v>
      </c>
      <c r="C11" s="200">
        <f>1.396*16</f>
        <v>22.335999999999999</v>
      </c>
      <c r="D11" s="201">
        <f>C11/B11</f>
        <v>0.87667791820394059</v>
      </c>
      <c r="E11" s="201">
        <v>3137</v>
      </c>
      <c r="F11" s="200">
        <f>D11*E11</f>
        <v>2750.1386294057615</v>
      </c>
      <c r="G11" s="200">
        <f>_xlfn.FORECAST.LINEAR(E11,$B$15:$C$15,$B$16:$C$16)</f>
        <v>499626.18437500001</v>
      </c>
      <c r="H11" s="202">
        <f>_xlfn.FORECAST.LINEAR(F11,B15:C15,B16:C16)</f>
        <v>476865.43742444459</v>
      </c>
      <c r="I11" s="200">
        <f>G11-H11</f>
        <v>22760.746950555418</v>
      </c>
    </row>
    <row r="12" spans="1:9" ht="18" x14ac:dyDescent="0.35">
      <c r="A12" s="197"/>
      <c r="B12" s="197"/>
      <c r="C12" s="197"/>
      <c r="D12" s="197"/>
      <c r="E12" s="197"/>
      <c r="F12" s="197"/>
      <c r="G12" s="197"/>
      <c r="H12" s="197"/>
      <c r="I12" s="197"/>
    </row>
    <row r="13" spans="1:9" ht="18" x14ac:dyDescent="0.35">
      <c r="A13" s="252" t="s">
        <v>166</v>
      </c>
      <c r="B13" s="253"/>
      <c r="C13" s="254"/>
      <c r="D13" s="197"/>
      <c r="E13" s="197"/>
      <c r="F13" s="197"/>
      <c r="G13" s="197"/>
      <c r="H13" s="197"/>
      <c r="I13" s="197"/>
    </row>
    <row r="14" spans="1:9" ht="18" x14ac:dyDescent="0.35">
      <c r="A14" s="203"/>
      <c r="B14" s="203" t="s">
        <v>165</v>
      </c>
      <c r="C14" s="203" t="s">
        <v>164</v>
      </c>
      <c r="D14" s="197"/>
      <c r="E14" s="197"/>
      <c r="F14" s="197"/>
      <c r="G14" s="197"/>
      <c r="H14" s="197"/>
      <c r="I14" s="197"/>
    </row>
    <row r="15" spans="1:9" ht="18" x14ac:dyDescent="0.35">
      <c r="A15" s="203" t="s">
        <v>168</v>
      </c>
      <c r="B15" s="204">
        <v>668069</v>
      </c>
      <c r="C15" s="202">
        <v>385664</v>
      </c>
      <c r="D15" s="197"/>
      <c r="E15" s="197"/>
      <c r="F15" s="197"/>
      <c r="G15" s="197"/>
      <c r="H15" s="197"/>
      <c r="I15" s="197"/>
    </row>
    <row r="16" spans="1:9" ht="18" x14ac:dyDescent="0.35">
      <c r="A16" s="203" t="s">
        <v>167</v>
      </c>
      <c r="B16" s="204">
        <v>6000</v>
      </c>
      <c r="C16" s="202">
        <v>1200</v>
      </c>
      <c r="D16" s="197"/>
      <c r="E16" s="197"/>
      <c r="F16" s="197"/>
      <c r="G16" s="197"/>
      <c r="H16" s="197"/>
      <c r="I16" s="197"/>
    </row>
    <row r="18" spans="4:7" x14ac:dyDescent="0.3">
      <c r="F18" s="101"/>
    </row>
    <row r="19" spans="4:7" x14ac:dyDescent="0.3">
      <c r="F19" s="101"/>
    </row>
    <row r="20" spans="4:7" x14ac:dyDescent="0.3">
      <c r="F20" s="101"/>
      <c r="G20" s="65"/>
    </row>
    <row r="21" spans="4:7" x14ac:dyDescent="0.3">
      <c r="D21" s="65"/>
      <c r="E21" s="65"/>
    </row>
  </sheetData>
  <mergeCells count="3">
    <mergeCell ref="A1:G1"/>
    <mergeCell ref="A7:I7"/>
    <mergeCell ref="A13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A455-59F0-42A0-AA5E-65384A1C3F0B}">
  <dimension ref="A2:K25"/>
  <sheetViews>
    <sheetView showGridLines="0" workbookViewId="0">
      <selection activeCell="G5" sqref="G5"/>
    </sheetView>
  </sheetViews>
  <sheetFormatPr baseColWidth="10" defaultRowHeight="14.4" x14ac:dyDescent="0.3"/>
  <cols>
    <col min="1" max="1" width="26.109375" bestFit="1" customWidth="1"/>
    <col min="2" max="2" width="14.6640625" bestFit="1" customWidth="1"/>
    <col min="3" max="8" width="12.21875" bestFit="1" customWidth="1"/>
  </cols>
  <sheetData>
    <row r="2" spans="1:11" x14ac:dyDescent="0.3">
      <c r="A2" s="255" t="s">
        <v>216</v>
      </c>
      <c r="B2" s="256"/>
    </row>
    <row r="3" spans="1:11" x14ac:dyDescent="0.3">
      <c r="A3" s="257"/>
      <c r="B3" s="258"/>
    </row>
    <row r="4" spans="1:11" x14ac:dyDescent="0.3">
      <c r="A4" s="139" t="s">
        <v>160</v>
      </c>
      <c r="B4" s="138" t="s">
        <v>162</v>
      </c>
    </row>
    <row r="5" spans="1:11" x14ac:dyDescent="0.3">
      <c r="A5" s="137" t="s">
        <v>215</v>
      </c>
      <c r="B5" s="136" t="s">
        <v>195</v>
      </c>
    </row>
    <row r="7" spans="1:11" x14ac:dyDescent="0.3">
      <c r="A7" s="135" t="s">
        <v>196</v>
      </c>
      <c r="B7" s="206">
        <f>INDEX(Data!H13:I15,MATCH(Calculation!B4,Data!G13:G15,0),MATCH(Calculation!B5,Data!H12:I12,0))</f>
        <v>2639217.2376529835</v>
      </c>
    </row>
    <row r="9" spans="1:11" ht="14.4" customHeight="1" x14ac:dyDescent="0.3">
      <c r="A9" s="259" t="s">
        <v>214</v>
      </c>
      <c r="B9" s="260"/>
      <c r="C9" s="260"/>
      <c r="D9" s="260"/>
      <c r="E9" s="260"/>
      <c r="F9" s="260"/>
      <c r="G9" s="260"/>
      <c r="H9" s="261"/>
      <c r="I9" s="134"/>
      <c r="J9" s="134"/>
      <c r="K9" s="134"/>
    </row>
    <row r="10" spans="1:11" ht="14.4" customHeight="1" x14ac:dyDescent="0.3">
      <c r="A10" s="262"/>
      <c r="B10" s="263"/>
      <c r="C10" s="263"/>
      <c r="D10" s="263"/>
      <c r="E10" s="263"/>
      <c r="F10" s="263"/>
      <c r="G10" s="263"/>
      <c r="H10" s="264"/>
      <c r="I10" s="134"/>
      <c r="J10" s="134"/>
      <c r="K10" s="134"/>
    </row>
    <row r="11" spans="1:11" x14ac:dyDescent="0.3">
      <c r="A11" s="9"/>
      <c r="H11" s="10"/>
    </row>
    <row r="12" spans="1:11" x14ac:dyDescent="0.3">
      <c r="A12" s="116" t="s">
        <v>213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</row>
    <row r="13" spans="1:11" x14ac:dyDescent="0.3">
      <c r="A13" s="116" t="s">
        <v>212</v>
      </c>
      <c r="B13" s="132">
        <v>325197</v>
      </c>
      <c r="C13" s="1"/>
      <c r="D13" s="1"/>
      <c r="E13" s="1"/>
      <c r="F13" s="1"/>
      <c r="G13" s="1"/>
      <c r="H13" s="1"/>
    </row>
    <row r="14" spans="1:11" x14ac:dyDescent="0.3">
      <c r="A14" s="116" t="s">
        <v>168</v>
      </c>
      <c r="B14" s="1">
        <v>0</v>
      </c>
      <c r="C14" s="132">
        <f t="shared" ref="C14:H14" si="0">IF($B$4="Mitsubishi",14324,IF($B$4="Hyundai",14427,IF($B$4="VW E-Golf",14688,"N/A")))</f>
        <v>14688</v>
      </c>
      <c r="D14" s="132">
        <f t="shared" si="0"/>
        <v>14688</v>
      </c>
      <c r="E14" s="132">
        <f t="shared" si="0"/>
        <v>14688</v>
      </c>
      <c r="F14" s="132">
        <f t="shared" si="0"/>
        <v>14688</v>
      </c>
      <c r="G14" s="132">
        <f t="shared" si="0"/>
        <v>14688</v>
      </c>
      <c r="H14" s="132">
        <f t="shared" si="0"/>
        <v>14688</v>
      </c>
    </row>
    <row r="15" spans="1:11" x14ac:dyDescent="0.3">
      <c r="A15" s="116" t="s">
        <v>211</v>
      </c>
      <c r="B15" s="1">
        <v>0</v>
      </c>
      <c r="C15" s="132">
        <f t="shared" ref="C15:H15" si="1">$B$7</f>
        <v>2639217.2376529835</v>
      </c>
      <c r="D15" s="132">
        <f t="shared" si="1"/>
        <v>2639217.2376529835</v>
      </c>
      <c r="E15" s="132">
        <f t="shared" si="1"/>
        <v>2639217.2376529835</v>
      </c>
      <c r="F15" s="132">
        <f t="shared" si="1"/>
        <v>2639217.2376529835</v>
      </c>
      <c r="G15" s="132">
        <f t="shared" si="1"/>
        <v>2639217.2376529835</v>
      </c>
      <c r="H15" s="132">
        <f t="shared" si="1"/>
        <v>2639217.2376529835</v>
      </c>
    </row>
    <row r="16" spans="1:11" x14ac:dyDescent="0.3">
      <c r="A16" s="104" t="s">
        <v>210</v>
      </c>
      <c r="B16" s="133">
        <f t="shared" ref="B16:H16" si="2">B15-SUM(B13:B14)</f>
        <v>-325197</v>
      </c>
      <c r="C16" s="132">
        <f t="shared" si="2"/>
        <v>2624529.2376529835</v>
      </c>
      <c r="D16" s="132">
        <f t="shared" si="2"/>
        <v>2624529.2376529835</v>
      </c>
      <c r="E16" s="132">
        <f t="shared" si="2"/>
        <v>2624529.2376529835</v>
      </c>
      <c r="F16" s="132">
        <f t="shared" si="2"/>
        <v>2624529.2376529835</v>
      </c>
      <c r="G16" s="132">
        <f t="shared" si="2"/>
        <v>2624529.2376529835</v>
      </c>
      <c r="H16" s="132">
        <f t="shared" si="2"/>
        <v>2624529.2376529835</v>
      </c>
    </row>
    <row r="17" spans="1:8" x14ac:dyDescent="0.3">
      <c r="A17" s="104" t="s">
        <v>209</v>
      </c>
      <c r="B17" s="133">
        <f>B16</f>
        <v>-325197</v>
      </c>
      <c r="C17" s="132">
        <f t="shared" ref="C17:H17" si="3">B17+C16</f>
        <v>2299332.2376529835</v>
      </c>
      <c r="D17" s="132">
        <f t="shared" si="3"/>
        <v>4923861.475305967</v>
      </c>
      <c r="E17" s="132">
        <f t="shared" si="3"/>
        <v>7548390.7129589505</v>
      </c>
      <c r="F17" s="132">
        <f t="shared" si="3"/>
        <v>10172919.950611934</v>
      </c>
      <c r="G17" s="132">
        <f t="shared" si="3"/>
        <v>12797449.188264918</v>
      </c>
      <c r="H17" s="132">
        <f t="shared" si="3"/>
        <v>15421978.425917901</v>
      </c>
    </row>
    <row r="18" spans="1:8" x14ac:dyDescent="0.3">
      <c r="A18" s="104" t="s">
        <v>208</v>
      </c>
      <c r="H18" s="10"/>
    </row>
    <row r="19" spans="1:8" x14ac:dyDescent="0.3">
      <c r="A19" s="116" t="s">
        <v>180</v>
      </c>
      <c r="B19" s="131">
        <v>0.12</v>
      </c>
      <c r="E19" s="130"/>
      <c r="H19" s="10"/>
    </row>
    <row r="20" spans="1:8" x14ac:dyDescent="0.3">
      <c r="A20" s="102" t="s">
        <v>207</v>
      </c>
      <c r="B20" s="205">
        <f>SUM(B16+NPV($B$19,C16:H16))</f>
        <v>10465311.72848494</v>
      </c>
      <c r="C20" s="16"/>
      <c r="D20" s="16"/>
      <c r="E20" s="16"/>
      <c r="F20" s="16"/>
      <c r="G20" s="16"/>
      <c r="H20" s="13"/>
    </row>
    <row r="25" spans="1:8" x14ac:dyDescent="0.3">
      <c r="A25" s="97"/>
    </row>
  </sheetData>
  <mergeCells count="2">
    <mergeCell ref="A2:B3"/>
    <mergeCell ref="A9:H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2688D9-198B-430B-9E63-ECA77FDC956E}">
          <x14:formula1>
            <xm:f>Data!$G$13:$G$15</xm:f>
          </x14:formula1>
          <xm:sqref>B4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C32D-E570-4068-9FCF-0E27B91E6A8B}">
  <dimension ref="A1:M46"/>
  <sheetViews>
    <sheetView showGridLines="0" zoomScale="90" zoomScaleNormal="90" workbookViewId="0">
      <selection activeCell="M32" sqref="M32"/>
    </sheetView>
  </sheetViews>
  <sheetFormatPr baseColWidth="10" defaultRowHeight="14.4" x14ac:dyDescent="0.3"/>
  <cols>
    <col min="2" max="2" width="21.21875" bestFit="1" customWidth="1"/>
    <col min="3" max="3" width="17.5546875" bestFit="1" customWidth="1"/>
    <col min="4" max="4" width="13.77734375" bestFit="1" customWidth="1"/>
    <col min="5" max="5" width="20.109375" customWidth="1"/>
    <col min="6" max="6" width="25.21875" bestFit="1" customWidth="1"/>
    <col min="7" max="7" width="21.33203125" bestFit="1" customWidth="1"/>
    <col min="8" max="8" width="12" bestFit="1" customWidth="1"/>
    <col min="9" max="9" width="23.109375" customWidth="1"/>
    <col min="10" max="10" width="19.88671875" bestFit="1" customWidth="1"/>
    <col min="11" max="11" width="9.6640625" customWidth="1"/>
    <col min="12" max="12" width="12.77734375" bestFit="1" customWidth="1"/>
    <col min="13" max="13" width="15.44140625" bestFit="1" customWidth="1"/>
  </cols>
  <sheetData>
    <row r="1" spans="1:10" x14ac:dyDescent="0.3">
      <c r="A1" s="129" t="s">
        <v>160</v>
      </c>
      <c r="B1" s="128" t="s">
        <v>206</v>
      </c>
      <c r="C1" s="128" t="s">
        <v>205</v>
      </c>
      <c r="D1" s="128" t="s">
        <v>204</v>
      </c>
      <c r="E1" s="128" t="s">
        <v>203</v>
      </c>
      <c r="F1" s="128" t="s">
        <v>202</v>
      </c>
      <c r="G1" s="128" t="s">
        <v>201</v>
      </c>
      <c r="H1" s="128" t="s">
        <v>200</v>
      </c>
      <c r="I1" s="128" t="s">
        <v>227</v>
      </c>
      <c r="J1" s="127" t="s">
        <v>199</v>
      </c>
    </row>
    <row r="2" spans="1:10" x14ac:dyDescent="0.3">
      <c r="A2" s="126" t="s">
        <v>162</v>
      </c>
      <c r="B2">
        <v>405878</v>
      </c>
      <c r="C2">
        <v>10896</v>
      </c>
      <c r="D2">
        <v>797</v>
      </c>
      <c r="E2">
        <v>12</v>
      </c>
      <c r="F2" s="97">
        <f>C2*B2/(1000*1000)</f>
        <v>4422.446688</v>
      </c>
      <c r="G2" s="97">
        <f>F2*H2</f>
        <v>3881.817192</v>
      </c>
      <c r="H2" s="101">
        <f>((D2*E2*B2)/(C2*B2))</f>
        <v>0.8777533039647577</v>
      </c>
      <c r="I2" s="97">
        <f>6000*H2</f>
        <v>5266.5198237885461</v>
      </c>
      <c r="J2" s="124">
        <v>5.38</v>
      </c>
    </row>
    <row r="3" spans="1:10" x14ac:dyDescent="0.3">
      <c r="A3" s="125" t="s">
        <v>178</v>
      </c>
      <c r="B3">
        <v>52686</v>
      </c>
      <c r="C3">
        <v>43922</v>
      </c>
      <c r="D3">
        <v>868</v>
      </c>
      <c r="E3">
        <v>40</v>
      </c>
      <c r="F3" s="97">
        <f>C3*B3/(1000*1000)</f>
        <v>2314.0744920000002</v>
      </c>
      <c r="G3" s="97">
        <f>F3*H3</f>
        <v>1829.25792</v>
      </c>
      <c r="H3" s="101">
        <f>((D3*E3*B3)/(C3*B3))</f>
        <v>0.79049223623696552</v>
      </c>
      <c r="I3" s="97">
        <f>6000*H3</f>
        <v>4742.9534174217933</v>
      </c>
      <c r="J3" s="124">
        <v>4.3899999999999997</v>
      </c>
    </row>
    <row r="4" spans="1:10" x14ac:dyDescent="0.3">
      <c r="A4" s="123" t="s">
        <v>179</v>
      </c>
      <c r="B4" s="16">
        <v>123110</v>
      </c>
      <c r="C4" s="16">
        <v>25478</v>
      </c>
      <c r="D4" s="16">
        <v>1396</v>
      </c>
      <c r="E4" s="16">
        <v>16</v>
      </c>
      <c r="F4" s="98">
        <f>C4*B4/(1000*1000)</f>
        <v>3136.5965799999999</v>
      </c>
      <c r="G4" s="98">
        <f>F4*H4</f>
        <v>2749.78496</v>
      </c>
      <c r="H4" s="122">
        <f>((D4*E4*B4)/(C4*B4))</f>
        <v>0.8766779182039407</v>
      </c>
      <c r="I4" s="98">
        <f>6000*H4</f>
        <v>5260.0675092236443</v>
      </c>
      <c r="J4" s="121">
        <v>10.15</v>
      </c>
    </row>
    <row r="5" spans="1:10" x14ac:dyDescent="0.3">
      <c r="H5" t="s">
        <v>228</v>
      </c>
    </row>
    <row r="6" spans="1:10" ht="14.4" customHeight="1" x14ac:dyDescent="0.3">
      <c r="A6" s="255" t="s">
        <v>233</v>
      </c>
      <c r="B6" s="265"/>
      <c r="C6" s="265"/>
      <c r="D6" s="265"/>
      <c r="E6" s="265"/>
      <c r="F6" s="256"/>
    </row>
    <row r="7" spans="1:10" ht="14.4" customHeight="1" x14ac:dyDescent="0.3">
      <c r="A7" s="257"/>
      <c r="B7" s="266"/>
      <c r="C7" s="266"/>
      <c r="D7" s="266"/>
      <c r="E7" s="266"/>
      <c r="F7" s="258"/>
    </row>
    <row r="8" spans="1:10" x14ac:dyDescent="0.3">
      <c r="A8" s="120"/>
      <c r="B8" s="271" t="s">
        <v>198</v>
      </c>
      <c r="C8" s="271"/>
      <c r="D8" s="272" t="s">
        <v>197</v>
      </c>
      <c r="E8" s="272"/>
      <c r="F8" s="106" t="s">
        <v>75</v>
      </c>
    </row>
    <row r="9" spans="1:10" x14ac:dyDescent="0.3">
      <c r="A9" s="115" t="s">
        <v>162</v>
      </c>
      <c r="B9" s="269">
        <f>J2*I2*1000</f>
        <v>28333876.651982378</v>
      </c>
      <c r="C9" s="269"/>
      <c r="D9" s="269">
        <f>(G31*G38*G39+H31*H38*H39+I31*I38*I39)*1000</f>
        <v>226625.550660793</v>
      </c>
      <c r="E9" s="280"/>
      <c r="F9" s="119">
        <f>SUM(B9:E9)</f>
        <v>28560502.202643171</v>
      </c>
    </row>
    <row r="10" spans="1:10" x14ac:dyDescent="0.3">
      <c r="A10" s="115" t="s">
        <v>178</v>
      </c>
      <c r="B10" s="269">
        <f>J3*I3*1000</f>
        <v>20821565.502481669</v>
      </c>
      <c r="C10" s="269"/>
      <c r="D10" s="269">
        <f>(G34*G38*G39+H34*H38*H39+I34*I38*I39)*1000</f>
        <v>531591.27465365769</v>
      </c>
      <c r="E10" s="280"/>
      <c r="F10" s="119">
        <f>SUM(B10:E10)</f>
        <v>21353156.777135327</v>
      </c>
      <c r="G10" s="255" t="s">
        <v>196</v>
      </c>
      <c r="H10" s="265"/>
      <c r="I10" s="256"/>
    </row>
    <row r="11" spans="1:10" x14ac:dyDescent="0.3">
      <c r="A11" s="109" t="s">
        <v>179</v>
      </c>
      <c r="B11" s="267">
        <f>J4*I4*1000</f>
        <v>53389685.218619987</v>
      </c>
      <c r="C11" s="267"/>
      <c r="D11" s="267">
        <f>(G37*G38*G39+H37*H38*H39+I37*I38*I39)*1000</f>
        <v>128238.63725567154</v>
      </c>
      <c r="E11" s="268"/>
      <c r="F11" s="118">
        <f>SUM(B11:E11)</f>
        <v>53517923.855875656</v>
      </c>
      <c r="G11" s="257"/>
      <c r="H11" s="266"/>
      <c r="I11" s="258"/>
    </row>
    <row r="12" spans="1:10" x14ac:dyDescent="0.3">
      <c r="G12" s="116"/>
      <c r="H12" s="114" t="s">
        <v>195</v>
      </c>
      <c r="I12" s="106"/>
    </row>
    <row r="13" spans="1:10" ht="14.4" customHeight="1" x14ac:dyDescent="0.3">
      <c r="A13" s="255" t="s">
        <v>234</v>
      </c>
      <c r="B13" s="265"/>
      <c r="C13" s="265"/>
      <c r="D13" s="265"/>
      <c r="E13" s="265"/>
      <c r="F13" s="256"/>
      <c r="G13" s="115" t="s">
        <v>162</v>
      </c>
      <c r="H13" s="274">
        <f>F16-F9</f>
        <v>2639217.2376529835</v>
      </c>
      <c r="I13" s="275"/>
    </row>
    <row r="14" spans="1:10" ht="14.4" customHeight="1" x14ac:dyDescent="0.3">
      <c r="A14" s="257"/>
      <c r="B14" s="266"/>
      <c r="C14" s="266"/>
      <c r="D14" s="266"/>
      <c r="E14" s="266"/>
      <c r="F14" s="258"/>
      <c r="G14" s="115" t="s">
        <v>178</v>
      </c>
      <c r="H14" s="274">
        <f>F17-F10</f>
        <v>1777567.8547461219</v>
      </c>
      <c r="I14" s="275"/>
    </row>
    <row r="15" spans="1:10" x14ac:dyDescent="0.3">
      <c r="A15" s="120"/>
      <c r="B15" s="271" t="s">
        <v>198</v>
      </c>
      <c r="C15" s="271"/>
      <c r="D15" s="272" t="s">
        <v>197</v>
      </c>
      <c r="E15" s="273"/>
      <c r="F15" s="106" t="s">
        <v>75</v>
      </c>
      <c r="G15" s="109" t="s">
        <v>179</v>
      </c>
      <c r="H15" s="276">
        <f>F18-F11</f>
        <v>3465067.424856998</v>
      </c>
      <c r="I15" s="277"/>
    </row>
    <row r="16" spans="1:10" x14ac:dyDescent="0.3">
      <c r="A16" s="115" t="s">
        <v>162</v>
      </c>
      <c r="B16" s="269">
        <f>(J2*(G2+B42*H2)*1000)</f>
        <v>30886034.951109782</v>
      </c>
      <c r="C16" s="269"/>
      <c r="D16" s="278">
        <f>(B31*B38+C31*C38+D31*D38)*1000</f>
        <v>313684.48918637296</v>
      </c>
      <c r="E16" s="279"/>
      <c r="F16" s="119">
        <f>SUM(B16:E16)</f>
        <v>31199719.440296154</v>
      </c>
    </row>
    <row r="17" spans="1:13" x14ac:dyDescent="0.3">
      <c r="A17" s="115" t="s">
        <v>178</v>
      </c>
      <c r="B17" s="269">
        <f>J3*(G3+C42*H3)*1000</f>
        <v>22504900.553941842</v>
      </c>
      <c r="C17" s="269"/>
      <c r="D17" s="269">
        <f>(B34*B38+C34*C38+D34*D38)*1000</f>
        <v>625824.0779396086</v>
      </c>
      <c r="E17" s="280"/>
      <c r="F17" s="119">
        <f>SUM(B17:E17)</f>
        <v>23130724.631881449</v>
      </c>
    </row>
    <row r="18" spans="1:13" x14ac:dyDescent="0.3">
      <c r="A18" s="109" t="s">
        <v>179</v>
      </c>
      <c r="B18" s="270">
        <f>J4*(G4+D42*H4)*1000</f>
        <v>56829730.170752496</v>
      </c>
      <c r="C18" s="267"/>
      <c r="D18" s="267">
        <f>(B37*B38+C37*C38+D37*D38)*1000</f>
        <v>153261.10998015542</v>
      </c>
      <c r="E18" s="268"/>
      <c r="F18" s="118">
        <f>SUM(B18:E18)</f>
        <v>56982991.280732654</v>
      </c>
    </row>
    <row r="20" spans="1:13" ht="21" x14ac:dyDescent="0.3">
      <c r="D20" s="117"/>
      <c r="E20" s="117"/>
    </row>
    <row r="21" spans="1:13" ht="21" x14ac:dyDescent="0.3">
      <c r="D21" s="117"/>
      <c r="E21" s="117"/>
      <c r="F21" s="100"/>
      <c r="M21" s="108"/>
    </row>
    <row r="22" spans="1:13" x14ac:dyDescent="0.3">
      <c r="E22" s="64"/>
      <c r="M22" s="108"/>
    </row>
    <row r="23" spans="1:13" x14ac:dyDescent="0.3">
      <c r="E23" s="64"/>
      <c r="M23" s="108"/>
    </row>
    <row r="24" spans="1:13" x14ac:dyDescent="0.3">
      <c r="E24" s="64"/>
    </row>
    <row r="25" spans="1:13" x14ac:dyDescent="0.3">
      <c r="E25" s="64"/>
      <c r="M25" s="108"/>
    </row>
    <row r="26" spans="1:13" x14ac:dyDescent="0.3">
      <c r="M26" s="108"/>
    </row>
    <row r="27" spans="1:13" x14ac:dyDescent="0.3">
      <c r="A27" s="210" t="s">
        <v>230</v>
      </c>
      <c r="B27" s="210"/>
      <c r="C27" s="210"/>
      <c r="D27" s="210"/>
      <c r="E27" s="211"/>
      <c r="F27" s="209" t="s">
        <v>229</v>
      </c>
      <c r="G27" s="210"/>
      <c r="H27" s="210"/>
      <c r="I27" s="210"/>
      <c r="J27" s="211"/>
      <c r="L27" s="108"/>
      <c r="M27" s="108"/>
    </row>
    <row r="28" spans="1:13" x14ac:dyDescent="0.3">
      <c r="A28" s="114"/>
      <c r="B28" s="107" t="s">
        <v>194</v>
      </c>
      <c r="C28" s="107" t="s">
        <v>193</v>
      </c>
      <c r="D28" s="107" t="s">
        <v>163</v>
      </c>
      <c r="E28" s="106" t="s">
        <v>75</v>
      </c>
      <c r="F28" s="114"/>
      <c r="G28" s="107" t="s">
        <v>194</v>
      </c>
      <c r="H28" s="107" t="s">
        <v>193</v>
      </c>
      <c r="I28" s="107" t="s">
        <v>163</v>
      </c>
      <c r="J28" s="106" t="s">
        <v>75</v>
      </c>
    </row>
    <row r="29" spans="1:13" x14ac:dyDescent="0.3">
      <c r="A29" s="105" t="s">
        <v>162</v>
      </c>
      <c r="B29" s="6">
        <v>164</v>
      </c>
      <c r="C29" s="7">
        <v>280</v>
      </c>
      <c r="D29" s="7">
        <v>888</v>
      </c>
      <c r="E29" s="8">
        <f t="shared" ref="E29:E37" si="0">SUM(B29:D29)</f>
        <v>1332</v>
      </c>
      <c r="F29" s="105" t="s">
        <v>235</v>
      </c>
      <c r="G29" s="6">
        <v>164</v>
      </c>
      <c r="H29" s="7">
        <v>280</v>
      </c>
      <c r="I29" s="7">
        <v>888</v>
      </c>
      <c r="J29" s="8">
        <f t="shared" ref="J29:J37" si="1">SUM(G29:I29)</f>
        <v>1332</v>
      </c>
      <c r="M29" s="108"/>
    </row>
    <row r="30" spans="1:13" x14ac:dyDescent="0.3">
      <c r="A30" s="104" t="s">
        <v>169</v>
      </c>
      <c r="B30" s="113">
        <f>B29/E29</f>
        <v>0.12312312312312312</v>
      </c>
      <c r="C30" s="101">
        <f>C29/E29</f>
        <v>0.21021021021021022</v>
      </c>
      <c r="D30" s="101">
        <f>D29/E29</f>
        <v>0.66666666666666663</v>
      </c>
      <c r="E30" s="112">
        <f t="shared" si="0"/>
        <v>1</v>
      </c>
      <c r="F30" s="104" t="s">
        <v>236</v>
      </c>
      <c r="G30" s="113">
        <f>G29/J29</f>
        <v>0.12312312312312312</v>
      </c>
      <c r="H30" s="101">
        <f>H29/J29</f>
        <v>0.21021021021021022</v>
      </c>
      <c r="I30" s="101">
        <f>I29/J29</f>
        <v>0.66666666666666663</v>
      </c>
      <c r="J30" s="112">
        <f t="shared" si="1"/>
        <v>1</v>
      </c>
      <c r="M30" s="108"/>
    </row>
    <row r="31" spans="1:13" x14ac:dyDescent="0.3">
      <c r="A31" s="104" t="s">
        <v>192</v>
      </c>
      <c r="B31" s="113">
        <f>($F$2-$G$2)*B30+(B42*(1-H2))*B30*G39</f>
        <v>92.067075700440526</v>
      </c>
      <c r="C31" s="101">
        <f>($F$2-$G$2)*C30+(C42*(1-H2))*C30*H39</f>
        <v>199.39327024963291</v>
      </c>
      <c r="D31" s="101">
        <f>($F$2-$G$2)*D30+(D42*(1-H2))*D30*I39</f>
        <v>572.31393712775332</v>
      </c>
      <c r="E31" s="112">
        <f t="shared" si="0"/>
        <v>863.77428307782679</v>
      </c>
      <c r="F31" s="104" t="s">
        <v>192</v>
      </c>
      <c r="G31" s="113">
        <f>(6000-$I$2)*G30</f>
        <v>90.308370044052879</v>
      </c>
      <c r="H31" s="101">
        <f>(6000-$I$2)*H30</f>
        <v>154.18502202643177</v>
      </c>
      <c r="I31" s="101">
        <f>(6000-$I$2)*I30</f>
        <v>488.98678414096923</v>
      </c>
      <c r="J31" s="112">
        <f t="shared" si="1"/>
        <v>733.48017621145391</v>
      </c>
      <c r="M31" s="108"/>
    </row>
    <row r="32" spans="1:13" x14ac:dyDescent="0.3">
      <c r="A32" s="104" t="s">
        <v>178</v>
      </c>
      <c r="B32" s="9">
        <v>2564</v>
      </c>
      <c r="C32">
        <v>3915</v>
      </c>
      <c r="D32">
        <v>2753</v>
      </c>
      <c r="E32" s="10">
        <f t="shared" si="0"/>
        <v>9232</v>
      </c>
      <c r="F32" s="104" t="s">
        <v>178</v>
      </c>
      <c r="G32" s="9">
        <v>2564</v>
      </c>
      <c r="H32">
        <v>3915</v>
      </c>
      <c r="I32">
        <v>2753</v>
      </c>
      <c r="J32" s="10">
        <f t="shared" si="1"/>
        <v>9232</v>
      </c>
    </row>
    <row r="33" spans="1:13" x14ac:dyDescent="0.3">
      <c r="A33" s="110" t="s">
        <v>169</v>
      </c>
      <c r="B33" s="113">
        <f>B32/$E$32</f>
        <v>0.27772963604852685</v>
      </c>
      <c r="C33" s="101">
        <f>C32/$E$32</f>
        <v>0.4240684575389948</v>
      </c>
      <c r="D33" s="101">
        <f>D32/$E$32</f>
        <v>0.29820190641247835</v>
      </c>
      <c r="E33" s="112">
        <f t="shared" si="0"/>
        <v>1</v>
      </c>
      <c r="F33" s="104" t="s">
        <v>169</v>
      </c>
      <c r="G33" s="113">
        <f>G32/$E$32</f>
        <v>0.27772963604852685</v>
      </c>
      <c r="H33" s="101">
        <f>H32/$E$32</f>
        <v>0.4240684575389948</v>
      </c>
      <c r="I33" s="101">
        <f>I32/$E$32</f>
        <v>0.29820190641247835</v>
      </c>
      <c r="J33" s="112">
        <f t="shared" si="1"/>
        <v>1</v>
      </c>
      <c r="M33" s="108"/>
    </row>
    <row r="34" spans="1:13" x14ac:dyDescent="0.3">
      <c r="A34" s="110" t="s">
        <v>192</v>
      </c>
      <c r="B34" s="113">
        <f>($F$3-$G$3)*B33+(C42*(1-H3)*B33)*G39</f>
        <v>328.80469327461026</v>
      </c>
      <c r="C34" s="101">
        <f>($F$3-$G$3)*C33+(C42*(1-H3)*C33)*H39</f>
        <v>502.05552814746454</v>
      </c>
      <c r="D34" s="101">
        <f>($F$3-$G$3)*D33+(C42*(1-H3)*D33)*I39</f>
        <v>353.04185670241884</v>
      </c>
      <c r="E34" s="112">
        <f t="shared" si="0"/>
        <v>1183.9020781244935</v>
      </c>
      <c r="F34" s="104" t="s">
        <v>192</v>
      </c>
      <c r="G34" s="113">
        <f>(6000-$I$3)*G33</f>
        <v>349.11908987548981</v>
      </c>
      <c r="H34" s="101">
        <f>(6000-$I$3)*H33</f>
        <v>533.07380532860475</v>
      </c>
      <c r="I34" s="101">
        <f>(6000-$I$3)*I33</f>
        <v>374.8536873741121</v>
      </c>
      <c r="J34" s="112">
        <f t="shared" si="1"/>
        <v>1257.0465825782067</v>
      </c>
      <c r="M34" s="108"/>
    </row>
    <row r="35" spans="1:13" x14ac:dyDescent="0.3">
      <c r="A35" s="110" t="s">
        <v>179</v>
      </c>
      <c r="B35" s="9">
        <v>0</v>
      </c>
      <c r="C35">
        <v>1106</v>
      </c>
      <c r="D35">
        <v>2036</v>
      </c>
      <c r="E35" s="10">
        <f t="shared" si="0"/>
        <v>3142</v>
      </c>
      <c r="F35" s="104" t="s">
        <v>179</v>
      </c>
      <c r="G35" s="9">
        <v>0</v>
      </c>
      <c r="H35">
        <v>1106</v>
      </c>
      <c r="I35">
        <v>2036</v>
      </c>
      <c r="J35" s="10">
        <f t="shared" si="1"/>
        <v>3142</v>
      </c>
      <c r="M35" s="108"/>
    </row>
    <row r="36" spans="1:13" x14ac:dyDescent="0.3">
      <c r="A36" s="110" t="s">
        <v>169</v>
      </c>
      <c r="B36" s="113">
        <f>B35/$E$35</f>
        <v>0</v>
      </c>
      <c r="C36" s="101">
        <f>C35/$E$35</f>
        <v>0.35200509229789945</v>
      </c>
      <c r="D36" s="101">
        <f>D35/$E$35</f>
        <v>0.64799490770210055</v>
      </c>
      <c r="E36" s="112">
        <f t="shared" si="0"/>
        <v>1</v>
      </c>
      <c r="F36" s="104" t="s">
        <v>169</v>
      </c>
      <c r="G36" s="113">
        <f>G35/$E$35</f>
        <v>0</v>
      </c>
      <c r="H36" s="101">
        <f>H35/$E$35</f>
        <v>0.35200509229789945</v>
      </c>
      <c r="I36" s="101">
        <f>I35/$E$35</f>
        <v>0.64799490770210055</v>
      </c>
      <c r="J36" s="112">
        <f t="shared" si="1"/>
        <v>1</v>
      </c>
    </row>
    <row r="37" spans="1:13" x14ac:dyDescent="0.3">
      <c r="A37" s="110" t="s">
        <v>192</v>
      </c>
      <c r="B37" s="113">
        <f>($F$4-$G$4)*B36</f>
        <v>0</v>
      </c>
      <c r="C37" s="101">
        <f>($F$4-$G$4)*C36+(D42*(1-H4)*C36)*H39</f>
        <v>249.0256620409765</v>
      </c>
      <c r="D37" s="101">
        <f>($F$4-$G$4)*D36+(D42*(1-H4)*D36)*I39</f>
        <v>458.42337062877766</v>
      </c>
      <c r="E37" s="112">
        <f t="shared" si="0"/>
        <v>707.44903266975416</v>
      </c>
      <c r="F37" s="104" t="s">
        <v>192</v>
      </c>
      <c r="G37" s="113">
        <f>(6000-$I$4)*G36</f>
        <v>0</v>
      </c>
      <c r="H37" s="101">
        <f>(6000-$I$4)*H36</f>
        <v>260.46000470994574</v>
      </c>
      <c r="I37" s="101">
        <f>(6000-$I$4)*I36</f>
        <v>479.47248606641</v>
      </c>
      <c r="J37" s="112">
        <f t="shared" si="1"/>
        <v>739.93249077635573</v>
      </c>
      <c r="M37" s="108"/>
    </row>
    <row r="38" spans="1:13" x14ac:dyDescent="0.3">
      <c r="A38" s="110" t="s">
        <v>191</v>
      </c>
      <c r="B38" s="111">
        <v>1.45</v>
      </c>
      <c r="C38" s="108">
        <v>0.1</v>
      </c>
      <c r="D38" s="108">
        <v>0.28000000000000003</v>
      </c>
      <c r="E38" s="10"/>
      <c r="F38" s="104" t="s">
        <v>191</v>
      </c>
      <c r="G38" s="111">
        <v>1.45</v>
      </c>
      <c r="H38" s="108">
        <v>0.1</v>
      </c>
      <c r="I38" s="108">
        <v>0.28000000000000003</v>
      </c>
      <c r="J38" s="10"/>
      <c r="M38" s="108"/>
    </row>
    <row r="39" spans="1:13" x14ac:dyDescent="0.3">
      <c r="A39" s="110" t="s">
        <v>190</v>
      </c>
      <c r="B39" s="11">
        <v>0.8</v>
      </c>
      <c r="C39" s="16">
        <v>0.8</v>
      </c>
      <c r="D39" s="16">
        <v>0.8</v>
      </c>
      <c r="E39" s="13"/>
      <c r="F39" s="109" t="s">
        <v>237</v>
      </c>
      <c r="G39" s="11">
        <v>0.8</v>
      </c>
      <c r="H39" s="16">
        <v>0.8</v>
      </c>
      <c r="I39" s="16">
        <v>0.8</v>
      </c>
      <c r="J39" s="13"/>
      <c r="M39" s="108"/>
    </row>
    <row r="40" spans="1:13" x14ac:dyDescent="0.3">
      <c r="A40" s="129"/>
      <c r="B40" s="128" t="s">
        <v>162</v>
      </c>
      <c r="C40" s="128" t="s">
        <v>178</v>
      </c>
      <c r="D40" s="127" t="s">
        <v>179</v>
      </c>
    </row>
    <row r="41" spans="1:13" x14ac:dyDescent="0.3">
      <c r="A41" s="105" t="s">
        <v>189</v>
      </c>
      <c r="B41" s="7">
        <v>3882</v>
      </c>
      <c r="C41" s="7">
        <v>1829</v>
      </c>
      <c r="D41" s="8">
        <v>2750</v>
      </c>
      <c r="E41" t="s">
        <v>188</v>
      </c>
    </row>
    <row r="42" spans="1:13" x14ac:dyDescent="0.3">
      <c r="A42" s="104" t="s">
        <v>187</v>
      </c>
      <c r="B42">
        <f>6000-B41</f>
        <v>2118</v>
      </c>
      <c r="C42">
        <f>6000-C41</f>
        <v>4171</v>
      </c>
      <c r="D42" s="10">
        <f>6000-D41</f>
        <v>3250</v>
      </c>
      <c r="E42" t="s">
        <v>231</v>
      </c>
      <c r="G42" s="65" t="s">
        <v>238</v>
      </c>
    </row>
    <row r="43" spans="1:13" x14ac:dyDescent="0.3">
      <c r="A43" s="104" t="s">
        <v>75</v>
      </c>
      <c r="B43">
        <f>SUM(B41:B42)</f>
        <v>6000</v>
      </c>
      <c r="C43">
        <f>SUM(C41:C42)</f>
        <v>6000</v>
      </c>
      <c r="D43" s="10">
        <f>SUM(D41:D42)</f>
        <v>6000</v>
      </c>
      <c r="E43" t="s">
        <v>232</v>
      </c>
      <c r="G43" t="s">
        <v>239</v>
      </c>
    </row>
    <row r="44" spans="1:13" x14ac:dyDescent="0.3">
      <c r="A44" s="104" t="s">
        <v>186</v>
      </c>
      <c r="B44" s="97">
        <f>B43*H2</f>
        <v>5266.5198237885461</v>
      </c>
      <c r="C44" s="97">
        <f>C43*H3</f>
        <v>4742.9534174217933</v>
      </c>
      <c r="D44" s="103">
        <f>D43*H4</f>
        <v>5260.0675092236443</v>
      </c>
      <c r="E44" t="s">
        <v>185</v>
      </c>
      <c r="G44" t="s">
        <v>240</v>
      </c>
    </row>
    <row r="45" spans="1:13" x14ac:dyDescent="0.3">
      <c r="A45" s="104" t="s">
        <v>184</v>
      </c>
      <c r="B45" s="97">
        <f>B42*H2+B41</f>
        <v>5741.0814977973569</v>
      </c>
      <c r="C45" s="97">
        <f>C42*H3+C41</f>
        <v>5126.1431173443834</v>
      </c>
      <c r="D45" s="103">
        <f>D42*H4+D41</f>
        <v>5599.2032341628073</v>
      </c>
      <c r="E45" t="s">
        <v>183</v>
      </c>
    </row>
    <row r="46" spans="1:13" x14ac:dyDescent="0.3">
      <c r="A46" s="102" t="s">
        <v>182</v>
      </c>
      <c r="B46" s="98">
        <f>B45-B44</f>
        <v>474.56167400881077</v>
      </c>
      <c r="C46" s="98">
        <f>C45-C44</f>
        <v>383.18969992259008</v>
      </c>
      <c r="D46" s="99">
        <f>D45-D44</f>
        <v>339.13572493916308</v>
      </c>
      <c r="E46" t="s">
        <v>181</v>
      </c>
    </row>
  </sheetData>
  <mergeCells count="24">
    <mergeCell ref="A6:F7"/>
    <mergeCell ref="A13:F14"/>
    <mergeCell ref="A27:E27"/>
    <mergeCell ref="H13:I13"/>
    <mergeCell ref="H14:I14"/>
    <mergeCell ref="H15:I15"/>
    <mergeCell ref="D8:E8"/>
    <mergeCell ref="B8:C8"/>
    <mergeCell ref="B16:C16"/>
    <mergeCell ref="D16:E16"/>
    <mergeCell ref="B17:C17"/>
    <mergeCell ref="D17:E17"/>
    <mergeCell ref="D9:E9"/>
    <mergeCell ref="D10:E10"/>
    <mergeCell ref="B18:C18"/>
    <mergeCell ref="D18:E18"/>
    <mergeCell ref="B15:C15"/>
    <mergeCell ref="D15:E15"/>
    <mergeCell ref="F27:J27"/>
    <mergeCell ref="G10:I11"/>
    <mergeCell ref="D11:E11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79386CEAA9BE644A3241320CAA79571" ma:contentTypeVersion="14" ma:contentTypeDescription="Opprett et nytt dokument." ma:contentTypeScope="" ma:versionID="c2d37fb7d54baada321725230a0e5ce0">
  <xsd:schema xmlns:xsd="http://www.w3.org/2001/XMLSchema" xmlns:xs="http://www.w3.org/2001/XMLSchema" xmlns:p="http://schemas.microsoft.com/office/2006/metadata/properties" xmlns:ns2="fb4383b5-b2f0-4cc6-8242-20a0b4e1665e" xmlns:ns3="235d2692-2a7c-436d-8bcf-e73caef904af" targetNamespace="http://schemas.microsoft.com/office/2006/metadata/properties" ma:root="true" ma:fieldsID="5a89af12de7c1573dc5a5afd15c01532" ns2:_="" ns3:_="">
    <xsd:import namespace="fb4383b5-b2f0-4cc6-8242-20a0b4e1665e"/>
    <xsd:import namespace="235d2692-2a7c-436d-8bcf-e73caef904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383b5-b2f0-4cc6-8242-20a0b4e16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5da9934d-bfb1-4def-aef0-a37b7e29cb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d2692-2a7c-436d-8bcf-e73caef90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a2dc35b-66a4-490d-a2fb-5f1903fe1b98}" ma:internalName="TaxCatchAll" ma:showField="CatchAllData" ma:web="235d2692-2a7c-436d-8bcf-e73caef904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4383b5-b2f0-4cc6-8242-20a0b4e1665e">
      <Terms xmlns="http://schemas.microsoft.com/office/infopath/2007/PartnerControls"/>
    </lcf76f155ced4ddcb4097134ff3c332f>
    <TaxCatchAll xmlns="235d2692-2a7c-436d-8bcf-e73caef904af" xsi:nil="true"/>
  </documentManagement>
</p:properties>
</file>

<file path=customXml/itemProps1.xml><?xml version="1.0" encoding="utf-8"?>
<ds:datastoreItem xmlns:ds="http://schemas.openxmlformats.org/officeDocument/2006/customXml" ds:itemID="{E5F108CE-FBED-4BB9-AF58-AD514071B2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FB2975-7F56-4AD8-8C2D-8C66D65F90A1}"/>
</file>

<file path=customXml/itemProps3.xml><?xml version="1.0" encoding="utf-8"?>
<ds:datastoreItem xmlns:ds="http://schemas.openxmlformats.org/officeDocument/2006/customXml" ds:itemID="{FFB05902-8185-4A49-8196-9B75518896B5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235d2692-2a7c-436d-8bcf-e73caef904af"/>
    <ds:schemaRef ds:uri="fb4383b5-b2f0-4cc6-8242-20a0b4e166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3x Estimat VW</vt:lpstr>
      <vt:lpstr>3x estimate Outlander</vt:lpstr>
      <vt:lpstr>3x estimate Hy</vt:lpstr>
      <vt:lpstr>Graph data</vt:lpstr>
      <vt:lpstr>Electricity costs</vt:lpstr>
      <vt:lpstr>Interpolasjon 1200 </vt:lpstr>
      <vt:lpstr>Calculation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Pripp</dc:creator>
  <cp:keywords/>
  <dc:description/>
  <cp:lastModifiedBy>Simon Pripp</cp:lastModifiedBy>
  <cp:revision/>
  <dcterms:created xsi:type="dcterms:W3CDTF">2023-03-03T08:10:51Z</dcterms:created>
  <dcterms:modified xsi:type="dcterms:W3CDTF">2023-05-09T14:20:01Z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0x010100D79386CEAA9BE644A3241320CAA79571</vt:lpwstr>
  </property>
  <property fmtid="{D5CDD505-2E9C-101B-9397-08002B2CF9AE}" pid="3" name="MSIP_Label_b4114459-e220-4ae9-b339-4ebe6008cdd4_Enabled">
    <vt:lpwstr>true</vt:lpwstr>
  </property>
  <property fmtid="{D5CDD505-2E9C-101B-9397-08002B2CF9AE}" pid="4" name="MSIP_Label_b4114459-e220-4ae9-b339-4ebe6008cdd4_SetDate">
    <vt:lpwstr>2023-03-03T10:03:53Z</vt:lpwstr>
  </property>
  <property fmtid="{D5CDD505-2E9C-101B-9397-08002B2CF9AE}" pid="5" name="MSIP_Label_b4114459-e220-4ae9-b339-4ebe6008cdd4_Method">
    <vt:lpwstr>Standard</vt:lpwstr>
  </property>
  <property fmtid="{D5CDD505-2E9C-101B-9397-08002B2CF9AE}" pid="6" name="MSIP_Label_b4114459-e220-4ae9-b339-4ebe6008cdd4_Name">
    <vt:lpwstr>b4114459-e220-4ae9-b339-4ebe6008cdd4</vt:lpwstr>
  </property>
  <property fmtid="{D5CDD505-2E9C-101B-9397-08002B2CF9AE}" pid="7" name="MSIP_Label_b4114459-e220-4ae9-b339-4ebe6008cdd4_SiteId">
    <vt:lpwstr>8482881e-3699-4b3f-b135-cf4800bc1efb</vt:lpwstr>
  </property>
  <property fmtid="{D5CDD505-2E9C-101B-9397-08002B2CF9AE}" pid="8" name="MSIP_Label_b4114459-e220-4ae9-b339-4ebe6008cdd4_ActionId">
    <vt:lpwstr>2f4e4b85-0446-40b2-b50f-68ff1e5de475</vt:lpwstr>
  </property>
  <property fmtid="{D5CDD505-2E9C-101B-9397-08002B2CF9AE}" pid="9" name="MSIP_Label_b4114459-e220-4ae9-b339-4ebe6008cdd4_ContentBits">
    <vt:lpwstr>0</vt:lpwstr>
  </property>
  <property fmtid="{D5CDD505-2E9C-101B-9397-08002B2CF9AE}" pid="10" name="MediaServiceImageTags">
    <vt:lpwstr/>
  </property>
</Properties>
</file>