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User\Documents\Caleb School\2019-2020\Spring\MATH 319-ENGR419\Project\"/>
    </mc:Choice>
  </mc:AlternateContent>
  <xr:revisionPtr revIDLastSave="0" documentId="13_ncr:1_{624EA471-D683-45B3-909D-5C300EFE3836}" xr6:coauthVersionLast="45" xr6:coauthVersionMax="45" xr10:uidLastSave="{00000000-0000-0000-0000-000000000000}"/>
  <bookViews>
    <workbookView xWindow="-1140" yWindow="-15870" windowWidth="25440" windowHeight="15390" firstSheet="2" activeTab="7" xr2:uid="{D7D31FA3-9DB4-4CBD-A8AE-61E630D397E2}"/>
  </bookViews>
  <sheets>
    <sheet name="Fan Cost Model" sheetId="1" r:id="rId1"/>
    <sheet name="Pump Cost Models" sheetId="6" r:id="rId2"/>
    <sheet name="BAC Data" sheetId="3" r:id="rId3"/>
    <sheet name="Surface Fitting" sheetId="4" r:id="rId4"/>
    <sheet name="GRG Minimization" sheetId="8" r:id="rId5"/>
    <sheet name="Economic Evaluation" sheetId="5" r:id="rId6"/>
    <sheet name="No Startup Cost Minimization" sheetId="9" r:id="rId7"/>
    <sheet name="Break-Even Point" sheetId="10" r:id="rId8"/>
  </sheets>
  <definedNames>
    <definedName name="solver_adj" localSheetId="7" hidden="1">'Break-Even Point'!$C$31:$C$33</definedName>
    <definedName name="solver_adj" localSheetId="4" hidden="1">'GRG Minimization'!$C$20:$C$21</definedName>
    <definedName name="solver_adj" localSheetId="6" hidden="1">'No Startup Cost Minimization'!$C$26:$C$27</definedName>
    <definedName name="solver_cvg" localSheetId="7" hidden="1">0.0001</definedName>
    <definedName name="solver_cvg" localSheetId="4" hidden="1">0.0001</definedName>
    <definedName name="solver_cvg" localSheetId="6" hidden="1">0.0001</definedName>
    <definedName name="solver_drv" localSheetId="7" hidden="1">2</definedName>
    <definedName name="solver_drv" localSheetId="4" hidden="1">2</definedName>
    <definedName name="solver_drv" localSheetId="6" hidden="1">2</definedName>
    <definedName name="solver_eng" localSheetId="7" hidden="1">1</definedName>
    <definedName name="solver_eng" localSheetId="4" hidden="1">1</definedName>
    <definedName name="solver_eng" localSheetId="6" hidden="1">1</definedName>
    <definedName name="solver_est" localSheetId="7" hidden="1">1</definedName>
    <definedName name="solver_est" localSheetId="4" hidden="1">1</definedName>
    <definedName name="solver_est" localSheetId="6" hidden="1">1</definedName>
    <definedName name="solver_itr" localSheetId="7" hidden="1">2147483647</definedName>
    <definedName name="solver_itr" localSheetId="4" hidden="1">2147483647</definedName>
    <definedName name="solver_itr" localSheetId="6" hidden="1">2147483647</definedName>
    <definedName name="solver_lhs1" localSheetId="7" hidden="1">'Break-Even Point'!$C$31</definedName>
    <definedName name="solver_lhs1" localSheetId="4" hidden="1">'GRG Minimization'!$C$20</definedName>
    <definedName name="solver_lhs1" localSheetId="6" hidden="1">'No Startup Cost Minimization'!$C$26</definedName>
    <definedName name="solver_lhs2" localSheetId="7" hidden="1">'Break-Even Point'!$C$31</definedName>
    <definedName name="solver_lhs2" localSheetId="4" hidden="1">'GRG Minimization'!$C$20</definedName>
    <definedName name="solver_lhs2" localSheetId="6" hidden="1">'No Startup Cost Minimization'!$C$26</definedName>
    <definedName name="solver_lhs3" localSheetId="7" hidden="1">'Break-Even Point'!$C$32</definedName>
    <definedName name="solver_lhs3" localSheetId="4" hidden="1">'GRG Minimization'!$C$21</definedName>
    <definedName name="solver_lhs3" localSheetId="6" hidden="1">'No Startup Cost Minimization'!$C$27</definedName>
    <definedName name="solver_lhs4" localSheetId="7" hidden="1">'Break-Even Point'!$C$32</definedName>
    <definedName name="solver_lhs4" localSheetId="4" hidden="1">'GRG Minimization'!$G$20</definedName>
    <definedName name="solver_lhs4" localSheetId="6" hidden="1">'No Startup Cost Minimization'!$C$27</definedName>
    <definedName name="solver_lhs5" localSheetId="7" hidden="1">'Break-Even Point'!$H$31</definedName>
    <definedName name="solver_lhs5" localSheetId="6" hidden="1">'No Startup Cost Minimization'!$H$26</definedName>
    <definedName name="solver_mip" localSheetId="7" hidden="1">2147483647</definedName>
    <definedName name="solver_mip" localSheetId="4" hidden="1">2147483647</definedName>
    <definedName name="solver_mip" localSheetId="6" hidden="1">2147483647</definedName>
    <definedName name="solver_mni" localSheetId="7" hidden="1">30</definedName>
    <definedName name="solver_mni" localSheetId="4" hidden="1">30</definedName>
    <definedName name="solver_mni" localSheetId="6" hidden="1">30</definedName>
    <definedName name="solver_mrt" localSheetId="7" hidden="1">0.075</definedName>
    <definedName name="solver_mrt" localSheetId="4" hidden="1">0.075</definedName>
    <definedName name="solver_mrt" localSheetId="6" hidden="1">0.075</definedName>
    <definedName name="solver_msl" localSheetId="7" hidden="1">2</definedName>
    <definedName name="solver_msl" localSheetId="4" hidden="1">2</definedName>
    <definedName name="solver_msl" localSheetId="6" hidden="1">2</definedName>
    <definedName name="solver_neg" localSheetId="7" hidden="1">1</definedName>
    <definedName name="solver_neg" localSheetId="4" hidden="1">1</definedName>
    <definedName name="solver_neg" localSheetId="6" hidden="1">1</definedName>
    <definedName name="solver_nod" localSheetId="7" hidden="1">2147483647</definedName>
    <definedName name="solver_nod" localSheetId="4" hidden="1">2147483647</definedName>
    <definedName name="solver_nod" localSheetId="6" hidden="1">2147483647</definedName>
    <definedName name="solver_num" localSheetId="7" hidden="1">5</definedName>
    <definedName name="solver_num" localSheetId="4" hidden="1">4</definedName>
    <definedName name="solver_num" localSheetId="6" hidden="1">5</definedName>
    <definedName name="solver_nwt" localSheetId="7" hidden="1">1</definedName>
    <definedName name="solver_nwt" localSheetId="4" hidden="1">1</definedName>
    <definedName name="solver_nwt" localSheetId="6" hidden="1">1</definedName>
    <definedName name="solver_opt" localSheetId="7" hidden="1">'Break-Even Point'!$C$28</definedName>
    <definedName name="solver_opt" localSheetId="4" hidden="1">'GRG Minimization'!$C$17</definedName>
    <definedName name="solver_opt" localSheetId="6" hidden="1">'No Startup Cost Minimization'!$C$23</definedName>
    <definedName name="solver_pre" localSheetId="7" hidden="1">0.000001</definedName>
    <definedName name="solver_pre" localSheetId="4" hidden="1">0.000001</definedName>
    <definedName name="solver_pre" localSheetId="6" hidden="1">0.000001</definedName>
    <definedName name="solver_rbv" localSheetId="7" hidden="1">2</definedName>
    <definedName name="solver_rbv" localSheetId="4" hidden="1">2</definedName>
    <definedName name="solver_rbv" localSheetId="6" hidden="1">2</definedName>
    <definedName name="solver_rel1" localSheetId="7" hidden="1">1</definedName>
    <definedName name="solver_rel1" localSheetId="4" hidden="1">1</definedName>
    <definedName name="solver_rel1" localSheetId="6" hidden="1">1</definedName>
    <definedName name="solver_rel2" localSheetId="7" hidden="1">3</definedName>
    <definedName name="solver_rel2" localSheetId="4" hidden="1">3</definedName>
    <definedName name="solver_rel2" localSheetId="6" hidden="1">3</definedName>
    <definedName name="solver_rel3" localSheetId="7" hidden="1">1</definedName>
    <definedName name="solver_rel3" localSheetId="4" hidden="1">3</definedName>
    <definedName name="solver_rel3" localSheetId="6" hidden="1">1</definedName>
    <definedName name="solver_rel4" localSheetId="7" hidden="1">3</definedName>
    <definedName name="solver_rel4" localSheetId="4" hidden="1">3</definedName>
    <definedName name="solver_rel4" localSheetId="6" hidden="1">3</definedName>
    <definedName name="solver_rel5" localSheetId="7" hidden="1">3</definedName>
    <definedName name="solver_rel5" localSheetId="6" hidden="1">3</definedName>
    <definedName name="solver_rhs1" localSheetId="7" hidden="1">1524</definedName>
    <definedName name="solver_rhs1" localSheetId="4" hidden="1">1524</definedName>
    <definedName name="solver_rhs1" localSheetId="6" hidden="1">1524</definedName>
    <definedName name="solver_rhs2" localSheetId="7" hidden="1">688.5</definedName>
    <definedName name="solver_rhs2" localSheetId="4" hidden="1">688.5</definedName>
    <definedName name="solver_rhs2" localSheetId="6" hidden="1">688.5</definedName>
    <definedName name="solver_rhs3" localSheetId="7" hidden="1">5</definedName>
    <definedName name="solver_rhs3" localSheetId="4" hidden="1">1</definedName>
    <definedName name="solver_rhs3" localSheetId="6" hidden="1">5</definedName>
    <definedName name="solver_rhs4" localSheetId="7" hidden="1">1</definedName>
    <definedName name="solver_rhs4" localSheetId="4" hidden="1">18000</definedName>
    <definedName name="solver_rhs4" localSheetId="6" hidden="1">1</definedName>
    <definedName name="solver_rhs5" localSheetId="7" hidden="1">18000</definedName>
    <definedName name="solver_rhs5" localSheetId="6" hidden="1">18000</definedName>
    <definedName name="solver_rlx" localSheetId="7" hidden="1">2</definedName>
    <definedName name="solver_rlx" localSheetId="4" hidden="1">2</definedName>
    <definedName name="solver_rlx" localSheetId="6" hidden="1">2</definedName>
    <definedName name="solver_rsd" localSheetId="7" hidden="1">0</definedName>
    <definedName name="solver_rsd" localSheetId="4" hidden="1">0</definedName>
    <definedName name="solver_rsd" localSheetId="6" hidden="1">0</definedName>
    <definedName name="solver_scl" localSheetId="7" hidden="1">2</definedName>
    <definedName name="solver_scl" localSheetId="4" hidden="1">2</definedName>
    <definedName name="solver_scl" localSheetId="6" hidden="1">2</definedName>
    <definedName name="solver_sho" localSheetId="7" hidden="1">2</definedName>
    <definedName name="solver_sho" localSheetId="4" hidden="1">2</definedName>
    <definedName name="solver_sho" localSheetId="6" hidden="1">2</definedName>
    <definedName name="solver_ssz" localSheetId="7" hidden="1">100</definedName>
    <definedName name="solver_ssz" localSheetId="4" hidden="1">100</definedName>
    <definedName name="solver_ssz" localSheetId="6" hidden="1">100</definedName>
    <definedName name="solver_tim" localSheetId="7" hidden="1">2147483647</definedName>
    <definedName name="solver_tim" localSheetId="4" hidden="1">2147483647</definedName>
    <definedName name="solver_tim" localSheetId="6" hidden="1">2147483647</definedName>
    <definedName name="solver_tol" localSheetId="7" hidden="1">0.01</definedName>
    <definedName name="solver_tol" localSheetId="4" hidden="1">0.01</definedName>
    <definedName name="solver_tol" localSheetId="6" hidden="1">0.01</definedName>
    <definedName name="solver_typ" localSheetId="7" hidden="1">3</definedName>
    <definedName name="solver_typ" localSheetId="4" hidden="1">2</definedName>
    <definedName name="solver_typ" localSheetId="6" hidden="1">2</definedName>
    <definedName name="solver_val" localSheetId="7" hidden="1">0.0519031141868512</definedName>
    <definedName name="solver_val" localSheetId="4" hidden="1">0</definedName>
    <definedName name="solver_val" localSheetId="6" hidden="1">0</definedName>
    <definedName name="solver_ver" localSheetId="7" hidden="1">3</definedName>
    <definedName name="solver_ver" localSheetId="4" hidden="1">3</definedName>
    <definedName name="solver_ver" localSheetId="6"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3" i="10" l="1"/>
  <c r="H32" i="10"/>
  <c r="D32" i="10"/>
  <c r="D31" i="10"/>
  <c r="H28" i="9"/>
  <c r="H31" i="10" l="1"/>
  <c r="C28" i="10" s="1"/>
  <c r="H27" i="9" l="1"/>
  <c r="D27" i="9"/>
  <c r="D26" i="9"/>
  <c r="K147" i="3"/>
  <c r="K144" i="3"/>
  <c r="K145" i="3"/>
  <c r="K146" i="3"/>
  <c r="K143" i="3"/>
  <c r="G22" i="8"/>
  <c r="C18" i="6"/>
  <c r="H21" i="6" s="1"/>
  <c r="D20" i="5"/>
  <c r="D26" i="5" s="1"/>
  <c r="H26" i="9" l="1"/>
  <c r="D20" i="8"/>
  <c r="D21" i="8"/>
  <c r="C64" i="4"/>
  <c r="C63" i="4"/>
  <c r="D64" i="4"/>
  <c r="D63" i="4"/>
  <c r="G21" i="8"/>
  <c r="E84" i="3"/>
  <c r="F84" i="3" s="1"/>
  <c r="K43" i="3"/>
  <c r="K44" i="3"/>
  <c r="K45" i="3"/>
  <c r="K46" i="3"/>
  <c r="K47" i="3"/>
  <c r="K48" i="3"/>
  <c r="K49" i="3"/>
  <c r="K50" i="3"/>
  <c r="K51" i="3"/>
  <c r="K52" i="3"/>
  <c r="K53" i="3"/>
  <c r="K54" i="3"/>
  <c r="K42" i="3"/>
  <c r="K76" i="3"/>
  <c r="K77" i="3"/>
  <c r="K78" i="3"/>
  <c r="K79" i="3"/>
  <c r="K80" i="3"/>
  <c r="K81" i="3"/>
  <c r="K82" i="3"/>
  <c r="K83" i="3"/>
  <c r="K84" i="3"/>
  <c r="K85" i="3"/>
  <c r="K86" i="3"/>
  <c r="K75" i="3"/>
  <c r="K119" i="3"/>
  <c r="K118" i="3"/>
  <c r="K117" i="3"/>
  <c r="K116" i="3"/>
  <c r="K115" i="3"/>
  <c r="K114" i="3"/>
  <c r="K113" i="3"/>
  <c r="K112" i="3"/>
  <c r="K111" i="3"/>
  <c r="K110" i="3"/>
  <c r="K109" i="3"/>
  <c r="K108" i="3"/>
  <c r="K107" i="3"/>
  <c r="J108" i="3"/>
  <c r="L108" i="3" s="1"/>
  <c r="J109" i="3"/>
  <c r="L109" i="3" s="1"/>
  <c r="J110" i="3"/>
  <c r="L110" i="3" s="1"/>
  <c r="J111" i="3"/>
  <c r="L111" i="3" s="1"/>
  <c r="J112" i="3"/>
  <c r="L112" i="3" s="1"/>
  <c r="J113" i="3"/>
  <c r="L113" i="3" s="1"/>
  <c r="J114" i="3"/>
  <c r="L114" i="3" s="1"/>
  <c r="J115" i="3"/>
  <c r="L115" i="3" s="1"/>
  <c r="J116" i="3"/>
  <c r="L116" i="3" s="1"/>
  <c r="J117" i="3"/>
  <c r="L117" i="3" s="1"/>
  <c r="J118" i="3"/>
  <c r="L118" i="3" s="1"/>
  <c r="J119" i="3"/>
  <c r="L119" i="3" s="1"/>
  <c r="J107" i="3"/>
  <c r="L107" i="3" s="1"/>
  <c r="J77" i="3"/>
  <c r="L77" i="3" s="1"/>
  <c r="J78" i="3"/>
  <c r="L78" i="3" s="1"/>
  <c r="J79" i="3"/>
  <c r="L79" i="3" s="1"/>
  <c r="J80" i="3"/>
  <c r="L80" i="3" s="1"/>
  <c r="J81" i="3"/>
  <c r="L81" i="3" s="1"/>
  <c r="J82" i="3"/>
  <c r="L82" i="3" s="1"/>
  <c r="J83" i="3"/>
  <c r="L83" i="3" s="1"/>
  <c r="J84" i="3"/>
  <c r="L84" i="3" s="1"/>
  <c r="J85" i="3"/>
  <c r="L85" i="3" s="1"/>
  <c r="J86" i="3"/>
  <c r="L86" i="3" s="1"/>
  <c r="J76" i="3"/>
  <c r="L76" i="3" s="1"/>
  <c r="J75" i="3"/>
  <c r="L75" i="3" s="1"/>
  <c r="J43" i="3"/>
  <c r="L43" i="3" s="1"/>
  <c r="J44" i="3"/>
  <c r="L44" i="3" s="1"/>
  <c r="J45" i="3"/>
  <c r="L45" i="3" s="1"/>
  <c r="J46" i="3"/>
  <c r="L46" i="3" s="1"/>
  <c r="J47" i="3"/>
  <c r="L47" i="3" s="1"/>
  <c r="J48" i="3"/>
  <c r="L48" i="3" s="1"/>
  <c r="J49" i="3"/>
  <c r="L49" i="3" s="1"/>
  <c r="J50" i="3"/>
  <c r="L50" i="3" s="1"/>
  <c r="J51" i="3"/>
  <c r="L51" i="3" s="1"/>
  <c r="J52" i="3"/>
  <c r="L52" i="3" s="1"/>
  <c r="J53" i="3"/>
  <c r="L53" i="3" s="1"/>
  <c r="J54" i="3"/>
  <c r="L54" i="3" s="1"/>
  <c r="J42" i="3"/>
  <c r="L42" i="3" s="1"/>
  <c r="I14" i="3"/>
  <c r="I15" i="3"/>
  <c r="I16" i="3"/>
  <c r="I17" i="3"/>
  <c r="I18" i="3"/>
  <c r="I19" i="3"/>
  <c r="I20" i="3"/>
  <c r="I21" i="3"/>
  <c r="I13" i="3"/>
  <c r="E76" i="3"/>
  <c r="F76" i="3" s="1"/>
  <c r="E77" i="3"/>
  <c r="F77" i="3" s="1"/>
  <c r="E78" i="3"/>
  <c r="F78" i="3" s="1"/>
  <c r="E79" i="3"/>
  <c r="F79" i="3" s="1"/>
  <c r="E80" i="3"/>
  <c r="F80" i="3" s="1"/>
  <c r="E81" i="3"/>
  <c r="F81" i="3" s="1"/>
  <c r="E82" i="3"/>
  <c r="F82" i="3" s="1"/>
  <c r="E83" i="3"/>
  <c r="F83" i="3" s="1"/>
  <c r="E85" i="3"/>
  <c r="F85" i="3" s="1"/>
  <c r="E86" i="3"/>
  <c r="F86" i="3" s="1"/>
  <c r="E75" i="3"/>
  <c r="F75" i="3" s="1"/>
  <c r="E108" i="3"/>
  <c r="F108" i="3" s="1"/>
  <c r="E109" i="3"/>
  <c r="F109" i="3" s="1"/>
  <c r="E110" i="3"/>
  <c r="F110" i="3" s="1"/>
  <c r="E111" i="3"/>
  <c r="F111" i="3" s="1"/>
  <c r="E112" i="3"/>
  <c r="F112" i="3" s="1"/>
  <c r="E113" i="3"/>
  <c r="E114" i="3"/>
  <c r="F114" i="3" s="1"/>
  <c r="E115" i="3"/>
  <c r="F115" i="3" s="1"/>
  <c r="E116" i="3"/>
  <c r="F116" i="3" s="1"/>
  <c r="E117" i="3"/>
  <c r="F117" i="3" s="1"/>
  <c r="E118" i="3"/>
  <c r="F118" i="3" s="1"/>
  <c r="E119" i="3"/>
  <c r="F119" i="3" s="1"/>
  <c r="E107" i="3"/>
  <c r="F107" i="3" s="1"/>
  <c r="E43" i="3"/>
  <c r="F43" i="3" s="1"/>
  <c r="E44" i="3"/>
  <c r="F44" i="3" s="1"/>
  <c r="E45" i="3"/>
  <c r="F45" i="3" s="1"/>
  <c r="E46" i="3"/>
  <c r="F46" i="3" s="1"/>
  <c r="E47" i="3"/>
  <c r="F47" i="3" s="1"/>
  <c r="E48" i="3"/>
  <c r="F48" i="3" s="1"/>
  <c r="E49" i="3"/>
  <c r="F49" i="3" s="1"/>
  <c r="E50" i="3"/>
  <c r="F50" i="3" s="1"/>
  <c r="E51" i="3"/>
  <c r="F51" i="3" s="1"/>
  <c r="E52" i="3"/>
  <c r="F52" i="3" s="1"/>
  <c r="E53" i="3"/>
  <c r="F53" i="3" s="1"/>
  <c r="E54" i="3"/>
  <c r="F54" i="3" s="1"/>
  <c r="E42" i="3"/>
  <c r="F42" i="3" s="1"/>
  <c r="E14" i="3"/>
  <c r="F14" i="3" s="1"/>
  <c r="E15" i="3"/>
  <c r="F15" i="3" s="1"/>
  <c r="E16" i="3"/>
  <c r="F16" i="3" s="1"/>
  <c r="E17" i="3"/>
  <c r="F17" i="3" s="1"/>
  <c r="E18" i="3"/>
  <c r="F18" i="3" s="1"/>
  <c r="E19" i="3"/>
  <c r="F19" i="3" s="1"/>
  <c r="E20" i="3"/>
  <c r="F20" i="3" s="1"/>
  <c r="E21" i="3"/>
  <c r="F21" i="3" s="1"/>
  <c r="E13" i="3"/>
  <c r="F13" i="3" s="1"/>
  <c r="F113" i="3"/>
  <c r="C30" i="6"/>
  <c r="E30" i="6" s="1"/>
  <c r="J31" i="4" l="1"/>
  <c r="J15" i="4"/>
  <c r="J19" i="4"/>
  <c r="J23" i="4"/>
  <c r="J24" i="4"/>
  <c r="J21" i="4"/>
  <c r="J22" i="4"/>
  <c r="J20" i="4"/>
  <c r="J17" i="4"/>
  <c r="J18" i="4"/>
  <c r="J16" i="4"/>
  <c r="I26" i="4"/>
  <c r="I15" i="4"/>
  <c r="I19" i="4"/>
  <c r="I23" i="4"/>
  <c r="I17" i="4"/>
  <c r="I18" i="4"/>
  <c r="I21" i="4"/>
  <c r="I22" i="4"/>
  <c r="I16" i="4"/>
  <c r="I20" i="4"/>
  <c r="I24" i="4"/>
  <c r="I49" i="4"/>
  <c r="I41" i="4"/>
  <c r="I33" i="4"/>
  <c r="I25" i="4"/>
  <c r="J54" i="4"/>
  <c r="J46" i="4"/>
  <c r="J38" i="4"/>
  <c r="J30" i="4"/>
  <c r="I57" i="4"/>
  <c r="I40" i="4"/>
  <c r="J28" i="4"/>
  <c r="I47" i="4"/>
  <c r="I39" i="4"/>
  <c r="J60" i="4"/>
  <c r="J44" i="4"/>
  <c r="J36" i="4"/>
  <c r="I54" i="4"/>
  <c r="I38" i="4"/>
  <c r="J59" i="4"/>
  <c r="J51" i="4"/>
  <c r="J35" i="4"/>
  <c r="J27" i="4"/>
  <c r="I46" i="4"/>
  <c r="I30" i="4"/>
  <c r="J43" i="4"/>
  <c r="I61" i="4"/>
  <c r="I53" i="4"/>
  <c r="I45" i="4"/>
  <c r="I37" i="4"/>
  <c r="I29" i="4"/>
  <c r="J58" i="4"/>
  <c r="J50" i="4"/>
  <c r="J42" i="4"/>
  <c r="J34" i="4"/>
  <c r="J26" i="4"/>
  <c r="I32" i="4"/>
  <c r="J37" i="4"/>
  <c r="J25" i="4"/>
  <c r="I48" i="4"/>
  <c r="J61" i="4"/>
  <c r="J45" i="4"/>
  <c r="I55" i="4"/>
  <c r="J52" i="4"/>
  <c r="I60" i="4"/>
  <c r="I52" i="4"/>
  <c r="I44" i="4"/>
  <c r="I36" i="4"/>
  <c r="I28" i="4"/>
  <c r="J57" i="4"/>
  <c r="J49" i="4"/>
  <c r="J41" i="4"/>
  <c r="J33" i="4"/>
  <c r="I59" i="4"/>
  <c r="I51" i="4"/>
  <c r="I43" i="4"/>
  <c r="I35" i="4"/>
  <c r="I27" i="4"/>
  <c r="J56" i="4"/>
  <c r="J48" i="4"/>
  <c r="J40" i="4"/>
  <c r="J32" i="4"/>
  <c r="I56" i="4"/>
  <c r="J53" i="4"/>
  <c r="J29" i="4"/>
  <c r="I31" i="4"/>
  <c r="I58" i="4"/>
  <c r="I50" i="4"/>
  <c r="I42" i="4"/>
  <c r="I34" i="4"/>
  <c r="J55" i="4"/>
  <c r="J47" i="4"/>
  <c r="J39" i="4"/>
  <c r="G20" i="8"/>
  <c r="C17" i="8" s="1"/>
  <c r="D119" i="3"/>
  <c r="D112" i="3"/>
  <c r="D113" i="3"/>
  <c r="D114" i="3"/>
  <c r="D115" i="3"/>
  <c r="D116" i="3"/>
  <c r="D117" i="3"/>
  <c r="D118" i="3"/>
  <c r="D108" i="3"/>
  <c r="D109" i="3"/>
  <c r="D110" i="3"/>
  <c r="D111" i="3"/>
  <c r="D107" i="3"/>
  <c r="D76" i="3"/>
  <c r="D77" i="3"/>
  <c r="D78" i="3"/>
  <c r="D79" i="3"/>
  <c r="D80" i="3"/>
  <c r="D81" i="3"/>
  <c r="D82" i="3"/>
  <c r="D83" i="3"/>
  <c r="D84" i="3"/>
  <c r="D85" i="3"/>
  <c r="D86" i="3"/>
  <c r="D75" i="3"/>
  <c r="D43" i="3"/>
  <c r="D44" i="3"/>
  <c r="D45" i="3"/>
  <c r="D46" i="3"/>
  <c r="D47" i="3"/>
  <c r="D48" i="3"/>
  <c r="D49" i="3"/>
  <c r="D50" i="3"/>
  <c r="D51" i="3"/>
  <c r="D52" i="3"/>
  <c r="D53" i="3"/>
  <c r="D54" i="3"/>
  <c r="D42" i="3"/>
  <c r="D18" i="3" l="1"/>
  <c r="D19" i="3"/>
  <c r="D20" i="3"/>
  <c r="D21" i="3"/>
  <c r="D14" i="3"/>
  <c r="D15" i="3"/>
  <c r="D16" i="3"/>
  <c r="D17" i="3"/>
  <c r="D13" i="3"/>
  <c r="C146" i="3" l="1"/>
  <c r="C145" i="3"/>
  <c r="C144" i="3"/>
  <c r="C143" i="3"/>
  <c r="I146" i="3" l="1"/>
  <c r="O146" i="3" s="1"/>
  <c r="I145" i="3"/>
  <c r="O145" i="3" s="1"/>
  <c r="I144" i="3"/>
  <c r="O144" i="3" s="1"/>
  <c r="I143" i="3"/>
  <c r="O143" i="3" s="1"/>
  <c r="F144" i="3"/>
  <c r="P144" i="3" s="1"/>
  <c r="F145" i="3"/>
  <c r="P145" i="3" s="1"/>
  <c r="F146" i="3"/>
  <c r="P146" i="3" s="1"/>
  <c r="F143" i="3"/>
  <c r="P143" i="3" s="1"/>
  <c r="L144" i="3"/>
  <c r="L145" i="3"/>
  <c r="L146" i="3"/>
  <c r="L147" i="3"/>
  <c r="M147" i="3" s="1"/>
  <c r="N147" i="3" s="1"/>
  <c r="L143" i="3"/>
  <c r="E66" i="1"/>
  <c r="F66" i="1" s="1"/>
  <c r="E65" i="1"/>
  <c r="E64" i="1"/>
  <c r="E63" i="1"/>
  <c r="E62" i="1"/>
  <c r="E61" i="1"/>
  <c r="E60" i="1"/>
  <c r="E59" i="1"/>
  <c r="E58" i="1"/>
  <c r="F58" i="1" s="1"/>
  <c r="E57" i="1"/>
  <c r="F57" i="1" s="1"/>
  <c r="E56" i="1"/>
  <c r="G77" i="3" l="1"/>
  <c r="H77" i="3" s="1"/>
  <c r="I77" i="3" s="1"/>
  <c r="G46" i="3"/>
  <c r="H46" i="3" s="1"/>
  <c r="I46" i="3" s="1"/>
  <c r="G43" i="3"/>
  <c r="H43" i="3" s="1"/>
  <c r="I43" i="3" s="1"/>
  <c r="G54" i="3"/>
  <c r="H54" i="3" s="1"/>
  <c r="I54" i="3" s="1"/>
  <c r="G17" i="3"/>
  <c r="H17" i="3" s="1"/>
  <c r="G45" i="3"/>
  <c r="H45" i="3" s="1"/>
  <c r="I45" i="3" s="1"/>
  <c r="G44" i="3"/>
  <c r="H44" i="3" s="1"/>
  <c r="I44" i="3" s="1"/>
  <c r="G78" i="3"/>
  <c r="H78" i="3" s="1"/>
  <c r="I78" i="3" s="1"/>
  <c r="G84" i="3"/>
  <c r="H84" i="3" s="1"/>
  <c r="I84" i="3" s="1"/>
  <c r="G83" i="3"/>
  <c r="H83" i="3" s="1"/>
  <c r="I83" i="3" s="1"/>
  <c r="G20" i="3"/>
  <c r="H20" i="3" s="1"/>
  <c r="G86" i="3"/>
  <c r="H86" i="3" s="1"/>
  <c r="I86" i="3" s="1"/>
  <c r="G76" i="3"/>
  <c r="H76" i="3" s="1"/>
  <c r="I76" i="3" s="1"/>
  <c r="G15" i="3"/>
  <c r="H15" i="3" s="1"/>
  <c r="G52" i="3"/>
  <c r="H52" i="3" s="1"/>
  <c r="I52" i="3" s="1"/>
  <c r="G49" i="3"/>
  <c r="H49" i="3" s="1"/>
  <c r="I49" i="3" s="1"/>
  <c r="G75" i="3"/>
  <c r="H75" i="3" s="1"/>
  <c r="I75" i="3" s="1"/>
  <c r="G115" i="3"/>
  <c r="H115" i="3" s="1"/>
  <c r="I115" i="3" s="1"/>
  <c r="G16" i="3"/>
  <c r="H16" i="3" s="1"/>
  <c r="G48" i="3"/>
  <c r="H48" i="3" s="1"/>
  <c r="I48" i="3" s="1"/>
  <c r="G42" i="3"/>
  <c r="H42" i="3" s="1"/>
  <c r="I42" i="3" s="1"/>
  <c r="G85" i="3"/>
  <c r="H85" i="3" s="1"/>
  <c r="I85" i="3" s="1"/>
  <c r="G80" i="3"/>
  <c r="H80" i="3" s="1"/>
  <c r="I80" i="3" s="1"/>
  <c r="G82" i="3"/>
  <c r="H82" i="3" s="1"/>
  <c r="I82" i="3" s="1"/>
  <c r="G53" i="3"/>
  <c r="H53" i="3" s="1"/>
  <c r="I53" i="3" s="1"/>
  <c r="G119" i="3"/>
  <c r="H119" i="3" s="1"/>
  <c r="I119" i="3" s="1"/>
  <c r="G111" i="3"/>
  <c r="H111" i="3" s="1"/>
  <c r="I111" i="3" s="1"/>
  <c r="G18" i="3"/>
  <c r="H18" i="3" s="1"/>
  <c r="G50" i="3"/>
  <c r="H50" i="3" s="1"/>
  <c r="I50" i="3" s="1"/>
  <c r="G118" i="3"/>
  <c r="H118" i="3" s="1"/>
  <c r="I118" i="3" s="1"/>
  <c r="G47" i="3"/>
  <c r="H47" i="3" s="1"/>
  <c r="I47" i="3" s="1"/>
  <c r="G19" i="3"/>
  <c r="H19" i="3" s="1"/>
  <c r="G114" i="3"/>
  <c r="H114" i="3" s="1"/>
  <c r="I114" i="3" s="1"/>
  <c r="G116" i="3"/>
  <c r="H116" i="3" s="1"/>
  <c r="I116" i="3" s="1"/>
  <c r="G51" i="3"/>
  <c r="H51" i="3" s="1"/>
  <c r="I51" i="3" s="1"/>
  <c r="G107" i="3"/>
  <c r="H107" i="3" s="1"/>
  <c r="I107" i="3" s="1"/>
  <c r="G110" i="3"/>
  <c r="H110" i="3" s="1"/>
  <c r="I110" i="3" s="1"/>
  <c r="G109" i="3"/>
  <c r="H109" i="3" s="1"/>
  <c r="I109" i="3" s="1"/>
  <c r="G81" i="3"/>
  <c r="H81" i="3" s="1"/>
  <c r="I81" i="3" s="1"/>
  <c r="G108" i="3"/>
  <c r="H108" i="3" s="1"/>
  <c r="I108" i="3" s="1"/>
  <c r="G112" i="3"/>
  <c r="H112" i="3" s="1"/>
  <c r="I112" i="3" s="1"/>
  <c r="G21" i="3"/>
  <c r="H21" i="3" s="1"/>
  <c r="G113" i="3"/>
  <c r="H113" i="3" s="1"/>
  <c r="I113" i="3" s="1"/>
  <c r="G117" i="3"/>
  <c r="H117" i="3" s="1"/>
  <c r="I117" i="3" s="1"/>
  <c r="G79" i="3"/>
  <c r="H79" i="3" s="1"/>
  <c r="I79" i="3" s="1"/>
  <c r="G14" i="3"/>
  <c r="H14" i="3" s="1"/>
  <c r="G13" i="3"/>
  <c r="H13" i="3" s="1"/>
  <c r="M143" i="3"/>
  <c r="N143" i="3" s="1"/>
  <c r="M145" i="3"/>
  <c r="N145" i="3" s="1"/>
  <c r="M146" i="3"/>
  <c r="N146" i="3" s="1"/>
  <c r="M144" i="3"/>
  <c r="N144" i="3" s="1"/>
  <c r="F61" i="1"/>
  <c r="F63" i="1"/>
  <c r="F56" i="1"/>
  <c r="F64" i="1"/>
  <c r="F65" i="1"/>
  <c r="F59" i="1"/>
  <c r="F62" i="1"/>
  <c r="F60" i="1"/>
  <c r="I23" i="1"/>
  <c r="I25" i="1"/>
  <c r="I24" i="1"/>
  <c r="I26" i="1"/>
  <c r="I27" i="1"/>
  <c r="I29" i="1"/>
  <c r="I28" i="1"/>
  <c r="I31" i="1"/>
  <c r="I30" i="1"/>
  <c r="I32" i="1"/>
  <c r="I22" i="1"/>
  <c r="C23" i="9" l="1"/>
</calcChain>
</file>

<file path=xl/sharedStrings.xml><?xml version="1.0" encoding="utf-8"?>
<sst xmlns="http://schemas.openxmlformats.org/spreadsheetml/2006/main" count="245" uniqueCount="124">
  <si>
    <t>CFM</t>
  </si>
  <si>
    <t>A</t>
  </si>
  <si>
    <t>test 1</t>
  </si>
  <si>
    <t>test 2</t>
  </si>
  <si>
    <t>test 3</t>
  </si>
  <si>
    <t>avg</t>
  </si>
  <si>
    <t>Current (A)</t>
  </si>
  <si>
    <t>Airflow (CFM)</t>
  </si>
  <si>
    <t>Measurements:</t>
  </si>
  <si>
    <t>GPM</t>
  </si>
  <si>
    <t>Airflow</t>
  </si>
  <si>
    <t xml:space="preserve">Current = </t>
  </si>
  <si>
    <t>V</t>
  </si>
  <si>
    <t>Voltage =</t>
  </si>
  <si>
    <t xml:space="preserve">Power = </t>
  </si>
  <si>
    <t>At 10 GPM = 600 GPH (Gallons per hour)</t>
  </si>
  <si>
    <t>GPH</t>
  </si>
  <si>
    <t>10 GPM</t>
  </si>
  <si>
    <t>current (A)</t>
  </si>
  <si>
    <t>power (W)</t>
  </si>
  <si>
    <t>voltage (V)</t>
  </si>
  <si>
    <t>The voltage measured was a roughly constant, 245.3 V. Thus, using the linear model, we create a graph of power vs. CFM.</t>
  </si>
  <si>
    <t>mW</t>
  </si>
  <si>
    <t>Cost equation:  Power (W) as a function of CFM.</t>
  </si>
  <si>
    <t>Btu/hr</t>
  </si>
  <si>
    <t>EAT</t>
  </si>
  <si>
    <t>LAT</t>
  </si>
  <si>
    <t>EWT</t>
  </si>
  <si>
    <t>LWT</t>
  </si>
  <si>
    <t xml:space="preserve"> </t>
  </si>
  <si>
    <t>Capacity</t>
  </si>
  <si>
    <t>Pump (W)</t>
  </si>
  <si>
    <t>Fan (W)</t>
  </si>
  <si>
    <t>WITH CFM = 1400</t>
  </si>
  <si>
    <t>Delta T</t>
  </si>
  <si>
    <t>Total (W)</t>
  </si>
  <si>
    <t>WITH GPM = 5</t>
  </si>
  <si>
    <t>P / Btu/hr</t>
  </si>
  <si>
    <t>W / Btu/hr</t>
  </si>
  <si>
    <t xml:space="preserve">Flotec FP2212-12 </t>
  </si>
  <si>
    <t>1/2 HP</t>
  </si>
  <si>
    <t>230 V</t>
  </si>
  <si>
    <t>Sensible heat:</t>
  </si>
  <si>
    <t>Input power:</t>
  </si>
  <si>
    <t>W</t>
  </si>
  <si>
    <t>kW</t>
  </si>
  <si>
    <t>kBtu/hr</t>
  </si>
  <si>
    <t>WITH GPM = 4</t>
  </si>
  <si>
    <t>WITH GPM = 3</t>
  </si>
  <si>
    <t>WITH GPM = 2</t>
  </si>
  <si>
    <t>10000 P / Btu/hr</t>
  </si>
  <si>
    <t xml:space="preserve">diameter: </t>
  </si>
  <si>
    <t>inches</t>
  </si>
  <si>
    <t>height:</t>
  </si>
  <si>
    <t>volume:</t>
  </si>
  <si>
    <r>
      <t>in</t>
    </r>
    <r>
      <rPr>
        <vertAlign val="superscript"/>
        <sz val="11"/>
        <color theme="1"/>
        <rFont val="Calibri"/>
        <family val="2"/>
        <scheme val="minor"/>
      </rPr>
      <t>3</t>
    </r>
    <r>
      <rPr>
        <sz val="11"/>
        <color theme="1"/>
        <rFont val="Calibri"/>
        <family val="2"/>
        <scheme val="minor"/>
      </rPr>
      <t xml:space="preserve">    =</t>
    </r>
  </si>
  <si>
    <t>gal</t>
  </si>
  <si>
    <t>Dimensions of Tank:</t>
  </si>
  <si>
    <t>Starts/Hr</t>
  </si>
  <si>
    <t>Cost equation:  Power (W) as a function of GPH.</t>
  </si>
  <si>
    <t>Starting Watts</t>
  </si>
  <si>
    <t>delta T</t>
  </si>
  <si>
    <t>Q_water</t>
  </si>
  <si>
    <t>Q_air</t>
  </si>
  <si>
    <t>delta T water</t>
  </si>
  <si>
    <t>delta T air</t>
  </si>
  <si>
    <t xml:space="preserve">CFM </t>
  </si>
  <si>
    <t>mean</t>
  </si>
  <si>
    <t>std.dev</t>
  </si>
  <si>
    <t>std. dev</t>
  </si>
  <si>
    <t>standardized</t>
  </si>
  <si>
    <t xml:space="preserve">Ground Source Heat Pump Coil Optimization </t>
  </si>
  <si>
    <t>Date updated: 05/31/2020</t>
  </si>
  <si>
    <t>MATH 319</t>
  </si>
  <si>
    <t>Project Worksheet</t>
  </si>
  <si>
    <t>Summary:</t>
  </si>
  <si>
    <t>Development of Fan Cost Function:</t>
  </si>
  <si>
    <t>Development of Pump Cost Functions:</t>
  </si>
  <si>
    <t>Simple Pump Cost Model:</t>
  </si>
  <si>
    <t>Assuming the cost to run the pump is related linearly to the flow rate of the water:</t>
  </si>
  <si>
    <t>C_pump =</t>
  </si>
  <si>
    <t>Used in later calculations:</t>
  </si>
  <si>
    <t>Advanced Pump Cost Model:</t>
  </si>
  <si>
    <t>US liquid gallon</t>
  </si>
  <si>
    <r>
      <t>1 in</t>
    </r>
    <r>
      <rPr>
        <vertAlign val="superscript"/>
        <sz val="11"/>
        <color theme="1"/>
        <rFont val="Calibri"/>
        <family val="2"/>
        <scheme val="minor"/>
      </rPr>
      <t>3</t>
    </r>
    <r>
      <rPr>
        <sz val="11"/>
        <color theme="1"/>
        <rFont val="Calibri"/>
        <family val="2"/>
        <scheme val="minor"/>
      </rPr>
      <t xml:space="preserve"> = </t>
    </r>
  </si>
  <si>
    <t>Minimization of Objective Function:</t>
  </si>
  <si>
    <t>The table below is used to standardize the variables:</t>
  </si>
  <si>
    <t>J(x)</t>
  </si>
  <si>
    <t>Objective Function:</t>
  </si>
  <si>
    <r>
      <t>Q</t>
    </r>
    <r>
      <rPr>
        <vertAlign val="subscript"/>
        <sz val="11"/>
        <color theme="1"/>
        <rFont val="Calibri"/>
        <family val="2"/>
        <scheme val="minor"/>
      </rPr>
      <t>coil</t>
    </r>
    <r>
      <rPr>
        <sz val="11"/>
        <color theme="1"/>
        <rFont val="Calibri"/>
        <family val="2"/>
        <scheme val="minor"/>
      </rPr>
      <t>(x)</t>
    </r>
  </si>
  <si>
    <r>
      <t>C</t>
    </r>
    <r>
      <rPr>
        <vertAlign val="subscript"/>
        <sz val="11"/>
        <color theme="1"/>
        <rFont val="Calibri"/>
        <family val="2"/>
        <scheme val="minor"/>
      </rPr>
      <t>fan</t>
    </r>
    <r>
      <rPr>
        <sz val="11"/>
        <color theme="1"/>
        <rFont val="Calibri"/>
        <family val="2"/>
        <scheme val="minor"/>
      </rPr>
      <t>(x)</t>
    </r>
  </si>
  <si>
    <r>
      <t>C</t>
    </r>
    <r>
      <rPr>
        <vertAlign val="subscript"/>
        <sz val="11"/>
        <color theme="1"/>
        <rFont val="Calibri"/>
        <family val="2"/>
        <scheme val="minor"/>
      </rPr>
      <t>pump</t>
    </r>
    <r>
      <rPr>
        <sz val="11"/>
        <color theme="1"/>
        <rFont val="Calibri"/>
        <family val="2"/>
        <scheme val="minor"/>
      </rPr>
      <t>(x)</t>
    </r>
  </si>
  <si>
    <t>Economic Evaluation</t>
  </si>
  <si>
    <t>Indoor Temp (F):</t>
  </si>
  <si>
    <t>Outdoor Temp (F):</t>
  </si>
  <si>
    <t>Cost of Fujitsu:</t>
  </si>
  <si>
    <t>Data Used to Fit a Surface in MATLAB</t>
  </si>
  <si>
    <t>Surface data:</t>
  </si>
  <si>
    <t>Normalized surface data:</t>
  </si>
  <si>
    <t>Data Supplied from Baltimore Air and Coil</t>
  </si>
  <si>
    <t>Model Assuming NO Startup Cost</t>
  </si>
  <si>
    <t>We are using the following cost functions:</t>
  </si>
  <si>
    <t>Pump Information:</t>
  </si>
  <si>
    <t>Q_water:</t>
  </si>
  <si>
    <t>Q_air:</t>
  </si>
  <si>
    <t>CFM =</t>
  </si>
  <si>
    <t>Checking the validity of BAC's simulation at a fixed CFM using the formula:     Q = M * Cp * Delta T</t>
  </si>
  <si>
    <t>W/GPH</t>
  </si>
  <si>
    <r>
      <t>Q</t>
    </r>
    <r>
      <rPr>
        <vertAlign val="subscript"/>
        <sz val="11"/>
        <color theme="1"/>
        <rFont val="Calibri"/>
        <family val="2"/>
        <scheme val="minor"/>
      </rPr>
      <t>coil</t>
    </r>
    <r>
      <rPr>
        <sz val="11"/>
        <color theme="1"/>
        <rFont val="Calibri"/>
        <family val="2"/>
        <scheme val="minor"/>
      </rPr>
      <t xml:space="preserve">(x) is still the same as defined on the "Surface Fitting" tab. Thus, we minimize J(x) below using the GRG method: </t>
    </r>
  </si>
  <si>
    <r>
      <t>where W</t>
    </r>
    <r>
      <rPr>
        <vertAlign val="subscript"/>
        <sz val="11"/>
        <color theme="1"/>
        <rFont val="Calibri"/>
        <family val="2"/>
        <scheme val="minor"/>
      </rPr>
      <t>0</t>
    </r>
    <r>
      <rPr>
        <sz val="11"/>
        <color theme="1"/>
        <rFont val="Calibri"/>
        <family val="2"/>
        <scheme val="minor"/>
      </rPr>
      <t xml:space="preserve"> is the starting power of the pump.</t>
    </r>
  </si>
  <si>
    <r>
      <t>Our goal is to find W</t>
    </r>
    <r>
      <rPr>
        <vertAlign val="subscript"/>
        <sz val="11"/>
        <color theme="1"/>
        <rFont val="Calibri"/>
        <family val="2"/>
        <scheme val="minor"/>
      </rPr>
      <t>0</t>
    </r>
    <r>
      <rPr>
        <sz val="11"/>
        <color theme="1"/>
        <rFont val="Calibri"/>
        <family val="2"/>
        <scheme val="minor"/>
      </rPr>
      <t xml:space="preserve"> such that the constrained minimum of J(x) is equal to the cost per Btu/hr of the Fujitsu 9RLS3.</t>
    </r>
  </si>
  <si>
    <t>Assuming a temperature differential above, we obtain the data below from the data sheet of the Fujistu 9RLS3.</t>
  </si>
  <si>
    <r>
      <t>W</t>
    </r>
    <r>
      <rPr>
        <vertAlign val="subscript"/>
        <sz val="11"/>
        <color theme="1"/>
        <rFont val="Calibri"/>
        <family val="2"/>
        <scheme val="minor"/>
      </rPr>
      <t>0</t>
    </r>
  </si>
  <si>
    <t xml:space="preserve">        ==   </t>
  </si>
  <si>
    <t>We optimize J(x) using GRG to find the starting wattage:</t>
  </si>
  <si>
    <t xml:space="preserve"> W</t>
  </si>
  <si>
    <t>Thus, any pump with a starting wattage less than 78.42 W causes our design to be comparable to the Fujitsu 9RLS3.</t>
  </si>
  <si>
    <t xml:space="preserve">                 u n a b l e   t o   c o m p i l e   d u e   t o   l a m i n a r   f l o w</t>
  </si>
  <si>
    <t>SEER Rating:</t>
  </si>
  <si>
    <t>SEER</t>
  </si>
  <si>
    <t>Date updated: 06/01/2020</t>
  </si>
  <si>
    <t>According to Trane.com, a low-cost ENERGY star HVAC unit, has a SEER rating of 14.5:</t>
  </si>
  <si>
    <t>Source:  “What Does SEER Mean?” Trane, www.trane.com/residential/en/resources/glossary/what-is-seer/.</t>
  </si>
  <si>
    <t>Cost of Traditional HVAC: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</si>
</sst>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0"/>
    <numFmt numFmtId="165" formatCode="0.0000"/>
    <numFmt numFmtId="166" formatCode="0.000"/>
  </numFmts>
  <fonts count="10" x14ac:knownFonts="1">
    <font>
      <sz val="11"/>
      <color theme="1"/>
      <name val="Calibri"/>
      <family val="2"/>
      <scheme val="minor"/>
    </font>
    <font>
      <b/>
      <sz val="11"/>
      <color theme="1"/>
      <name val="Calibri"/>
      <family val="2"/>
      <scheme val="minor"/>
    </font>
    <font>
      <vertAlign val="superscript"/>
      <sz val="11"/>
      <color theme="1"/>
      <name val="Calibri"/>
      <family val="2"/>
      <scheme val="minor"/>
    </font>
    <font>
      <strike/>
      <sz val="11"/>
      <color theme="1"/>
      <name val="Calibri"/>
      <family val="2"/>
      <scheme val="minor"/>
    </font>
    <font>
      <sz val="14"/>
      <color theme="1"/>
      <name val="Calibri"/>
      <family val="2"/>
      <scheme val="minor"/>
    </font>
    <font>
      <sz val="16"/>
      <color theme="1"/>
      <name val="Calibri"/>
      <family val="2"/>
      <scheme val="minor"/>
    </font>
    <font>
      <sz val="22"/>
      <color theme="1"/>
      <name val="Calibri"/>
      <family val="2"/>
      <scheme val="minor"/>
    </font>
    <font>
      <b/>
      <sz val="14"/>
      <color theme="1"/>
      <name val="Calibri"/>
      <family val="2"/>
      <scheme val="minor"/>
    </font>
    <font>
      <i/>
      <sz val="11"/>
      <color theme="1"/>
      <name val="Calibri"/>
      <family val="2"/>
      <scheme val="minor"/>
    </font>
    <font>
      <vertAlign val="subscript"/>
      <sz val="11"/>
      <color theme="1"/>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s>
  <cellStyleXfs count="1">
    <xf numFmtId="0" fontId="0" fillId="0" borderId="0"/>
  </cellStyleXfs>
  <cellXfs count="31">
    <xf numFmtId="0" fontId="0" fillId="0" borderId="0" xfId="0"/>
    <xf numFmtId="164" fontId="0" fillId="0" borderId="0" xfId="0" applyNumberFormat="1"/>
    <xf numFmtId="0" fontId="0" fillId="0" borderId="0" xfId="0" applyAlignment="1">
      <alignment horizontal="right"/>
    </xf>
    <xf numFmtId="0" fontId="1" fillId="0" borderId="0" xfId="0" applyFont="1"/>
    <xf numFmtId="0" fontId="0" fillId="0" borderId="0" xfId="0" applyFont="1"/>
    <xf numFmtId="165" fontId="0" fillId="0" borderId="0" xfId="0" applyNumberFormat="1"/>
    <xf numFmtId="166" fontId="0" fillId="0" borderId="0" xfId="0" applyNumberFormat="1"/>
    <xf numFmtId="3" fontId="0" fillId="0" borderId="0" xfId="0" applyNumberFormat="1"/>
    <xf numFmtId="0" fontId="3" fillId="0" borderId="0" xfId="0" applyFont="1"/>
    <xf numFmtId="3" fontId="3" fillId="0" borderId="0" xfId="0" applyNumberFormat="1" applyFont="1"/>
    <xf numFmtId="0" fontId="0" fillId="0" borderId="0" xfId="0" applyFont="1" applyFill="1"/>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1" fillId="2" borderId="4" xfId="0" applyFont="1" applyFill="1" applyBorder="1"/>
    <xf numFmtId="0" fontId="0" fillId="2" borderId="5" xfId="0" applyFill="1" applyBorder="1"/>
    <xf numFmtId="0" fontId="0" fillId="2" borderId="6" xfId="0" applyFill="1" applyBorder="1"/>
    <xf numFmtId="0" fontId="0" fillId="2" borderId="7" xfId="0" applyFill="1" applyBorder="1"/>
    <xf numFmtId="0" fontId="0" fillId="2" borderId="0" xfId="0" applyFill="1" applyBorder="1"/>
    <xf numFmtId="0" fontId="0" fillId="2" borderId="8" xfId="0" applyFill="1" applyBorder="1"/>
    <xf numFmtId="0" fontId="0" fillId="2" borderId="4" xfId="0" applyFill="1" applyBorder="1"/>
    <xf numFmtId="0" fontId="0" fillId="0" borderId="0" xfId="0" applyAlignment="1">
      <alignment vertical="center"/>
    </xf>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0" fillId="0" borderId="0" xfId="0" applyFill="1"/>
    <xf numFmtId="0" fontId="0" fillId="0" borderId="0" xfId="0" applyFont="1" applyAlignment="1">
      <alignment vertical="center"/>
    </xf>
    <xf numFmtId="0" fontId="0" fillId="2" borderId="4"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Airflow</a:t>
            </a:r>
            <a:r>
              <a:rPr lang="en-US" baseline="0"/>
              <a:t> (CFM) vs. Current</a:t>
            </a:r>
          </a:p>
          <a:p>
            <a:pPr>
              <a:defRPr/>
            </a:pPr>
            <a:r>
              <a:rPr lang="en-US" sz="1100" baseline="0"/>
              <a:t>parabolic model</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0"/>
          </c:trendline>
          <c:trendline>
            <c:spPr>
              <a:ln w="19050" cap="rnd">
                <a:solidFill>
                  <a:schemeClr val="accent1"/>
                </a:solidFill>
                <a:prstDash val="sysDot"/>
              </a:ln>
              <a:effectLst/>
            </c:spPr>
            <c:trendlineType val="poly"/>
            <c:order val="2"/>
            <c:dispRSqr val="1"/>
            <c:dispEq val="1"/>
            <c:trendlineLbl>
              <c:layout>
                <c:manualLayout>
                  <c:x val="0.10553172003868107"/>
                  <c:y val="-0.150192260784007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'Fan Cost Model'!$E$22:$E$32</c:f>
              <c:numCache>
                <c:formatCode>General</c:formatCode>
                <c:ptCount val="11"/>
                <c:pt idx="0">
                  <c:v>1433</c:v>
                </c:pt>
                <c:pt idx="1">
                  <c:v>1299</c:v>
                </c:pt>
                <c:pt idx="2">
                  <c:v>1159</c:v>
                </c:pt>
                <c:pt idx="3">
                  <c:v>1040</c:v>
                </c:pt>
                <c:pt idx="4">
                  <c:v>988</c:v>
                </c:pt>
                <c:pt idx="5">
                  <c:v>940</c:v>
                </c:pt>
                <c:pt idx="6">
                  <c:v>906</c:v>
                </c:pt>
                <c:pt idx="7">
                  <c:v>883</c:v>
                </c:pt>
                <c:pt idx="8">
                  <c:v>810</c:v>
                </c:pt>
                <c:pt idx="9">
                  <c:v>800</c:v>
                </c:pt>
                <c:pt idx="10">
                  <c:v>716</c:v>
                </c:pt>
              </c:numCache>
            </c:numRef>
          </c:xVal>
          <c:yVal>
            <c:numRef>
              <c:f>'Fan Cost Model'!$I$22:$I$32</c:f>
              <c:numCache>
                <c:formatCode>0.000</c:formatCode>
                <c:ptCount val="11"/>
                <c:pt idx="0">
                  <c:v>1.82</c:v>
                </c:pt>
                <c:pt idx="1">
                  <c:v>1.4</c:v>
                </c:pt>
                <c:pt idx="2">
                  <c:v>0.94333333333333336</c:v>
                </c:pt>
                <c:pt idx="3">
                  <c:v>0.85333333333333339</c:v>
                </c:pt>
                <c:pt idx="4">
                  <c:v>0.75499999999999989</c:v>
                </c:pt>
                <c:pt idx="5">
                  <c:v>0.66166666666666674</c:v>
                </c:pt>
                <c:pt idx="6">
                  <c:v>0.63500000000000001</c:v>
                </c:pt>
                <c:pt idx="7">
                  <c:v>0.50166666666666659</c:v>
                </c:pt>
                <c:pt idx="8">
                  <c:v>0.48250000000000004</c:v>
                </c:pt>
                <c:pt idx="9">
                  <c:v>0.42</c:v>
                </c:pt>
                <c:pt idx="10">
                  <c:v>0.34</c:v>
                </c:pt>
              </c:numCache>
            </c:numRef>
          </c:yVal>
          <c:smooth val="0"/>
          <c:extLst>
            <c:ext xmlns:c16="http://schemas.microsoft.com/office/drawing/2014/chart" uri="{C3380CC4-5D6E-409C-BE32-E72D297353CC}">
              <c16:uniqueId val="{00000000-71BE-4A2E-837E-27F4B8D8F4E4}"/>
            </c:ext>
          </c:extLst>
        </c:ser>
        <c:dLbls>
          <c:showLegendKey val="0"/>
          <c:showVal val="0"/>
          <c:showCatName val="0"/>
          <c:showSerName val="0"/>
          <c:showPercent val="0"/>
          <c:showBubbleSize val="0"/>
        </c:dLbls>
        <c:axId val="663688000"/>
        <c:axId val="663689968"/>
      </c:scatterChart>
      <c:valAx>
        <c:axId val="663688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Airflow</a:t>
                </a:r>
                <a:r>
                  <a:rPr lang="en-US" baseline="0"/>
                  <a:t> (CFM)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89968"/>
        <c:crosses val="autoZero"/>
        <c:crossBetween val="midCat"/>
      </c:valAx>
      <c:valAx>
        <c:axId val="66368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Current (A)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88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Airflow</a:t>
            </a:r>
            <a:r>
              <a:rPr lang="en-US" baseline="0"/>
              <a:t> (CFM) vs. </a:t>
            </a:r>
            <a:r>
              <a:rPr lang="en-US"/>
              <a:t>Power (W)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45975454255658"/>
          <c:y val="0.1210305102653281"/>
          <c:w val="0.78463645057524556"/>
          <c:h val="0.73407450687781095"/>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intercept val="0"/>
            <c:dispRSqr val="1"/>
            <c:dispEq val="1"/>
            <c:trendlineLbl>
              <c:layout>
                <c:manualLayout>
                  <c:x val="-9.5253062117235346E-2"/>
                  <c:y val="-1.132414828463985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'Fan Cost Model'!$C$56:$C$66</c:f>
              <c:numCache>
                <c:formatCode>General</c:formatCode>
                <c:ptCount val="11"/>
                <c:pt idx="0">
                  <c:v>1433</c:v>
                </c:pt>
                <c:pt idx="1">
                  <c:v>1299</c:v>
                </c:pt>
                <c:pt idx="2">
                  <c:v>1159</c:v>
                </c:pt>
                <c:pt idx="3">
                  <c:v>1040</c:v>
                </c:pt>
                <c:pt idx="4">
                  <c:v>988</c:v>
                </c:pt>
                <c:pt idx="5">
                  <c:v>940</c:v>
                </c:pt>
                <c:pt idx="6">
                  <c:v>906</c:v>
                </c:pt>
                <c:pt idx="7">
                  <c:v>883</c:v>
                </c:pt>
                <c:pt idx="8">
                  <c:v>810</c:v>
                </c:pt>
                <c:pt idx="9">
                  <c:v>800</c:v>
                </c:pt>
                <c:pt idx="10">
                  <c:v>716</c:v>
                </c:pt>
              </c:numCache>
            </c:numRef>
          </c:xVal>
          <c:yVal>
            <c:numRef>
              <c:f>'Fan Cost Model'!$E$56:$E$66</c:f>
              <c:numCache>
                <c:formatCode>0.000</c:formatCode>
                <c:ptCount val="11"/>
                <c:pt idx="0">
                  <c:v>397.38600000000002</c:v>
                </c:pt>
                <c:pt idx="1">
                  <c:v>318.89000000000004</c:v>
                </c:pt>
                <c:pt idx="2">
                  <c:v>224.85833333333335</c:v>
                </c:pt>
                <c:pt idx="3">
                  <c:v>216.68166666666667</c:v>
                </c:pt>
                <c:pt idx="4">
                  <c:v>185.20149999999998</c:v>
                </c:pt>
                <c:pt idx="5">
                  <c:v>162.30683333333334</c:v>
                </c:pt>
                <c:pt idx="6">
                  <c:v>155.7655</c:v>
                </c:pt>
                <c:pt idx="7">
                  <c:v>123.05883333333333</c:v>
                </c:pt>
                <c:pt idx="8">
                  <c:v>118.35725000000002</c:v>
                </c:pt>
                <c:pt idx="9">
                  <c:v>103.026</c:v>
                </c:pt>
                <c:pt idx="10">
                  <c:v>83.402000000000015</c:v>
                </c:pt>
              </c:numCache>
            </c:numRef>
          </c:yVal>
          <c:smooth val="0"/>
          <c:extLst>
            <c:ext xmlns:c16="http://schemas.microsoft.com/office/drawing/2014/chart" uri="{C3380CC4-5D6E-409C-BE32-E72D297353CC}">
              <c16:uniqueId val="{00000000-BC2F-49DB-BD06-936962BB6B20}"/>
            </c:ext>
          </c:extLst>
        </c:ser>
        <c:dLbls>
          <c:showLegendKey val="0"/>
          <c:showVal val="0"/>
          <c:showCatName val="0"/>
          <c:showSerName val="0"/>
          <c:showPercent val="0"/>
          <c:showBubbleSize val="0"/>
        </c:dLbls>
        <c:axId val="671026544"/>
        <c:axId val="671019328"/>
      </c:scatterChart>
      <c:valAx>
        <c:axId val="671026544"/>
        <c:scaling>
          <c:orientation val="minMax"/>
          <c:min val="4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Airflow</a:t>
                </a:r>
                <a:r>
                  <a:rPr lang="en-US" baseline="0"/>
                  <a:t> (CFM)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019328"/>
        <c:crosses val="autoZero"/>
        <c:crossBetween val="midCat"/>
      </c:valAx>
      <c:valAx>
        <c:axId val="671019328"/>
        <c:scaling>
          <c:orientation val="minMax"/>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Power (W)</a:t>
                </a:r>
              </a:p>
            </c:rich>
          </c:tx>
          <c:layout>
            <c:manualLayout>
              <c:xMode val="edge"/>
              <c:yMode val="edge"/>
              <c:x val="3.0392159365315988E-2"/>
              <c:y val="0.407688101757068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0265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Btu/hr</a:t>
            </a:r>
            <a:r>
              <a:rPr lang="en-US" baseline="0"/>
              <a:t> vs. </a:t>
            </a:r>
            <a:r>
              <a:rPr lang="en-US"/>
              <a:t>GPH</a:t>
            </a:r>
            <a:r>
              <a:rPr lang="en-US" baseline="0"/>
              <a:t> </a:t>
            </a:r>
            <a:endParaRPr lang="en-US"/>
          </a:p>
        </c:rich>
      </c:tx>
      <c:layout>
        <c:manualLayout>
          <c:xMode val="edge"/>
          <c:yMode val="edge"/>
          <c:x val="0.39246445545658143"/>
          <c:y val="2.35294117647058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475977664954043"/>
          <c:y val="0.20035294117647059"/>
          <c:w val="0.7793200174302537"/>
          <c:h val="0.63416365601358649"/>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4060945084567131E-2"/>
                  <c:y val="-8.1960784313725495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'BAC Data'!$C$143:$C$146</c:f>
              <c:numCache>
                <c:formatCode>General</c:formatCode>
                <c:ptCount val="4"/>
                <c:pt idx="0">
                  <c:v>300</c:v>
                </c:pt>
                <c:pt idx="1">
                  <c:v>240</c:v>
                </c:pt>
                <c:pt idx="2">
                  <c:v>180</c:v>
                </c:pt>
                <c:pt idx="3">
                  <c:v>120</c:v>
                </c:pt>
              </c:numCache>
            </c:numRef>
          </c:xVal>
          <c:yVal>
            <c:numRef>
              <c:f>'BAC Data'!$J$143:$J$146</c:f>
              <c:numCache>
                <c:formatCode>#,##0</c:formatCode>
                <c:ptCount val="4"/>
                <c:pt idx="0">
                  <c:v>24453</c:v>
                </c:pt>
                <c:pt idx="1">
                  <c:v>21806</c:v>
                </c:pt>
                <c:pt idx="2">
                  <c:v>19763</c:v>
                </c:pt>
                <c:pt idx="3">
                  <c:v>16801</c:v>
                </c:pt>
              </c:numCache>
            </c:numRef>
          </c:yVal>
          <c:smooth val="0"/>
          <c:extLst>
            <c:ext xmlns:c16="http://schemas.microsoft.com/office/drawing/2014/chart" uri="{C3380CC4-5D6E-409C-BE32-E72D297353CC}">
              <c16:uniqueId val="{00000000-5661-44EA-9F04-BE032AD2144D}"/>
            </c:ext>
          </c:extLst>
        </c:ser>
        <c:dLbls>
          <c:showLegendKey val="0"/>
          <c:showVal val="0"/>
          <c:showCatName val="0"/>
          <c:showSerName val="0"/>
          <c:showPercent val="0"/>
          <c:showBubbleSize val="0"/>
        </c:dLbls>
        <c:axId val="632516720"/>
        <c:axId val="632517048"/>
      </c:scatterChart>
      <c:valAx>
        <c:axId val="632516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GPH</a:t>
                </a:r>
                <a:r>
                  <a:rPr lang="en-US" baseline="0"/>
                  <a:t> (gallons per hour)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517048"/>
        <c:crosses val="autoZero"/>
        <c:crossBetween val="midCat"/>
      </c:valAx>
      <c:valAx>
        <c:axId val="632517048"/>
        <c:scaling>
          <c:orientation val="minMax"/>
          <c:min val="1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Btu/hr</a:t>
                </a:r>
              </a:p>
            </c:rich>
          </c:tx>
          <c:layout>
            <c:manualLayout>
              <c:xMode val="edge"/>
              <c:yMode val="edge"/>
              <c:x val="2.5212253873671195E-2"/>
              <c:y val="0.471611239771499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516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Power</a:t>
            </a:r>
            <a:r>
              <a:rPr lang="en-US" baseline="0"/>
              <a:t> </a:t>
            </a:r>
            <a:r>
              <a:rPr lang="en-US"/>
              <a:t>per</a:t>
            </a:r>
            <a:r>
              <a:rPr lang="en-US" baseline="0"/>
              <a:t> </a:t>
            </a:r>
            <a:r>
              <a:rPr lang="en-US"/>
              <a:t>Btu/hr vs.</a:t>
            </a:r>
            <a:r>
              <a:rPr lang="en-US" baseline="0"/>
              <a:t> Airflow (CFM)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615685385005887"/>
          <c:y val="0.2300462598425197"/>
          <c:w val="0.75864424354363114"/>
          <c:h val="0.56438287401574794"/>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0721692862322171"/>
                  <c:y val="-0.3047951006124234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'BAC Data'!$B$13:$B$21</c:f>
              <c:numCache>
                <c:formatCode>General</c:formatCode>
                <c:ptCount val="9"/>
                <c:pt idx="0">
                  <c:v>700</c:v>
                </c:pt>
                <c:pt idx="1">
                  <c:v>900</c:v>
                </c:pt>
                <c:pt idx="2">
                  <c:v>1000</c:v>
                </c:pt>
                <c:pt idx="3">
                  <c:v>1100</c:v>
                </c:pt>
                <c:pt idx="4">
                  <c:v>1200</c:v>
                </c:pt>
                <c:pt idx="5">
                  <c:v>1300</c:v>
                </c:pt>
                <c:pt idx="6">
                  <c:v>1400</c:v>
                </c:pt>
                <c:pt idx="7">
                  <c:v>1500</c:v>
                </c:pt>
                <c:pt idx="8">
                  <c:v>1600</c:v>
                </c:pt>
              </c:numCache>
            </c:numRef>
          </c:xVal>
          <c:yVal>
            <c:numRef>
              <c:f>'BAC Data'!$H$13:$H$21</c:f>
              <c:numCache>
                <c:formatCode>General</c:formatCode>
                <c:ptCount val="9"/>
                <c:pt idx="0">
                  <c:v>0.1539165313646873</c:v>
                </c:pt>
                <c:pt idx="1">
                  <c:v>0.14232977638542024</c:v>
                </c:pt>
                <c:pt idx="2">
                  <c:v>0.13859760918596861</c:v>
                </c:pt>
                <c:pt idx="3">
                  <c:v>0.13578643988061737</c:v>
                </c:pt>
                <c:pt idx="4">
                  <c:v>0.13369904468919666</c:v>
                </c:pt>
                <c:pt idx="5">
                  <c:v>0.13219682774718231</c:v>
                </c:pt>
                <c:pt idx="6">
                  <c:v>0.13118946662662379</c:v>
                </c:pt>
                <c:pt idx="7">
                  <c:v>0.13060227976249983</c:v>
                </c:pt>
                <c:pt idx="8">
                  <c:v>0.13037736251574741</c:v>
                </c:pt>
              </c:numCache>
            </c:numRef>
          </c:yVal>
          <c:smooth val="0"/>
          <c:extLst>
            <c:ext xmlns:c16="http://schemas.microsoft.com/office/drawing/2014/chart" uri="{C3380CC4-5D6E-409C-BE32-E72D297353CC}">
              <c16:uniqueId val="{00000001-41EB-4757-90E8-A3D8C188EAF9}"/>
            </c:ext>
          </c:extLst>
        </c:ser>
        <c:dLbls>
          <c:showLegendKey val="0"/>
          <c:showVal val="0"/>
          <c:showCatName val="0"/>
          <c:showSerName val="0"/>
          <c:showPercent val="0"/>
          <c:showBubbleSize val="0"/>
        </c:dLbls>
        <c:axId val="604004896"/>
        <c:axId val="604006536"/>
      </c:scatterChart>
      <c:valAx>
        <c:axId val="604004896"/>
        <c:scaling>
          <c:orientation val="minMax"/>
          <c:min val="6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Airflow (CFM)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006536"/>
        <c:crosses val="autoZero"/>
        <c:crossBetween val="midCat"/>
      </c:valAx>
      <c:valAx>
        <c:axId val="604006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Power per Btu/hr</a:t>
                </a:r>
              </a:p>
            </c:rich>
          </c:tx>
          <c:layout>
            <c:manualLayout>
              <c:xMode val="edge"/>
              <c:yMode val="edge"/>
              <c:x val="5.1448231133270496E-2"/>
              <c:y val="0.343325787401574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004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per Btu </a:t>
            </a:r>
            <a:r>
              <a:rPr lang="en-US" baseline="0"/>
              <a:t>/ hr vs. GPM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04619227791328"/>
          <c:y val="0.18858823529411764"/>
          <c:w val="0.7986291323974114"/>
          <c:h val="0.64904585456229735"/>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'BAC Data'!$B$143:$B$146</c:f>
              <c:numCache>
                <c:formatCode>General</c:formatCode>
                <c:ptCount val="4"/>
                <c:pt idx="0">
                  <c:v>5</c:v>
                </c:pt>
                <c:pt idx="1">
                  <c:v>4</c:v>
                </c:pt>
                <c:pt idx="2">
                  <c:v>3</c:v>
                </c:pt>
                <c:pt idx="3">
                  <c:v>2</c:v>
                </c:pt>
              </c:numCache>
            </c:numRef>
          </c:xVal>
          <c:yVal>
            <c:numRef>
              <c:f>'BAC Data'!$N$143:$N$146</c:f>
              <c:numCache>
                <c:formatCode>General</c:formatCode>
                <c:ptCount val="4"/>
                <c:pt idx="0">
                  <c:v>4.071725350672719E-2</c:v>
                </c:pt>
                <c:pt idx="1">
                  <c:v>3.9961891222599286E-2</c:v>
                </c:pt>
                <c:pt idx="2">
                  <c:v>3.7805950513585991E-2</c:v>
                </c:pt>
                <c:pt idx="3">
                  <c:v>3.7075709779179809E-2</c:v>
                </c:pt>
              </c:numCache>
            </c:numRef>
          </c:yVal>
          <c:smooth val="0"/>
          <c:extLst>
            <c:ext xmlns:c16="http://schemas.microsoft.com/office/drawing/2014/chart" uri="{C3380CC4-5D6E-409C-BE32-E72D297353CC}">
              <c16:uniqueId val="{00000000-3B6C-41EB-A38A-099238EA45F6}"/>
            </c:ext>
          </c:extLst>
        </c:ser>
        <c:dLbls>
          <c:showLegendKey val="0"/>
          <c:showVal val="0"/>
          <c:showCatName val="0"/>
          <c:showSerName val="0"/>
          <c:showPercent val="0"/>
          <c:showBubbleSize val="0"/>
        </c:dLbls>
        <c:axId val="637208528"/>
        <c:axId val="637203280"/>
      </c:scatterChart>
      <c:valAx>
        <c:axId val="6372085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GPM (gallon</a:t>
                </a:r>
                <a:r>
                  <a:rPr lang="en-US" baseline="0"/>
                  <a:t>s per minute)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203280"/>
        <c:crosses val="autoZero"/>
        <c:crossBetween val="midCat"/>
      </c:valAx>
      <c:valAx>
        <c:axId val="63720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per</a:t>
                </a:r>
                <a:r>
                  <a:rPr lang="en-US" baseline="0"/>
                  <a:t> Btu / hr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208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Power per Btu/hr vs. Airflow (CFM)</a:t>
            </a:r>
            <a:endParaRPr lang="en-US" sz="1100">
              <a:effectLst/>
            </a:endParaRPr>
          </a:p>
        </c:rich>
      </c:tx>
      <c:layout>
        <c:manualLayout>
          <c:xMode val="edge"/>
          <c:yMode val="edge"/>
          <c:x val="0.24208155887128896"/>
          <c:y val="2.66666666666666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51939908289673"/>
          <c:y val="0.23782397200349961"/>
          <c:w val="0.79111308557247473"/>
          <c:h val="0.59644304461942255"/>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5.5505785512219533E-2"/>
                  <c:y val="-0.183657042869641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'BAC Data'!$B$42:$B$54</c:f>
              <c:numCache>
                <c:formatCode>General</c:formatCode>
                <c:ptCount val="13"/>
                <c:pt idx="0">
                  <c:v>800</c:v>
                </c:pt>
                <c:pt idx="1">
                  <c:v>900</c:v>
                </c:pt>
                <c:pt idx="2">
                  <c:v>1000</c:v>
                </c:pt>
                <c:pt idx="3">
                  <c:v>1100</c:v>
                </c:pt>
                <c:pt idx="4">
                  <c:v>1200</c:v>
                </c:pt>
                <c:pt idx="5">
                  <c:v>1300</c:v>
                </c:pt>
                <c:pt idx="6">
                  <c:v>1400</c:v>
                </c:pt>
                <c:pt idx="7">
                  <c:v>1500</c:v>
                </c:pt>
                <c:pt idx="8">
                  <c:v>1600</c:v>
                </c:pt>
                <c:pt idx="9">
                  <c:v>1700</c:v>
                </c:pt>
                <c:pt idx="10">
                  <c:v>1800</c:v>
                </c:pt>
                <c:pt idx="11">
                  <c:v>1900</c:v>
                </c:pt>
                <c:pt idx="12">
                  <c:v>2000</c:v>
                </c:pt>
              </c:numCache>
            </c:numRef>
          </c:xVal>
          <c:yVal>
            <c:numRef>
              <c:f>'BAC Data'!$H$42:$H$54</c:f>
              <c:numCache>
                <c:formatCode>General</c:formatCode>
                <c:ptCount val="13"/>
                <c:pt idx="0">
                  <c:v>0.1452129457064168</c:v>
                </c:pt>
                <c:pt idx="1">
                  <c:v>0.14070104608242776</c:v>
                </c:pt>
                <c:pt idx="2">
                  <c:v>0.13733427819544916</c:v>
                </c:pt>
                <c:pt idx="3">
                  <c:v>0.13484067133690264</c:v>
                </c:pt>
                <c:pt idx="4">
                  <c:v>0.13304876979965538</c:v>
                </c:pt>
                <c:pt idx="5">
                  <c:v>0.13183472846742528</c:v>
                </c:pt>
                <c:pt idx="6">
                  <c:v>0.13109751168364983</c:v>
                </c:pt>
                <c:pt idx="7">
                  <c:v>0.13078152576305102</c:v>
                </c:pt>
                <c:pt idx="8">
                  <c:v>0.13083446740283819</c:v>
                </c:pt>
                <c:pt idx="9">
                  <c:v>0.1312113122347178</c:v>
                </c:pt>
                <c:pt idx="10">
                  <c:v>0.13188362521230954</c:v>
                </c:pt>
                <c:pt idx="11">
                  <c:v>0.13282656804776749</c:v>
                </c:pt>
                <c:pt idx="12">
                  <c:v>0.13401812879875968</c:v>
                </c:pt>
              </c:numCache>
            </c:numRef>
          </c:yVal>
          <c:smooth val="0"/>
          <c:extLst>
            <c:ext xmlns:c16="http://schemas.microsoft.com/office/drawing/2014/chart" uri="{C3380CC4-5D6E-409C-BE32-E72D297353CC}">
              <c16:uniqueId val="{00000000-C36B-4506-B6F8-A7FD8EE5E7F3}"/>
            </c:ext>
          </c:extLst>
        </c:ser>
        <c:dLbls>
          <c:showLegendKey val="0"/>
          <c:showVal val="0"/>
          <c:showCatName val="0"/>
          <c:showSerName val="0"/>
          <c:showPercent val="0"/>
          <c:showBubbleSize val="0"/>
        </c:dLbls>
        <c:axId val="627757616"/>
        <c:axId val="627757944"/>
      </c:scatterChart>
      <c:valAx>
        <c:axId val="6277576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Airflow (CFM)</a:t>
                </a:r>
              </a:p>
            </c:rich>
          </c:tx>
          <c:layout>
            <c:manualLayout>
              <c:xMode val="edge"/>
              <c:yMode val="edge"/>
              <c:x val="0.43059734264734417"/>
              <c:y val="0.910199825021872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757944"/>
        <c:crosses val="autoZero"/>
        <c:crossBetween val="midCat"/>
      </c:valAx>
      <c:valAx>
        <c:axId val="627757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Power per Btu/hr</a:t>
                </a:r>
              </a:p>
            </c:rich>
          </c:tx>
          <c:layout>
            <c:manualLayout>
              <c:xMode val="edge"/>
              <c:yMode val="edge"/>
              <c:x val="3.5354228581349512E-2"/>
              <c:y val="0.33077865266841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7576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Power per Btu/hr vs. Airflow (CFM)</a:t>
            </a:r>
            <a:endParaRPr lang="en-US" sz="1100">
              <a:effectLst/>
            </a:endParaRPr>
          </a:p>
        </c:rich>
      </c:tx>
      <c:layout>
        <c:manualLayout>
          <c:xMode val="edge"/>
          <c:yMode val="edge"/>
          <c:x val="0.24208155887128896"/>
          <c:y val="2.66666666666666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911343280533514"/>
          <c:y val="0.23782397200349961"/>
          <c:w val="0.79111308557247473"/>
          <c:h val="0.59644304461942255"/>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2867060878090628"/>
                  <c:y val="0.1532871391076115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'BAC Data'!$B$107:$B$119</c:f>
              <c:numCache>
                <c:formatCode>General</c:formatCode>
                <c:ptCount val="13"/>
                <c:pt idx="0">
                  <c:v>800</c:v>
                </c:pt>
                <c:pt idx="1">
                  <c:v>900</c:v>
                </c:pt>
                <c:pt idx="2">
                  <c:v>1000</c:v>
                </c:pt>
                <c:pt idx="3">
                  <c:v>1100</c:v>
                </c:pt>
                <c:pt idx="4">
                  <c:v>1200</c:v>
                </c:pt>
                <c:pt idx="5">
                  <c:v>1300</c:v>
                </c:pt>
                <c:pt idx="6">
                  <c:v>1400</c:v>
                </c:pt>
                <c:pt idx="7">
                  <c:v>1500</c:v>
                </c:pt>
                <c:pt idx="8">
                  <c:v>1600</c:v>
                </c:pt>
                <c:pt idx="9">
                  <c:v>1700</c:v>
                </c:pt>
                <c:pt idx="10">
                  <c:v>1800</c:v>
                </c:pt>
                <c:pt idx="11">
                  <c:v>1900</c:v>
                </c:pt>
                <c:pt idx="12">
                  <c:v>2000</c:v>
                </c:pt>
              </c:numCache>
            </c:numRef>
          </c:xVal>
          <c:yVal>
            <c:numRef>
              <c:f>'BAC Data'!$H$107:$H$119</c:f>
              <c:numCache>
                <c:formatCode>General</c:formatCode>
                <c:ptCount val="13"/>
                <c:pt idx="0">
                  <c:v>0.1187937988983102</c:v>
                </c:pt>
                <c:pt idx="1">
                  <c:v>0.11654814667995421</c:v>
                </c:pt>
                <c:pt idx="2">
                  <c:v>0.11519983542426769</c:v>
                </c:pt>
                <c:pt idx="3">
                  <c:v>0.11456739960349756</c:v>
                </c:pt>
                <c:pt idx="4">
                  <c:v>0.11452811816660111</c:v>
                </c:pt>
                <c:pt idx="5">
                  <c:v>0.11500263612067586</c:v>
                </c:pt>
                <c:pt idx="6">
                  <c:v>0.11593225957874206</c:v>
                </c:pt>
                <c:pt idx="7">
                  <c:v>0.11725395227475578</c:v>
                </c:pt>
                <c:pt idx="8">
                  <c:v>0.11894558108379945</c:v>
                </c:pt>
                <c:pt idx="9">
                  <c:v>0.12096878639556616</c:v>
                </c:pt>
                <c:pt idx="10">
                  <c:v>0.12324015020537901</c:v>
                </c:pt>
                <c:pt idx="11">
                  <c:v>0.12589136431228359</c:v>
                </c:pt>
                <c:pt idx="12">
                  <c:v>0.12883003392576869</c:v>
                </c:pt>
              </c:numCache>
            </c:numRef>
          </c:yVal>
          <c:smooth val="0"/>
          <c:extLst>
            <c:ext xmlns:c16="http://schemas.microsoft.com/office/drawing/2014/chart" uri="{C3380CC4-5D6E-409C-BE32-E72D297353CC}">
              <c16:uniqueId val="{00000002-29D0-44F8-8F7B-4FC975CD6D7C}"/>
            </c:ext>
          </c:extLst>
        </c:ser>
        <c:dLbls>
          <c:showLegendKey val="0"/>
          <c:showVal val="0"/>
          <c:showCatName val="0"/>
          <c:showSerName val="0"/>
          <c:showPercent val="0"/>
          <c:showBubbleSize val="0"/>
        </c:dLbls>
        <c:axId val="627757616"/>
        <c:axId val="627757944"/>
      </c:scatterChart>
      <c:valAx>
        <c:axId val="6277576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Airflow (CFM)</a:t>
                </a:r>
              </a:p>
            </c:rich>
          </c:tx>
          <c:layout>
            <c:manualLayout>
              <c:xMode val="edge"/>
              <c:yMode val="edge"/>
              <c:x val="0.43837944381465943"/>
              <c:y val="0.901310936132983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757944"/>
        <c:crosses val="autoZero"/>
        <c:crossBetween val="midCat"/>
      </c:valAx>
      <c:valAx>
        <c:axId val="627757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Power per Btu/hr</a:t>
                </a:r>
              </a:p>
            </c:rich>
          </c:tx>
          <c:layout>
            <c:manualLayout>
              <c:xMode val="edge"/>
              <c:yMode val="edge"/>
              <c:x val="3.5354228581349512E-2"/>
              <c:y val="0.33077865266841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7576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Power per Btu/hr vs. Airflow (CFM)</a:t>
            </a:r>
            <a:endParaRPr lang="en-US" sz="1100">
              <a:effectLst/>
            </a:endParaRPr>
          </a:p>
        </c:rich>
      </c:tx>
      <c:layout>
        <c:manualLayout>
          <c:xMode val="edge"/>
          <c:yMode val="edge"/>
          <c:x val="0.24208155887128896"/>
          <c:y val="2.66666666666666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51939908289673"/>
          <c:y val="0.23782397200349961"/>
          <c:w val="0.79111308557247473"/>
          <c:h val="0.59644304461942255"/>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9.1822257626357012E-2"/>
                  <c:y val="-0.1081014873140857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'BAC Data'!$B$42:$B$54</c:f>
              <c:numCache>
                <c:formatCode>General</c:formatCode>
                <c:ptCount val="13"/>
                <c:pt idx="0">
                  <c:v>800</c:v>
                </c:pt>
                <c:pt idx="1">
                  <c:v>900</c:v>
                </c:pt>
                <c:pt idx="2">
                  <c:v>1000</c:v>
                </c:pt>
                <c:pt idx="3">
                  <c:v>1100</c:v>
                </c:pt>
                <c:pt idx="4">
                  <c:v>1200</c:v>
                </c:pt>
                <c:pt idx="5">
                  <c:v>1300</c:v>
                </c:pt>
                <c:pt idx="6">
                  <c:v>1400</c:v>
                </c:pt>
                <c:pt idx="7">
                  <c:v>1500</c:v>
                </c:pt>
                <c:pt idx="8">
                  <c:v>1600</c:v>
                </c:pt>
                <c:pt idx="9">
                  <c:v>1700</c:v>
                </c:pt>
                <c:pt idx="10">
                  <c:v>1800</c:v>
                </c:pt>
                <c:pt idx="11">
                  <c:v>1900</c:v>
                </c:pt>
                <c:pt idx="12">
                  <c:v>2000</c:v>
                </c:pt>
              </c:numCache>
            </c:numRef>
          </c:xVal>
          <c:yVal>
            <c:numRef>
              <c:f>'BAC Data'!$H$42:$H$54</c:f>
              <c:numCache>
                <c:formatCode>General</c:formatCode>
                <c:ptCount val="13"/>
                <c:pt idx="0">
                  <c:v>0.1452129457064168</c:v>
                </c:pt>
                <c:pt idx="1">
                  <c:v>0.14070104608242776</c:v>
                </c:pt>
                <c:pt idx="2">
                  <c:v>0.13733427819544916</c:v>
                </c:pt>
                <c:pt idx="3">
                  <c:v>0.13484067133690264</c:v>
                </c:pt>
                <c:pt idx="4">
                  <c:v>0.13304876979965538</c:v>
                </c:pt>
                <c:pt idx="5">
                  <c:v>0.13183472846742528</c:v>
                </c:pt>
                <c:pt idx="6">
                  <c:v>0.13109751168364983</c:v>
                </c:pt>
                <c:pt idx="7">
                  <c:v>0.13078152576305102</c:v>
                </c:pt>
                <c:pt idx="8">
                  <c:v>0.13083446740283819</c:v>
                </c:pt>
                <c:pt idx="9">
                  <c:v>0.1312113122347178</c:v>
                </c:pt>
                <c:pt idx="10">
                  <c:v>0.13188362521230954</c:v>
                </c:pt>
                <c:pt idx="11">
                  <c:v>0.13282656804776749</c:v>
                </c:pt>
                <c:pt idx="12">
                  <c:v>0.13401812879875968</c:v>
                </c:pt>
              </c:numCache>
            </c:numRef>
          </c:yVal>
          <c:smooth val="0"/>
          <c:extLst>
            <c:ext xmlns:c16="http://schemas.microsoft.com/office/drawing/2014/chart" uri="{C3380CC4-5D6E-409C-BE32-E72D297353CC}">
              <c16:uniqueId val="{00000001-BBA6-4CD8-9B2F-04453535EAAF}"/>
            </c:ext>
          </c:extLst>
        </c:ser>
        <c:dLbls>
          <c:showLegendKey val="0"/>
          <c:showVal val="0"/>
          <c:showCatName val="0"/>
          <c:showSerName val="0"/>
          <c:showPercent val="0"/>
          <c:showBubbleSize val="0"/>
        </c:dLbls>
        <c:axId val="627757616"/>
        <c:axId val="627757944"/>
      </c:scatterChart>
      <c:valAx>
        <c:axId val="6277576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Airflow (CFM)</a:t>
                </a:r>
              </a:p>
            </c:rich>
          </c:tx>
          <c:layout>
            <c:manualLayout>
              <c:xMode val="edge"/>
              <c:yMode val="edge"/>
              <c:x val="0.42800330892490579"/>
              <c:y val="0.905755380577427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757944"/>
        <c:crosses val="autoZero"/>
        <c:crossBetween val="midCat"/>
      </c:valAx>
      <c:valAx>
        <c:axId val="627757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Power per Btu/hr</a:t>
                </a:r>
              </a:p>
            </c:rich>
          </c:tx>
          <c:layout>
            <c:manualLayout>
              <c:xMode val="edge"/>
              <c:yMode val="edge"/>
              <c:x val="3.5354228581349512E-2"/>
              <c:y val="0.33077865266841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7576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0</xdr:colOff>
      <xdr:row>33</xdr:row>
      <xdr:rowOff>0</xdr:rowOff>
    </xdr:from>
    <xdr:to>
      <xdr:col>9</xdr:col>
      <xdr:colOff>0</xdr:colOff>
      <xdr:row>49</xdr:row>
      <xdr:rowOff>0</xdr:rowOff>
    </xdr:to>
    <xdr:graphicFrame macro="">
      <xdr:nvGraphicFramePr>
        <xdr:cNvPr id="2" name="Chart 1">
          <a:extLst>
            <a:ext uri="{FF2B5EF4-FFF2-40B4-BE49-F238E27FC236}">
              <a16:creationId xmlns:a16="http://schemas.microsoft.com/office/drawing/2014/main" id="{03B918B7-EE28-43D9-B340-48E183E23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53</xdr:row>
      <xdr:rowOff>0</xdr:rowOff>
    </xdr:from>
    <xdr:to>
      <xdr:col>13</xdr:col>
      <xdr:colOff>0</xdr:colOff>
      <xdr:row>69</xdr:row>
      <xdr:rowOff>4096</xdr:rowOff>
    </xdr:to>
    <xdr:graphicFrame macro="">
      <xdr:nvGraphicFramePr>
        <xdr:cNvPr id="9" name="Chart 8">
          <a:extLst>
            <a:ext uri="{FF2B5EF4-FFF2-40B4-BE49-F238E27FC236}">
              <a16:creationId xmlns:a16="http://schemas.microsoft.com/office/drawing/2014/main" id="{7668991F-6182-40BF-88AF-49C911D53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xdr:row>
      <xdr:rowOff>0</xdr:rowOff>
    </xdr:from>
    <xdr:to>
      <xdr:col>12</xdr:col>
      <xdr:colOff>0</xdr:colOff>
      <xdr:row>9</xdr:row>
      <xdr:rowOff>0</xdr:rowOff>
    </xdr:to>
    <xdr:sp macro="" textlink="">
      <xdr:nvSpPr>
        <xdr:cNvPr id="4" name="TextBox 3">
          <a:extLst>
            <a:ext uri="{FF2B5EF4-FFF2-40B4-BE49-F238E27FC236}">
              <a16:creationId xmlns:a16="http://schemas.microsoft.com/office/drawing/2014/main" id="{1C1D9060-F241-4C66-93DC-FE3E680AE4BD}"/>
            </a:ext>
          </a:extLst>
        </xdr:cNvPr>
        <xdr:cNvSpPr txBox="1"/>
      </xdr:nvSpPr>
      <xdr:spPr>
        <a:xfrm>
          <a:off x="614516" y="1208548"/>
          <a:ext cx="9320161" cy="7783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In this Excel spreadsheet you will find experimental data, mathematical models and other calculations necessary to complete the work for my optimization project.</a:t>
          </a:r>
          <a:r>
            <a:rPr lang="en-US"/>
            <a:t>  The data</a:t>
          </a:r>
          <a:r>
            <a:rPr lang="en-US" baseline="0"/>
            <a:t>, calculations, and models are organized by sheet. Appropriate headers have been given to each sheet. If you have any questions about the information presented here, feel free to contact me by email at:    Caleb.Froelich@wallawalla.edu.</a:t>
          </a:r>
          <a:endParaRPr lang="en-US" sz="1100"/>
        </a:p>
      </xdr:txBody>
    </xdr:sp>
    <xdr:clientData/>
  </xdr:twoCellAnchor>
  <xdr:twoCellAnchor>
    <xdr:from>
      <xdr:col>1</xdr:col>
      <xdr:colOff>0</xdr:colOff>
      <xdr:row>12</xdr:row>
      <xdr:rowOff>0</xdr:rowOff>
    </xdr:from>
    <xdr:to>
      <xdr:col>12</xdr:col>
      <xdr:colOff>0</xdr:colOff>
      <xdr:row>17</xdr:row>
      <xdr:rowOff>0</xdr:rowOff>
    </xdr:to>
    <xdr:sp macro="" textlink="">
      <xdr:nvSpPr>
        <xdr:cNvPr id="6" name="TextBox 5">
          <a:extLst>
            <a:ext uri="{FF2B5EF4-FFF2-40B4-BE49-F238E27FC236}">
              <a16:creationId xmlns:a16="http://schemas.microsoft.com/office/drawing/2014/main" id="{51D20F09-97E1-419B-91AC-666986248166}"/>
            </a:ext>
          </a:extLst>
        </xdr:cNvPr>
        <xdr:cNvSpPr txBox="1"/>
      </xdr:nvSpPr>
      <xdr:spPr>
        <a:xfrm>
          <a:off x="609600" y="2628900"/>
          <a:ext cx="8429625"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fan cost function C</a:t>
          </a:r>
          <a:r>
            <a:rPr lang="en-US" sz="1100" baseline="-25000"/>
            <a:t>fan</a:t>
          </a:r>
          <a:r>
            <a:rPr lang="en-US" sz="1100" baseline="0"/>
            <a:t>(x) was determined experimentally by measuring the current for varying levels of CFM. </a:t>
          </a:r>
          <a:r>
            <a:rPr lang="en-US" sz="1100" baseline="0">
              <a:solidFill>
                <a:schemeClr val="dk1"/>
              </a:solidFill>
              <a:effectLst/>
              <a:latin typeface="+mn-lt"/>
              <a:ea typeface="+mn-ea"/>
              <a:cs typeface="+mn-cs"/>
            </a:rPr>
            <a:t>There were 12 different steps on the CFM speed, with the option to reduce each speed by 15% by setting the dehumidificaton contacts on the airblower. Thus, the range of CFM was from:  688.5 &lt; CFM &lt; 1524.  </a:t>
          </a:r>
          <a:r>
            <a:rPr lang="en-US" sz="1100" baseline="0"/>
            <a:t>The current was measured for every tap setting once and then verified with a couple additional experiments. The three tests were then averaged and fit to a curve. The experimental data is organized in the table below.  </a:t>
          </a:r>
        </a:p>
        <a:p>
          <a:r>
            <a:rPr lang="en-US" sz="1100" baseline="0"/>
            <a:t>			</a:t>
          </a:r>
          <a:endParaRPr lang="en-US" sz="1100"/>
        </a:p>
      </xdr:txBody>
    </xdr:sp>
    <xdr:clientData/>
  </xdr:twoCellAnchor>
  <xdr:oneCellAnchor>
    <xdr:from>
      <xdr:col>1</xdr:col>
      <xdr:colOff>85622</xdr:colOff>
      <xdr:row>69</xdr:row>
      <xdr:rowOff>85621</xdr:rowOff>
    </xdr:from>
    <xdr:ext cx="2959400" cy="193066"/>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90EE4C71-070C-49A6-9D36-64F1AA6DFA8A}"/>
                </a:ext>
              </a:extLst>
            </xdr:cNvPr>
            <xdr:cNvSpPr txBox="1"/>
          </xdr:nvSpPr>
          <xdr:spPr>
            <a:xfrm>
              <a:off x="700138" y="13635702"/>
              <a:ext cx="2959400" cy="1930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𝐶</m:t>
                        </m:r>
                      </m:e>
                      <m:sub>
                        <m:r>
                          <a:rPr lang="en-US" sz="1100" i="1">
                            <a:solidFill>
                              <a:schemeClr val="tx1"/>
                            </a:solidFill>
                            <a:effectLst/>
                            <a:latin typeface="Cambria Math" panose="02040503050406030204" pitchFamily="18" charset="0"/>
                            <a:ea typeface="+mn-ea"/>
                            <a:cs typeface="+mn-cs"/>
                          </a:rPr>
                          <m:t>𝑓𝑎𝑛</m:t>
                        </m:r>
                      </m:sub>
                    </m:sSub>
                    <m:r>
                      <a:rPr lang="en-US" sz="1100" i="1">
                        <a:solidFill>
                          <a:schemeClr val="tx1"/>
                        </a:solidFill>
                        <a:effectLst/>
                        <a:latin typeface="Cambria Math" panose="02040503050406030204" pitchFamily="18" charset="0"/>
                        <a:ea typeface="+mn-ea"/>
                        <a:cs typeface="+mn-cs"/>
                      </a:rPr>
                      <m:t>=0.0002152</m:t>
                    </m:r>
                    <m:r>
                      <a:rPr lang="en-US" sz="1100">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d>
                          <m:dPr>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𝐶𝐹𝑀</m:t>
                            </m:r>
                          </m:e>
                        </m:d>
                      </m:e>
                      <m:sup>
                        <m:r>
                          <a:rPr lang="en-US" sz="1100" i="1">
                            <a:solidFill>
                              <a:schemeClr val="tx1"/>
                            </a:solidFill>
                            <a:effectLst/>
                            <a:latin typeface="Cambria Math" panose="02040503050406030204" pitchFamily="18" charset="0"/>
                            <a:ea typeface="+mn-ea"/>
                            <a:cs typeface="+mn-cs"/>
                          </a:rPr>
                          <m:t>2</m:t>
                        </m:r>
                      </m:sup>
                    </m:sSup>
                    <m:r>
                      <a:rPr lang="en-US" sz="1100" i="1">
                        <a:solidFill>
                          <a:schemeClr val="tx1"/>
                        </a:solidFill>
                        <a:effectLst/>
                        <a:latin typeface="Cambria Math" panose="02040503050406030204" pitchFamily="18" charset="0"/>
                        <a:ea typeface="+mn-ea"/>
                        <a:cs typeface="+mn-cs"/>
                      </a:rPr>
                      <m:t>−0.033845</m:t>
                    </m:r>
                    <m:r>
                      <a:rPr lang="en-US" sz="1100">
                        <a:solidFill>
                          <a:schemeClr val="tx1"/>
                        </a:solidFill>
                        <a:effectLst/>
                        <a:latin typeface="Cambria Math" panose="02040503050406030204" pitchFamily="18" charset="0"/>
                        <a:ea typeface="+mn-ea"/>
                        <a:cs typeface="+mn-cs"/>
                      </a:rPr>
                      <m:t>⋅</m:t>
                    </m:r>
                    <m:d>
                      <m:dPr>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𝐶𝐹𝑀</m:t>
                        </m:r>
                      </m:e>
                    </m:d>
                  </m:oMath>
                </m:oMathPara>
              </a14:m>
              <a:endParaRPr lang="en-US" sz="1100"/>
            </a:p>
          </xdr:txBody>
        </xdr:sp>
      </mc:Choice>
      <mc:Fallback xmlns="">
        <xdr:sp macro="" textlink="">
          <xdr:nvSpPr>
            <xdr:cNvPr id="5" name="TextBox 4">
              <a:extLst>
                <a:ext uri="{FF2B5EF4-FFF2-40B4-BE49-F238E27FC236}">
                  <a16:creationId xmlns:a16="http://schemas.microsoft.com/office/drawing/2014/main" id="{90EE4C71-070C-49A6-9D36-64F1AA6DFA8A}"/>
                </a:ext>
              </a:extLst>
            </xdr:cNvPr>
            <xdr:cNvSpPr txBox="1"/>
          </xdr:nvSpPr>
          <xdr:spPr>
            <a:xfrm>
              <a:off x="700138" y="13635702"/>
              <a:ext cx="2959400" cy="1930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𝐶_𝑓𝑎𝑛=0.0002152⋅(𝐶𝐹𝑀)^2−0.033845⋅(𝐶𝐹𝑀)</a:t>
              </a:r>
              <a:endParaRPr lang="en-US" sz="1100"/>
            </a:p>
          </xdr:txBody>
        </xdr:sp>
      </mc:Fallback>
    </mc:AlternateContent>
    <xdr:clientData/>
  </xdr:oneCellAnchor>
</xdr:wsDr>
</file>

<file path=xl/drawings/drawing10.xml><?xml version="1.0" encoding="utf-8"?>
<xdr:wsDr xmlns:xdr="http://schemas.openxmlformats.org/drawingml/2006/spreadsheetDrawing" xmlns:a="http://schemas.openxmlformats.org/drawingml/2006/main">
  <xdr:twoCellAnchor>
    <xdr:from>
      <xdr:col>1</xdr:col>
      <xdr:colOff>0</xdr:colOff>
      <xdr:row>5</xdr:row>
      <xdr:rowOff>0</xdr:rowOff>
    </xdr:from>
    <xdr:to>
      <xdr:col>13</xdr:col>
      <xdr:colOff>0</xdr:colOff>
      <xdr:row>10</xdr:row>
      <xdr:rowOff>0</xdr:rowOff>
    </xdr:to>
    <xdr:sp macro="" textlink="">
      <xdr:nvSpPr>
        <xdr:cNvPr id="3" name="TextBox 2">
          <a:extLst>
            <a:ext uri="{FF2B5EF4-FFF2-40B4-BE49-F238E27FC236}">
              <a16:creationId xmlns:a16="http://schemas.microsoft.com/office/drawing/2014/main" id="{86467912-129C-4780-85F4-49426ED770B3}"/>
            </a:ext>
          </a:extLst>
        </xdr:cNvPr>
        <xdr:cNvSpPr txBox="1"/>
      </xdr:nvSpPr>
      <xdr:spPr>
        <a:xfrm>
          <a:off x="609600" y="1247775"/>
          <a:ext cx="73152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dk1"/>
              </a:solidFill>
              <a:effectLst/>
              <a:latin typeface="+mn-lt"/>
              <a:ea typeface="+mn-ea"/>
              <a:cs typeface="+mn-cs"/>
            </a:rPr>
            <a:t>Below</a:t>
          </a:r>
          <a:r>
            <a:rPr lang="en-US" sz="1100" b="0" baseline="0">
              <a:solidFill>
                <a:schemeClr val="dk1"/>
              </a:solidFill>
              <a:effectLst/>
              <a:latin typeface="+mn-lt"/>
              <a:ea typeface="+mn-ea"/>
              <a:cs typeface="+mn-cs"/>
            </a:rPr>
            <a:t> is the data used to fit a surface in MATLAB using the curve fitting app. The equation giving by MATLAB ( using linear regression ) is in terms of normalized coeffiecients, thus I have normalized the variables in the far right columns. See the MATLAB code in the pdf entitled "Froelich_MATH319_Project_MATLAB.pdf" for more information regarding the results of the surface fit.</a:t>
          </a:r>
        </a:p>
        <a:p>
          <a:endParaRPr lang="en-US" sz="1100" b="0" baseline="0">
            <a:solidFill>
              <a:schemeClr val="dk1"/>
            </a:solidFill>
            <a:effectLst/>
            <a:latin typeface="+mn-lt"/>
            <a:ea typeface="+mn-ea"/>
            <a:cs typeface="+mn-cs"/>
          </a:endParaRPr>
        </a:p>
        <a:p>
          <a:endParaRPr lang="en-US" sz="1100" b="0">
            <a:solidFill>
              <a:schemeClr val="dk1"/>
            </a:solidFill>
            <a:effectLst/>
            <a:latin typeface="+mn-lt"/>
            <a:ea typeface="+mn-ea"/>
            <a:cs typeface="+mn-cs"/>
          </a:endParaRPr>
        </a:p>
      </xdr:txBody>
    </xdr:sp>
    <xdr:clientData/>
  </xdr:twoCellAnchor>
  <xdr:twoCellAnchor>
    <xdr:from>
      <xdr:col>1</xdr:col>
      <xdr:colOff>0</xdr:colOff>
      <xdr:row>65</xdr:row>
      <xdr:rowOff>0</xdr:rowOff>
    </xdr:from>
    <xdr:to>
      <xdr:col>13</xdr:col>
      <xdr:colOff>0</xdr:colOff>
      <xdr:row>70</xdr:row>
      <xdr:rowOff>0</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F1D54E4F-C447-4FAE-8E02-681BE572CA6E}"/>
                </a:ext>
              </a:extLst>
            </xdr:cNvPr>
            <xdr:cNvSpPr txBox="1"/>
          </xdr:nvSpPr>
          <xdr:spPr>
            <a:xfrm>
              <a:off x="609600" y="12677775"/>
              <a:ext cx="73152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dk1"/>
                  </a:solidFill>
                  <a:effectLst/>
                  <a:latin typeface="+mn-lt"/>
                  <a:ea typeface="+mn-ea"/>
                  <a:cs typeface="+mn-cs"/>
                </a:rPr>
                <a:t>The</a:t>
              </a:r>
              <a:r>
                <a:rPr lang="en-US" sz="1100" b="0" baseline="0">
                  <a:solidFill>
                    <a:schemeClr val="dk1"/>
                  </a:solidFill>
                  <a:effectLst/>
                  <a:latin typeface="+mn-lt"/>
                  <a:ea typeface="+mn-ea"/>
                  <a:cs typeface="+mn-cs"/>
                </a:rPr>
                <a:t> resulting equation for Q</a:t>
              </a:r>
              <a:r>
                <a:rPr lang="en-US" sz="1100" b="0" baseline="-25000">
                  <a:solidFill>
                    <a:schemeClr val="dk1"/>
                  </a:solidFill>
                  <a:effectLst/>
                  <a:latin typeface="+mn-lt"/>
                  <a:ea typeface="+mn-ea"/>
                  <a:cs typeface="+mn-cs"/>
                </a:rPr>
                <a:t>coil</a:t>
              </a:r>
              <a:r>
                <a:rPr lang="en-US" sz="1100" b="0" baseline="0">
                  <a:solidFill>
                    <a:schemeClr val="dk1"/>
                  </a:solidFill>
                  <a:effectLst/>
                  <a:latin typeface="+mn-lt"/>
                  <a:ea typeface="+mn-ea"/>
                  <a:cs typeface="+mn-cs"/>
                </a:rPr>
                <a:t>(x), found via MATLAB's surface fit is:</a:t>
              </a:r>
            </a:p>
            <a:p>
              <a:endParaRPr lang="en-US" sz="1100" b="0" baseline="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  </a:t>
              </a:r>
              <a14:m>
                <m:oMath xmlns:m="http://schemas.openxmlformats.org/officeDocument/2006/math">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𝑄</m:t>
                      </m:r>
                    </m:e>
                    <m:sub>
                      <m:r>
                        <a:rPr lang="en-US" sz="1100" i="1">
                          <a:solidFill>
                            <a:schemeClr val="dk1"/>
                          </a:solidFill>
                          <a:effectLst/>
                          <a:latin typeface="Cambria Math" panose="02040503050406030204" pitchFamily="18" charset="0"/>
                          <a:ea typeface="+mn-ea"/>
                          <a:cs typeface="+mn-cs"/>
                        </a:rPr>
                        <m:t>𝑐𝑜𝑖𝑙</m:t>
                      </m:r>
                    </m:sub>
                  </m:sSub>
                  <m:d>
                    <m:dPr>
                      <m:ctrlPr>
                        <a:rPr lang="en-US" sz="1100" i="1">
                          <a:solidFill>
                            <a:schemeClr val="dk1"/>
                          </a:solidFill>
                          <a:effectLst/>
                          <a:latin typeface="Cambria Math" panose="02040503050406030204" pitchFamily="18" charset="0"/>
                          <a:ea typeface="+mn-ea"/>
                          <a:cs typeface="+mn-cs"/>
                        </a:rPr>
                      </m:ctrlPr>
                    </m:dPr>
                    <m:e>
                      <m:bar>
                        <m:barPr>
                          <m:pos m:val="top"/>
                          <m:ctrlPr>
                            <a:rPr lang="en-US" sz="1100" i="1">
                              <a:solidFill>
                                <a:schemeClr val="dk1"/>
                              </a:solidFill>
                              <a:effectLst/>
                              <a:latin typeface="Cambria Math" panose="02040503050406030204" pitchFamily="18" charset="0"/>
                              <a:ea typeface="+mn-ea"/>
                              <a:cs typeface="+mn-cs"/>
                            </a:rPr>
                          </m:ctrlPr>
                        </m:barPr>
                        <m:e>
                          <m:r>
                            <a:rPr lang="en-US" sz="1100" i="1">
                              <a:solidFill>
                                <a:schemeClr val="dk1"/>
                              </a:solidFill>
                              <a:effectLst/>
                              <a:latin typeface="Cambria Math" panose="02040503050406030204" pitchFamily="18" charset="0"/>
                              <a:ea typeface="+mn-ea"/>
                              <a:cs typeface="+mn-cs"/>
                            </a:rPr>
                            <m:t>𝑥</m:t>
                          </m:r>
                        </m:e>
                      </m:bar>
                    </m:e>
                  </m:d>
                  <m:r>
                    <a:rPr lang="en-US" sz="1100" i="1">
                      <a:solidFill>
                        <a:schemeClr val="dk1"/>
                      </a:solidFill>
                      <a:effectLst/>
                      <a:latin typeface="Cambria Math" panose="02040503050406030204" pitchFamily="18" charset="0"/>
                      <a:ea typeface="+mn-ea"/>
                      <a:cs typeface="+mn-cs"/>
                    </a:rPr>
                    <m:t>=−0.102</m:t>
                  </m:r>
                  <m:sSup>
                    <m:sSupPr>
                      <m:ctrlPr>
                        <a:rPr lang="en-US" sz="1100" i="1">
                          <a:solidFill>
                            <a:schemeClr val="dk1"/>
                          </a:solidFill>
                          <a:effectLst/>
                          <a:latin typeface="Cambria Math" panose="02040503050406030204" pitchFamily="18" charset="0"/>
                          <a:ea typeface="+mn-ea"/>
                          <a:cs typeface="+mn-cs"/>
                        </a:rPr>
                      </m:ctrlPr>
                    </m:sSupPr>
                    <m:e>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𝐶𝐹𝑀</m:t>
                          </m:r>
                        </m:e>
                      </m:d>
                    </m:e>
                    <m:sup>
                      <m:r>
                        <a:rPr lang="en-US" sz="1100" i="1">
                          <a:solidFill>
                            <a:schemeClr val="dk1"/>
                          </a:solidFill>
                          <a:effectLst/>
                          <a:latin typeface="Cambria Math" panose="02040503050406030204" pitchFamily="18" charset="0"/>
                          <a:ea typeface="+mn-ea"/>
                          <a:cs typeface="+mn-cs"/>
                        </a:rPr>
                        <m:t>2</m:t>
                      </m:r>
                    </m:sup>
                  </m:sSup>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𝐺𝑃𝑀</m:t>
                      </m:r>
                    </m:e>
                  </m:d>
                  <m:r>
                    <a:rPr lang="en-US" sz="1100" i="1">
                      <a:solidFill>
                        <a:schemeClr val="dk1"/>
                      </a:solidFill>
                      <a:effectLst/>
                      <a:latin typeface="Cambria Math" panose="02040503050406030204" pitchFamily="18" charset="0"/>
                      <a:ea typeface="+mn-ea"/>
                      <a:cs typeface="+mn-cs"/>
                    </a:rPr>
                    <m:t>−0.0005</m:t>
                  </m:r>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𝐶𝐹𝑀</m:t>
                      </m:r>
                    </m:e>
                  </m:d>
                  <m:sSup>
                    <m:sSupPr>
                      <m:ctrlPr>
                        <a:rPr lang="en-US" sz="1100" i="1">
                          <a:solidFill>
                            <a:schemeClr val="dk1"/>
                          </a:solidFill>
                          <a:effectLst/>
                          <a:latin typeface="Cambria Math" panose="02040503050406030204" pitchFamily="18" charset="0"/>
                          <a:ea typeface="+mn-ea"/>
                          <a:cs typeface="+mn-cs"/>
                        </a:rPr>
                      </m:ctrlPr>
                    </m:sSupPr>
                    <m:e>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𝐺𝑃𝑀</m:t>
                          </m:r>
                        </m:e>
                      </m:d>
                    </m:e>
                    <m:sup>
                      <m:r>
                        <a:rPr lang="en-US" sz="1100" i="1">
                          <a:solidFill>
                            <a:schemeClr val="dk1"/>
                          </a:solidFill>
                          <a:effectLst/>
                          <a:latin typeface="Cambria Math" panose="02040503050406030204" pitchFamily="18" charset="0"/>
                          <a:ea typeface="+mn-ea"/>
                          <a:cs typeface="+mn-cs"/>
                        </a:rPr>
                        <m:t>2</m:t>
                      </m:r>
                    </m:sup>
                  </m:sSup>
                  <m:r>
                    <a:rPr lang="en-US" sz="1100" i="1">
                      <a:solidFill>
                        <a:schemeClr val="dk1"/>
                      </a:solidFill>
                      <a:effectLst/>
                      <a:latin typeface="Cambria Math" panose="02040503050406030204" pitchFamily="18" charset="0"/>
                      <a:ea typeface="+mn-ea"/>
                      <a:cs typeface="+mn-cs"/>
                    </a:rPr>
                    <m:t>+1.7</m:t>
                  </m:r>
                  <m:r>
                    <a:rPr lang="en-US" sz="1100">
                      <a:solidFill>
                        <a:schemeClr val="dk1"/>
                      </a:solidFill>
                      <a:effectLst/>
                      <a:latin typeface="Cambria Math" panose="02040503050406030204" pitchFamily="18" charset="0"/>
                      <a:ea typeface="+mn-ea"/>
                      <a:cs typeface="+mn-cs"/>
                    </a:rPr>
                    <m:t>⋅</m:t>
                  </m:r>
                  <m:sSup>
                    <m:sSupPr>
                      <m:ctrlPr>
                        <a:rPr lang="en-US" sz="1100" i="1">
                          <a:solidFill>
                            <a:schemeClr val="dk1"/>
                          </a:solidFill>
                          <a:effectLst/>
                          <a:latin typeface="Cambria Math" panose="02040503050406030204" pitchFamily="18" charset="0"/>
                          <a:ea typeface="+mn-ea"/>
                          <a:cs typeface="+mn-cs"/>
                        </a:rPr>
                      </m:ctrlPr>
                    </m:sSupPr>
                    <m:e>
                      <m:r>
                        <a:rPr lang="en-US" sz="1100" i="1">
                          <a:solidFill>
                            <a:schemeClr val="dk1"/>
                          </a:solidFill>
                          <a:effectLst/>
                          <a:latin typeface="Cambria Math" panose="02040503050406030204" pitchFamily="18" charset="0"/>
                          <a:ea typeface="+mn-ea"/>
                          <a:cs typeface="+mn-cs"/>
                        </a:rPr>
                        <m:t>10</m:t>
                      </m:r>
                    </m:e>
                    <m:sup>
                      <m:r>
                        <a:rPr lang="en-US" sz="1100" i="1">
                          <a:solidFill>
                            <a:schemeClr val="dk1"/>
                          </a:solidFill>
                          <a:effectLst/>
                          <a:latin typeface="Cambria Math" panose="02040503050406030204" pitchFamily="18" charset="0"/>
                          <a:ea typeface="+mn-ea"/>
                          <a:cs typeface="+mn-cs"/>
                        </a:rPr>
                        <m:t>−6</m:t>
                      </m:r>
                    </m:sup>
                  </m:sSup>
                  <m:sSup>
                    <m:sSupPr>
                      <m:ctrlPr>
                        <a:rPr lang="en-US" sz="1100" i="1">
                          <a:solidFill>
                            <a:schemeClr val="dk1"/>
                          </a:solidFill>
                          <a:effectLst/>
                          <a:latin typeface="Cambria Math" panose="02040503050406030204" pitchFamily="18" charset="0"/>
                          <a:ea typeface="+mn-ea"/>
                          <a:cs typeface="+mn-cs"/>
                        </a:rPr>
                      </m:ctrlPr>
                    </m:sSupPr>
                    <m:e>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𝐺𝑃𝑀</m:t>
                          </m:r>
                        </m:e>
                      </m:d>
                    </m:e>
                    <m:sup>
                      <m:r>
                        <a:rPr lang="en-US" sz="1100" i="1">
                          <a:solidFill>
                            <a:schemeClr val="dk1"/>
                          </a:solidFill>
                          <a:effectLst/>
                          <a:latin typeface="Cambria Math" panose="02040503050406030204" pitchFamily="18" charset="0"/>
                          <a:ea typeface="+mn-ea"/>
                          <a:cs typeface="+mn-cs"/>
                        </a:rPr>
                        <m:t>3</m:t>
                      </m:r>
                    </m:sup>
                  </m:sSup>
                </m:oMath>
              </a14:m>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a:t>
              </a:r>
              <a14:m>
                <m:oMath xmlns:m="http://schemas.openxmlformats.org/officeDocument/2006/math">
                  <m:r>
                    <a:rPr lang="en-US" sz="1100" i="1">
                      <a:solidFill>
                        <a:schemeClr val="dk1"/>
                      </a:solidFill>
                      <a:effectLst/>
                      <a:latin typeface="Cambria Math" panose="02040503050406030204" pitchFamily="18" charset="0"/>
                      <a:ea typeface="+mn-ea"/>
                      <a:cs typeface="+mn-cs"/>
                    </a:rPr>
                    <m:t> </m:t>
                  </m:r>
                  <m:r>
                    <a:rPr lang="en-US" sz="1100" b="0" i="1">
                      <a:solidFill>
                        <a:schemeClr val="dk1"/>
                      </a:solidFill>
                      <a:effectLst/>
                      <a:latin typeface="Cambria Math" panose="02040503050406030204" pitchFamily="18" charset="0"/>
                      <a:ea typeface="+mn-ea"/>
                      <a:cs typeface="+mn-cs"/>
                    </a:rPr>
                    <m:t> </m:t>
                  </m:r>
                  <m:r>
                    <a:rPr lang="en-US" sz="1100" i="1">
                      <a:solidFill>
                        <a:schemeClr val="dk1"/>
                      </a:solidFill>
                      <a:effectLst/>
                      <a:latin typeface="Cambria Math" panose="02040503050406030204" pitchFamily="18" charset="0"/>
                      <a:ea typeface="+mn-ea"/>
                      <a:cs typeface="+mn-cs"/>
                    </a:rPr>
                    <m:t>−63.21</m:t>
                  </m:r>
                  <m:sSup>
                    <m:sSupPr>
                      <m:ctrlPr>
                        <a:rPr lang="en-US" sz="1100" i="1">
                          <a:solidFill>
                            <a:schemeClr val="dk1"/>
                          </a:solidFill>
                          <a:effectLst/>
                          <a:latin typeface="Cambria Math" panose="02040503050406030204" pitchFamily="18" charset="0"/>
                          <a:ea typeface="+mn-ea"/>
                          <a:cs typeface="+mn-cs"/>
                        </a:rPr>
                      </m:ctrlPr>
                    </m:sSupPr>
                    <m:e>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𝐶𝐹𝑀</m:t>
                          </m:r>
                        </m:e>
                      </m:d>
                    </m:e>
                    <m:sup>
                      <m:r>
                        <a:rPr lang="en-US" sz="1100" i="1">
                          <a:solidFill>
                            <a:schemeClr val="dk1"/>
                          </a:solidFill>
                          <a:effectLst/>
                          <a:latin typeface="Cambria Math" panose="02040503050406030204" pitchFamily="18" charset="0"/>
                          <a:ea typeface="+mn-ea"/>
                          <a:cs typeface="+mn-cs"/>
                        </a:rPr>
                        <m:t>2</m:t>
                      </m:r>
                    </m:sup>
                  </m:sSup>
                  <m:r>
                    <a:rPr lang="en-US" sz="1100" i="1">
                      <a:solidFill>
                        <a:schemeClr val="dk1"/>
                      </a:solidFill>
                      <a:effectLst/>
                      <a:latin typeface="Cambria Math" panose="02040503050406030204" pitchFamily="18" charset="0"/>
                      <a:ea typeface="+mn-ea"/>
                      <a:cs typeface="+mn-cs"/>
                    </a:rPr>
                    <m:t>+2.948</m:t>
                  </m:r>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𝐶𝐹𝑀</m:t>
                      </m:r>
                    </m:e>
                  </m:d>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𝐺𝑃𝑀</m:t>
                      </m:r>
                    </m:e>
                  </m:d>
                  <m:r>
                    <a:rPr lang="en-US" sz="1100" i="1">
                      <a:solidFill>
                        <a:schemeClr val="dk1"/>
                      </a:solidFill>
                      <a:effectLst/>
                      <a:latin typeface="Cambria Math" panose="02040503050406030204" pitchFamily="18" charset="0"/>
                      <a:ea typeface="+mn-ea"/>
                      <a:cs typeface="+mn-cs"/>
                    </a:rPr>
                    <m:t>−0.0846</m:t>
                  </m:r>
                  <m:sSup>
                    <m:sSupPr>
                      <m:ctrlPr>
                        <a:rPr lang="en-US" sz="1100" i="1">
                          <a:solidFill>
                            <a:schemeClr val="dk1"/>
                          </a:solidFill>
                          <a:effectLst/>
                          <a:latin typeface="Cambria Math" panose="02040503050406030204" pitchFamily="18" charset="0"/>
                          <a:ea typeface="+mn-ea"/>
                          <a:cs typeface="+mn-cs"/>
                        </a:rPr>
                      </m:ctrlPr>
                    </m:sSupPr>
                    <m:e>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𝐺𝑃𝑀</m:t>
                          </m:r>
                        </m:e>
                      </m:d>
                    </m:e>
                    <m:sup>
                      <m:r>
                        <a:rPr lang="en-US" sz="1100" i="1">
                          <a:solidFill>
                            <a:schemeClr val="dk1"/>
                          </a:solidFill>
                          <a:effectLst/>
                          <a:latin typeface="Cambria Math" panose="02040503050406030204" pitchFamily="18" charset="0"/>
                          <a:ea typeface="+mn-ea"/>
                          <a:cs typeface="+mn-cs"/>
                        </a:rPr>
                        <m:t>2</m:t>
                      </m:r>
                    </m:sup>
                  </m:sSup>
                  <m:r>
                    <a:rPr lang="en-US" sz="1100" i="1">
                      <a:solidFill>
                        <a:schemeClr val="dk1"/>
                      </a:solidFill>
                      <a:effectLst/>
                      <a:latin typeface="Cambria Math" panose="02040503050406030204" pitchFamily="18" charset="0"/>
                      <a:ea typeface="+mn-ea"/>
                      <a:cs typeface="+mn-cs"/>
                    </a:rPr>
                    <m:t>+15.766</m:t>
                  </m:r>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𝐺𝑃𝑀</m:t>
                      </m:r>
                    </m:e>
                  </m:d>
                  <m:r>
                    <a:rPr lang="en-US" sz="1100" i="1">
                      <a:solidFill>
                        <a:schemeClr val="dk1"/>
                      </a:solidFill>
                      <a:effectLst/>
                      <a:latin typeface="Cambria Math" panose="02040503050406030204" pitchFamily="18" charset="0"/>
                      <a:ea typeface="+mn-ea"/>
                      <a:cs typeface="+mn-cs"/>
                    </a:rPr>
                    <m:t>+2328.35</m:t>
                  </m:r>
                </m:oMath>
              </a14:m>
              <a:r>
                <a:rPr lang="en-US" sz="1100">
                  <a:solidFill>
                    <a:schemeClr val="dk1"/>
                  </a:solidFill>
                  <a:effectLst/>
                  <a:latin typeface="+mn-lt"/>
                  <a:ea typeface="+mn-ea"/>
                  <a:cs typeface="+mn-cs"/>
                </a:rPr>
                <a:t>                        </a:t>
              </a:r>
            </a:p>
            <a:p>
              <a:pPr/>
              <a14:m>
                <m:oMathPara xmlns:m="http://schemas.openxmlformats.org/officeDocument/2006/math">
                  <m:oMathParaPr>
                    <m:jc m:val="centerGroup"/>
                  </m:oMathParaPr>
                  <m:oMath xmlns:m="http://schemas.openxmlformats.org/officeDocument/2006/math">
                    <m:r>
                      <a:rPr lang="en-US" sz="1100" i="1">
                        <a:solidFill>
                          <a:schemeClr val="dk1"/>
                        </a:solidFill>
                        <a:effectLst/>
                        <a:latin typeface="Cambria Math" panose="02040503050406030204" pitchFamily="18" charset="0"/>
                        <a:ea typeface="+mn-ea"/>
                        <a:cs typeface="+mn-cs"/>
                      </a:rPr>
                      <m:t>  </m:t>
                    </m:r>
                  </m:oMath>
                </m:oMathPara>
              </a14:m>
              <a:endParaRPr lang="en-US" sz="1100" b="0">
                <a:solidFill>
                  <a:schemeClr val="dk1"/>
                </a:solidFill>
                <a:effectLst/>
                <a:latin typeface="+mn-lt"/>
                <a:ea typeface="+mn-ea"/>
                <a:cs typeface="+mn-cs"/>
              </a:endParaRPr>
            </a:p>
          </xdr:txBody>
        </xdr:sp>
      </mc:Choice>
      <mc:Fallback xmlns="">
        <xdr:sp macro="" textlink="">
          <xdr:nvSpPr>
            <xdr:cNvPr id="5" name="TextBox 4">
              <a:extLst>
                <a:ext uri="{FF2B5EF4-FFF2-40B4-BE49-F238E27FC236}">
                  <a16:creationId xmlns:a16="http://schemas.microsoft.com/office/drawing/2014/main" id="{F1D54E4F-C447-4FAE-8E02-681BE572CA6E}"/>
                </a:ext>
              </a:extLst>
            </xdr:cNvPr>
            <xdr:cNvSpPr txBox="1"/>
          </xdr:nvSpPr>
          <xdr:spPr>
            <a:xfrm>
              <a:off x="609600" y="12677775"/>
              <a:ext cx="73152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dk1"/>
                  </a:solidFill>
                  <a:effectLst/>
                  <a:latin typeface="+mn-lt"/>
                  <a:ea typeface="+mn-ea"/>
                  <a:cs typeface="+mn-cs"/>
                </a:rPr>
                <a:t>The</a:t>
              </a:r>
              <a:r>
                <a:rPr lang="en-US" sz="1100" b="0" baseline="0">
                  <a:solidFill>
                    <a:schemeClr val="dk1"/>
                  </a:solidFill>
                  <a:effectLst/>
                  <a:latin typeface="+mn-lt"/>
                  <a:ea typeface="+mn-ea"/>
                  <a:cs typeface="+mn-cs"/>
                </a:rPr>
                <a:t> resulting equation for Q</a:t>
              </a:r>
              <a:r>
                <a:rPr lang="en-US" sz="1100" b="0" baseline="-25000">
                  <a:solidFill>
                    <a:schemeClr val="dk1"/>
                  </a:solidFill>
                  <a:effectLst/>
                  <a:latin typeface="+mn-lt"/>
                  <a:ea typeface="+mn-ea"/>
                  <a:cs typeface="+mn-cs"/>
                </a:rPr>
                <a:t>coil</a:t>
              </a:r>
              <a:r>
                <a:rPr lang="en-US" sz="1100" b="0" baseline="0">
                  <a:solidFill>
                    <a:schemeClr val="dk1"/>
                  </a:solidFill>
                  <a:effectLst/>
                  <a:latin typeface="+mn-lt"/>
                  <a:ea typeface="+mn-ea"/>
                  <a:cs typeface="+mn-cs"/>
                </a:rPr>
                <a:t>(x), found via MATLAB's surface fit is:</a:t>
              </a:r>
            </a:p>
            <a:p>
              <a:endParaRPr lang="en-US" sz="1100" b="0" baseline="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  </a:t>
              </a:r>
              <a:r>
                <a:rPr lang="en-US" sz="1100" i="0">
                  <a:solidFill>
                    <a:schemeClr val="dk1"/>
                  </a:solidFill>
                  <a:effectLst/>
                  <a:latin typeface="+mn-lt"/>
                  <a:ea typeface="+mn-ea"/>
                  <a:cs typeface="+mn-cs"/>
                </a:rPr>
                <a:t>𝑄_𝑐𝑜𝑖𝑙 (¯𝑥)=−0.102(𝐶𝐹𝑀)^2 (𝐺𝑃𝑀)−0.0005(𝐶𝐹𝑀) (𝐺𝑃𝑀)^2+1.7⋅10^(−6) (𝐺𝑃𝑀)^3</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a:t>
              </a:r>
              <a:r>
                <a:rPr lang="en-US" sz="1100" i="0">
                  <a:solidFill>
                    <a:schemeClr val="dk1"/>
                  </a:solidFill>
                  <a:effectLst/>
                  <a:latin typeface="+mn-lt"/>
                  <a:ea typeface="+mn-ea"/>
                  <a:cs typeface="+mn-cs"/>
                </a:rPr>
                <a:t> </a:t>
              </a:r>
              <a:r>
                <a:rPr lang="en-US" sz="1100" b="0" i="0">
                  <a:solidFill>
                    <a:schemeClr val="dk1"/>
                  </a:solidFill>
                  <a:effectLst/>
                  <a:latin typeface="Cambria Math" panose="02040503050406030204" pitchFamily="18" charset="0"/>
                  <a:ea typeface="+mn-ea"/>
                  <a:cs typeface="+mn-cs"/>
                </a:rPr>
                <a:t> </a:t>
              </a:r>
              <a:r>
                <a:rPr lang="en-US" sz="1100" i="0">
                  <a:solidFill>
                    <a:schemeClr val="dk1"/>
                  </a:solidFill>
                  <a:effectLst/>
                  <a:latin typeface="+mn-lt"/>
                  <a:ea typeface="+mn-ea"/>
                  <a:cs typeface="+mn-cs"/>
                </a:rPr>
                <a:t>−63.21(𝐶𝐹𝑀)^2+2.948(𝐶𝐹𝑀)(𝐺𝑃𝑀)−0.0846(𝐺𝑃𝑀)^2+15.766(𝐺𝑃𝑀)+2328.35</a:t>
              </a:r>
              <a:r>
                <a:rPr lang="en-US" sz="1100">
                  <a:solidFill>
                    <a:schemeClr val="dk1"/>
                  </a:solidFill>
                  <a:effectLst/>
                  <a:latin typeface="+mn-lt"/>
                  <a:ea typeface="+mn-ea"/>
                  <a:cs typeface="+mn-cs"/>
                </a:rPr>
                <a:t>                        </a:t>
              </a:r>
            </a:p>
            <a:p>
              <a:r>
                <a:rPr lang="en-US" sz="1100" i="0">
                  <a:solidFill>
                    <a:schemeClr val="dk1"/>
                  </a:solidFill>
                  <a:effectLst/>
                  <a:latin typeface="+mn-lt"/>
                  <a:ea typeface="+mn-ea"/>
                  <a:cs typeface="+mn-cs"/>
                </a:rPr>
                <a:t>  </a:t>
              </a:r>
              <a:endParaRPr lang="en-US" sz="1100" b="0">
                <a:solidFill>
                  <a:schemeClr val="dk1"/>
                </a:solidFill>
                <a:effectLst/>
                <a:latin typeface="+mn-lt"/>
                <a:ea typeface="+mn-ea"/>
                <a:cs typeface="+mn-cs"/>
              </a:endParaRP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5</xdr:row>
      <xdr:rowOff>0</xdr:rowOff>
    </xdr:from>
    <xdr:to>
      <xdr:col>13</xdr:col>
      <xdr:colOff>0</xdr:colOff>
      <xdr:row>14</xdr:row>
      <xdr:rowOff>0</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30A0B768-A201-4ECB-AB87-F2274D930FC7}"/>
                </a:ext>
              </a:extLst>
            </xdr:cNvPr>
            <xdr:cNvSpPr txBox="1"/>
          </xdr:nvSpPr>
          <xdr:spPr>
            <a:xfrm>
              <a:off x="609600" y="1247775"/>
              <a:ext cx="798195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As mentioned in my report, I seek to solve the problem:	</a:t>
              </a:r>
              <a14:m>
                <m:oMath xmlns:m="http://schemas.openxmlformats.org/officeDocument/2006/math">
                  <m:r>
                    <m:rPr>
                      <m:nor/>
                    </m:rPr>
                    <a:rPr lang="en-US" sz="1100">
                      <a:solidFill>
                        <a:schemeClr val="dk1"/>
                      </a:solidFill>
                      <a:effectLst/>
                      <a:latin typeface="+mn-lt"/>
                      <a:ea typeface="+mn-ea"/>
                      <a:cs typeface="+mn-cs"/>
                    </a:rPr>
                    <m:t>min</m:t>
                  </m:r>
                  <m:r>
                    <a:rPr lang="en-US" sz="1100">
                      <a:solidFill>
                        <a:schemeClr val="dk1"/>
                      </a:solidFill>
                      <a:effectLst/>
                      <a:latin typeface="Cambria Math" panose="02040503050406030204" pitchFamily="18" charset="0"/>
                      <a:ea typeface="+mn-ea"/>
                      <a:cs typeface="+mn-cs"/>
                    </a:rPr>
                    <m:t> </m:t>
                  </m:r>
                  <m:r>
                    <m:rPr>
                      <m:sty m:val="p"/>
                    </m:rPr>
                    <a:rPr lang="en-US" sz="1100">
                      <a:solidFill>
                        <a:schemeClr val="dk1"/>
                      </a:solidFill>
                      <a:effectLst/>
                      <a:latin typeface="Cambria Math" panose="02040503050406030204" pitchFamily="18" charset="0"/>
                      <a:ea typeface="+mn-ea"/>
                      <a:cs typeface="+mn-cs"/>
                    </a:rPr>
                    <m:t>J</m:t>
                  </m:r>
                  <m:d>
                    <m:dPr>
                      <m:ctrlPr>
                        <a:rPr lang="en-US" sz="1100" i="1">
                          <a:solidFill>
                            <a:schemeClr val="dk1"/>
                          </a:solidFill>
                          <a:effectLst/>
                          <a:latin typeface="Cambria Math" panose="02040503050406030204" pitchFamily="18" charset="0"/>
                          <a:ea typeface="+mn-ea"/>
                          <a:cs typeface="+mn-cs"/>
                        </a:rPr>
                      </m:ctrlPr>
                    </m:dPr>
                    <m:e>
                      <m:bar>
                        <m:barPr>
                          <m:pos m:val="top"/>
                          <m:ctrlPr>
                            <a:rPr lang="en-US" sz="1100" i="1">
                              <a:solidFill>
                                <a:schemeClr val="dk1"/>
                              </a:solidFill>
                              <a:effectLst/>
                              <a:latin typeface="Cambria Math" panose="02040503050406030204" pitchFamily="18" charset="0"/>
                              <a:ea typeface="+mn-ea"/>
                              <a:cs typeface="+mn-cs"/>
                            </a:rPr>
                          </m:ctrlPr>
                        </m:barPr>
                        <m:e>
                          <m:r>
                            <a:rPr lang="en-US" sz="1100" i="1">
                              <a:solidFill>
                                <a:schemeClr val="dk1"/>
                              </a:solidFill>
                              <a:effectLst/>
                              <a:latin typeface="Cambria Math" panose="02040503050406030204" pitchFamily="18" charset="0"/>
                              <a:ea typeface="+mn-ea"/>
                              <a:cs typeface="+mn-cs"/>
                            </a:rPr>
                            <m:t>𝑥</m:t>
                          </m:r>
                        </m:e>
                      </m:bar>
                    </m:e>
                  </m:d>
                  <m:r>
                    <a:rPr lang="en-US" sz="1100" i="1">
                      <a:solidFill>
                        <a:schemeClr val="dk1"/>
                      </a:solidFill>
                      <a:effectLst/>
                      <a:latin typeface="Cambria Math" panose="02040503050406030204" pitchFamily="18" charset="0"/>
                      <a:ea typeface="+mn-ea"/>
                      <a:cs typeface="+mn-cs"/>
                    </a:rPr>
                    <m:t>=</m:t>
                  </m:r>
                  <m:f>
                    <m:fPr>
                      <m:ctrlPr>
                        <a:rPr lang="en-US" sz="1100" i="1">
                          <a:solidFill>
                            <a:schemeClr val="dk1"/>
                          </a:solidFill>
                          <a:effectLst/>
                          <a:latin typeface="Cambria Math" panose="02040503050406030204" pitchFamily="18" charset="0"/>
                          <a:ea typeface="+mn-ea"/>
                          <a:cs typeface="+mn-cs"/>
                        </a:rPr>
                      </m:ctrlPr>
                    </m:fPr>
                    <m:num>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𝐶</m:t>
                          </m:r>
                        </m:e>
                        <m:sub>
                          <m:r>
                            <a:rPr lang="en-US" sz="1100" i="1">
                              <a:solidFill>
                                <a:schemeClr val="dk1"/>
                              </a:solidFill>
                              <a:effectLst/>
                              <a:latin typeface="Cambria Math" panose="02040503050406030204" pitchFamily="18" charset="0"/>
                              <a:ea typeface="+mn-ea"/>
                              <a:cs typeface="+mn-cs"/>
                            </a:rPr>
                            <m:t>𝑓𝑎𝑛</m:t>
                          </m:r>
                        </m:sub>
                      </m:sSub>
                      <m:d>
                        <m:dPr>
                          <m:ctrlPr>
                            <a:rPr lang="en-US" sz="1100" i="1">
                              <a:solidFill>
                                <a:schemeClr val="dk1"/>
                              </a:solidFill>
                              <a:effectLst/>
                              <a:latin typeface="Cambria Math" panose="02040503050406030204" pitchFamily="18" charset="0"/>
                              <a:ea typeface="+mn-ea"/>
                              <a:cs typeface="+mn-cs"/>
                            </a:rPr>
                          </m:ctrlPr>
                        </m:dPr>
                        <m:e>
                          <m:bar>
                            <m:barPr>
                              <m:pos m:val="top"/>
                              <m:ctrlPr>
                                <a:rPr lang="en-US" sz="1100" i="1">
                                  <a:solidFill>
                                    <a:schemeClr val="dk1"/>
                                  </a:solidFill>
                                  <a:effectLst/>
                                  <a:latin typeface="Cambria Math" panose="02040503050406030204" pitchFamily="18" charset="0"/>
                                  <a:ea typeface="+mn-ea"/>
                                  <a:cs typeface="+mn-cs"/>
                                </a:rPr>
                              </m:ctrlPr>
                            </m:barPr>
                            <m:e>
                              <m:r>
                                <a:rPr lang="en-US" sz="1100" i="1">
                                  <a:solidFill>
                                    <a:schemeClr val="dk1"/>
                                  </a:solidFill>
                                  <a:effectLst/>
                                  <a:latin typeface="Cambria Math" panose="02040503050406030204" pitchFamily="18" charset="0"/>
                                  <a:ea typeface="+mn-ea"/>
                                  <a:cs typeface="+mn-cs"/>
                                </a:rPr>
                                <m:t>𝑥</m:t>
                              </m:r>
                            </m:e>
                          </m:bar>
                        </m:e>
                      </m:d>
                      <m:r>
                        <a:rPr lang="en-US" sz="1100" i="1">
                          <a:solidFill>
                            <a:schemeClr val="dk1"/>
                          </a:solidFill>
                          <a:effectLst/>
                          <a:latin typeface="Cambria Math" panose="02040503050406030204" pitchFamily="18" charset="0"/>
                          <a:ea typeface="+mn-ea"/>
                          <a:cs typeface="+mn-cs"/>
                        </a:rPr>
                        <m:t>+</m:t>
                      </m:r>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𝐶</m:t>
                          </m:r>
                        </m:e>
                        <m:sub>
                          <m:r>
                            <a:rPr lang="en-US" sz="1100" i="1">
                              <a:solidFill>
                                <a:schemeClr val="dk1"/>
                              </a:solidFill>
                              <a:effectLst/>
                              <a:latin typeface="Cambria Math" panose="02040503050406030204" pitchFamily="18" charset="0"/>
                              <a:ea typeface="+mn-ea"/>
                              <a:cs typeface="+mn-cs"/>
                            </a:rPr>
                            <m:t>𝑝𝑢𝑚𝑝</m:t>
                          </m:r>
                        </m:sub>
                      </m:sSub>
                      <m:d>
                        <m:dPr>
                          <m:ctrlPr>
                            <a:rPr lang="en-US" sz="1100" i="1">
                              <a:solidFill>
                                <a:schemeClr val="dk1"/>
                              </a:solidFill>
                              <a:effectLst/>
                              <a:latin typeface="Cambria Math" panose="02040503050406030204" pitchFamily="18" charset="0"/>
                              <a:ea typeface="+mn-ea"/>
                              <a:cs typeface="+mn-cs"/>
                            </a:rPr>
                          </m:ctrlPr>
                        </m:dPr>
                        <m:e>
                          <m:bar>
                            <m:barPr>
                              <m:pos m:val="top"/>
                              <m:ctrlPr>
                                <a:rPr lang="en-US" sz="1100" i="1">
                                  <a:solidFill>
                                    <a:schemeClr val="dk1"/>
                                  </a:solidFill>
                                  <a:effectLst/>
                                  <a:latin typeface="Cambria Math" panose="02040503050406030204" pitchFamily="18" charset="0"/>
                                  <a:ea typeface="+mn-ea"/>
                                  <a:cs typeface="+mn-cs"/>
                                </a:rPr>
                              </m:ctrlPr>
                            </m:barPr>
                            <m:e>
                              <m:r>
                                <a:rPr lang="en-US" sz="1100" i="1">
                                  <a:solidFill>
                                    <a:schemeClr val="dk1"/>
                                  </a:solidFill>
                                  <a:effectLst/>
                                  <a:latin typeface="Cambria Math" panose="02040503050406030204" pitchFamily="18" charset="0"/>
                                  <a:ea typeface="+mn-ea"/>
                                  <a:cs typeface="+mn-cs"/>
                                </a:rPr>
                                <m:t>𝑥</m:t>
                              </m:r>
                            </m:e>
                          </m:bar>
                        </m:e>
                      </m:d>
                    </m:num>
                    <m:den>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𝑄</m:t>
                          </m:r>
                        </m:e>
                        <m:sub>
                          <m:r>
                            <a:rPr lang="en-US" sz="1100" i="1">
                              <a:solidFill>
                                <a:schemeClr val="dk1"/>
                              </a:solidFill>
                              <a:effectLst/>
                              <a:latin typeface="Cambria Math" panose="02040503050406030204" pitchFamily="18" charset="0"/>
                              <a:ea typeface="+mn-ea"/>
                              <a:cs typeface="+mn-cs"/>
                            </a:rPr>
                            <m:t>𝑐𝑜𝑖𝑙</m:t>
                          </m:r>
                        </m:sub>
                      </m:sSub>
                      <m:d>
                        <m:dPr>
                          <m:ctrlPr>
                            <a:rPr lang="en-US" sz="1100" i="1">
                              <a:solidFill>
                                <a:schemeClr val="dk1"/>
                              </a:solidFill>
                              <a:effectLst/>
                              <a:latin typeface="Cambria Math" panose="02040503050406030204" pitchFamily="18" charset="0"/>
                              <a:ea typeface="+mn-ea"/>
                              <a:cs typeface="+mn-cs"/>
                            </a:rPr>
                          </m:ctrlPr>
                        </m:dPr>
                        <m:e>
                          <m:bar>
                            <m:barPr>
                              <m:pos m:val="top"/>
                              <m:ctrlPr>
                                <a:rPr lang="en-US" sz="1100" i="1">
                                  <a:solidFill>
                                    <a:schemeClr val="dk1"/>
                                  </a:solidFill>
                                  <a:effectLst/>
                                  <a:latin typeface="Cambria Math" panose="02040503050406030204" pitchFamily="18" charset="0"/>
                                  <a:ea typeface="+mn-ea"/>
                                  <a:cs typeface="+mn-cs"/>
                                </a:rPr>
                              </m:ctrlPr>
                            </m:barPr>
                            <m:e>
                              <m:r>
                                <a:rPr lang="en-US" sz="1100" i="1">
                                  <a:solidFill>
                                    <a:schemeClr val="dk1"/>
                                  </a:solidFill>
                                  <a:effectLst/>
                                  <a:latin typeface="Cambria Math" panose="02040503050406030204" pitchFamily="18" charset="0"/>
                                  <a:ea typeface="+mn-ea"/>
                                  <a:cs typeface="+mn-cs"/>
                                </a:rPr>
                                <m:t>𝑥</m:t>
                              </m:r>
                            </m:e>
                          </m:bar>
                        </m:e>
                      </m:d>
                    </m:den>
                  </m:f>
                </m:oMath>
              </a14:m>
              <a:endParaRPr lang="en-US" sz="1100" baseline="-25000"/>
            </a:p>
            <a:p>
              <a:endParaRPr lang="en-US" sz="300" baseline="-25000"/>
            </a:p>
            <a:p>
              <a:r>
                <a:rPr lang="en-US" sz="1100" baseline="-25000"/>
                <a:t>				</a:t>
              </a:r>
              <a14:m>
                <m:oMath xmlns:m="http://schemas.openxmlformats.org/officeDocument/2006/math">
                  <m:r>
                    <m:rPr>
                      <m:nor/>
                    </m:rPr>
                    <a:rPr lang="en-US" sz="1100">
                      <a:solidFill>
                        <a:schemeClr val="dk1"/>
                      </a:solidFill>
                      <a:effectLst/>
                      <a:latin typeface="+mn-lt"/>
                      <a:ea typeface="+mn-ea"/>
                      <a:cs typeface="+mn-cs"/>
                    </a:rPr>
                    <m:t>w</m:t>
                  </m:r>
                  <m:r>
                    <m:rPr>
                      <m:nor/>
                    </m:rPr>
                    <a:rPr lang="en-US" sz="1100">
                      <a:solidFill>
                        <a:schemeClr val="dk1"/>
                      </a:solidFill>
                      <a:effectLst/>
                      <a:latin typeface="+mn-lt"/>
                      <a:ea typeface="+mn-ea"/>
                      <a:cs typeface="+mn-cs"/>
                    </a:rPr>
                    <m:t>.</m:t>
                  </m:r>
                  <m:r>
                    <m:rPr>
                      <m:nor/>
                    </m:rPr>
                    <a:rPr lang="en-US" sz="1100">
                      <a:solidFill>
                        <a:schemeClr val="dk1"/>
                      </a:solidFill>
                      <a:effectLst/>
                      <a:latin typeface="+mn-lt"/>
                      <a:ea typeface="+mn-ea"/>
                      <a:cs typeface="+mn-cs"/>
                    </a:rPr>
                    <m:t>r</m:t>
                  </m:r>
                  <m:r>
                    <m:rPr>
                      <m:nor/>
                    </m:rPr>
                    <a:rPr lang="en-US" sz="1100">
                      <a:solidFill>
                        <a:schemeClr val="dk1"/>
                      </a:solidFill>
                      <a:effectLst/>
                      <a:latin typeface="+mn-lt"/>
                      <a:ea typeface="+mn-ea"/>
                      <a:cs typeface="+mn-cs"/>
                    </a:rPr>
                    <m:t>.</m:t>
                  </m:r>
                  <m:r>
                    <m:rPr>
                      <m:nor/>
                    </m:rPr>
                    <a:rPr lang="en-US" sz="1100">
                      <a:solidFill>
                        <a:schemeClr val="dk1"/>
                      </a:solidFill>
                      <a:effectLst/>
                      <a:latin typeface="+mn-lt"/>
                      <a:ea typeface="+mn-ea"/>
                      <a:cs typeface="+mn-cs"/>
                    </a:rPr>
                    <m:t>t</m:t>
                  </m:r>
                  <m:r>
                    <m:rPr>
                      <m:nor/>
                    </m:rPr>
                    <a:rPr lang="en-US" sz="1100">
                      <a:solidFill>
                        <a:schemeClr val="dk1"/>
                      </a:solidFill>
                      <a:effectLst/>
                      <a:latin typeface="+mn-lt"/>
                      <a:ea typeface="+mn-ea"/>
                      <a:cs typeface="+mn-cs"/>
                    </a:rPr>
                    <m:t>.  </m:t>
                  </m:r>
                  <m:bar>
                    <m:barPr>
                      <m:pos m:val="top"/>
                      <m:ctrlPr>
                        <a:rPr lang="en-US" sz="1100" i="1">
                          <a:solidFill>
                            <a:schemeClr val="dk1"/>
                          </a:solidFill>
                          <a:effectLst/>
                          <a:latin typeface="Cambria Math" panose="02040503050406030204" pitchFamily="18" charset="0"/>
                          <a:ea typeface="+mn-ea"/>
                          <a:cs typeface="+mn-cs"/>
                        </a:rPr>
                      </m:ctrlPr>
                    </m:barPr>
                    <m:e>
                      <m:r>
                        <m:rPr>
                          <m:sty m:val="p"/>
                        </m:rPr>
                        <a:rPr lang="en-US" sz="1100">
                          <a:solidFill>
                            <a:schemeClr val="dk1"/>
                          </a:solidFill>
                          <a:effectLst/>
                          <a:latin typeface="Cambria Math" panose="02040503050406030204" pitchFamily="18" charset="0"/>
                          <a:ea typeface="+mn-ea"/>
                          <a:cs typeface="+mn-cs"/>
                        </a:rPr>
                        <m:t>x</m:t>
                      </m:r>
                    </m:e>
                  </m:bar>
                  <m:r>
                    <a:rPr lang="en-US" sz="1100">
                      <a:solidFill>
                        <a:schemeClr val="dk1"/>
                      </a:solidFill>
                      <a:effectLst/>
                      <a:latin typeface="Cambria Math" panose="02040503050406030204" pitchFamily="18" charset="0"/>
                      <a:ea typeface="+mn-ea"/>
                      <a:cs typeface="+mn-cs"/>
                    </a:rPr>
                    <m:t>=</m:t>
                  </m:r>
                  <m:r>
                    <m:rPr>
                      <m:lit/>
                    </m:rPr>
                    <a:rPr lang="en-US" sz="1100">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𝐶𝐹𝑀</m:t>
                  </m:r>
                  <m:r>
                    <a:rPr lang="en-US" sz="1100" i="1">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𝐺𝑃𝑀</m:t>
                  </m:r>
                  <m:r>
                    <m:rPr>
                      <m:lit/>
                    </m:rPr>
                    <a:rPr lang="en-US" sz="1100" i="1">
                      <a:solidFill>
                        <a:schemeClr val="dk1"/>
                      </a:solidFill>
                      <a:effectLst/>
                      <a:latin typeface="Cambria Math" panose="02040503050406030204" pitchFamily="18" charset="0"/>
                      <a:ea typeface="+mn-ea"/>
                      <a:cs typeface="+mn-cs"/>
                    </a:rPr>
                    <m:t>}</m:t>
                  </m:r>
                </m:oMath>
              </a14:m>
              <a:r>
                <a:rPr lang="en-US" sz="1100">
                  <a:solidFill>
                    <a:schemeClr val="dk1"/>
                  </a:solidFill>
                  <a:effectLst/>
                  <a:latin typeface="+mn-lt"/>
                  <a:ea typeface="+mn-ea"/>
                  <a:cs typeface="+mn-cs"/>
                </a:rPr>
                <a:t>	</a:t>
              </a:r>
            </a:p>
            <a:p>
              <a:endParaRPr lang="en-US" sz="300">
                <a:solidFill>
                  <a:schemeClr val="dk1"/>
                </a:solidFill>
                <a:effectLst/>
                <a:latin typeface="+mn-lt"/>
                <a:ea typeface="+mn-ea"/>
                <a:cs typeface="+mn-cs"/>
              </a:endParaRPr>
            </a:p>
            <a:p>
              <a:r>
                <a:rPr lang="en-US" sz="1100">
                  <a:solidFill>
                    <a:schemeClr val="dk1"/>
                  </a:solidFill>
                  <a:effectLst/>
                  <a:latin typeface="+mn-lt"/>
                  <a:ea typeface="+mn-ea"/>
                  <a:cs typeface="+mn-cs"/>
                </a:rPr>
                <a:t>				</a:t>
              </a:r>
              <a14:m>
                <m:oMath xmlns:m="http://schemas.openxmlformats.org/officeDocument/2006/math">
                  <m:r>
                    <m:rPr>
                      <m:nor/>
                    </m:rPr>
                    <a:rPr lang="en-US" sz="1100">
                      <a:solidFill>
                        <a:schemeClr val="dk1"/>
                      </a:solidFill>
                      <a:effectLst/>
                      <a:latin typeface="+mn-lt"/>
                      <a:ea typeface="+mn-ea"/>
                      <a:cs typeface="+mn-cs"/>
                    </a:rPr>
                    <m:t>s</m:t>
                  </m:r>
                  <m:r>
                    <m:rPr>
                      <m:nor/>
                    </m:rPr>
                    <a:rPr lang="en-US" sz="1100">
                      <a:solidFill>
                        <a:schemeClr val="dk1"/>
                      </a:solidFill>
                      <a:effectLst/>
                      <a:latin typeface="+mn-lt"/>
                      <a:ea typeface="+mn-ea"/>
                      <a:cs typeface="+mn-cs"/>
                    </a:rPr>
                    <m:t>.</m:t>
                  </m:r>
                  <m:r>
                    <m:rPr>
                      <m:nor/>
                    </m:rPr>
                    <a:rPr lang="en-US" sz="1100">
                      <a:solidFill>
                        <a:schemeClr val="dk1"/>
                      </a:solidFill>
                      <a:effectLst/>
                      <a:latin typeface="+mn-lt"/>
                      <a:ea typeface="+mn-ea"/>
                      <a:cs typeface="+mn-cs"/>
                    </a:rPr>
                    <m:t>t</m:t>
                  </m:r>
                  <m:r>
                    <m:rPr>
                      <m:nor/>
                    </m:rPr>
                    <a:rPr lang="en-US" sz="1100">
                      <a:solidFill>
                        <a:schemeClr val="dk1"/>
                      </a:solidFill>
                      <a:effectLst/>
                      <a:latin typeface="+mn-lt"/>
                      <a:ea typeface="+mn-ea"/>
                      <a:cs typeface="+mn-cs"/>
                    </a:rPr>
                    <m:t>       </m:t>
                  </m:r>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𝑄</m:t>
                      </m:r>
                    </m:e>
                    <m:sub>
                      <m:r>
                        <a:rPr lang="en-US" sz="1100" i="1">
                          <a:solidFill>
                            <a:schemeClr val="dk1"/>
                          </a:solidFill>
                          <a:effectLst/>
                          <a:latin typeface="Cambria Math" panose="02040503050406030204" pitchFamily="18" charset="0"/>
                          <a:ea typeface="+mn-ea"/>
                          <a:cs typeface="+mn-cs"/>
                        </a:rPr>
                        <m:t>𝑐𝑜𝑖𝑙</m:t>
                      </m:r>
                    </m:sub>
                  </m:sSub>
                  <m:d>
                    <m:dPr>
                      <m:ctrlPr>
                        <a:rPr lang="en-US" sz="1100" i="1">
                          <a:solidFill>
                            <a:schemeClr val="dk1"/>
                          </a:solidFill>
                          <a:effectLst/>
                          <a:latin typeface="Cambria Math" panose="02040503050406030204" pitchFamily="18" charset="0"/>
                          <a:ea typeface="+mn-ea"/>
                          <a:cs typeface="+mn-cs"/>
                        </a:rPr>
                      </m:ctrlPr>
                    </m:dPr>
                    <m:e>
                      <m:bar>
                        <m:barPr>
                          <m:pos m:val="top"/>
                          <m:ctrlPr>
                            <a:rPr lang="en-US" sz="1100" i="1">
                              <a:solidFill>
                                <a:schemeClr val="dk1"/>
                              </a:solidFill>
                              <a:effectLst/>
                              <a:latin typeface="Cambria Math" panose="02040503050406030204" pitchFamily="18" charset="0"/>
                              <a:ea typeface="+mn-ea"/>
                              <a:cs typeface="+mn-cs"/>
                            </a:rPr>
                          </m:ctrlPr>
                        </m:barPr>
                        <m:e>
                          <m:r>
                            <a:rPr lang="en-US" sz="1100" i="1">
                              <a:solidFill>
                                <a:schemeClr val="dk1"/>
                              </a:solidFill>
                              <a:effectLst/>
                              <a:latin typeface="Cambria Math" panose="02040503050406030204" pitchFamily="18" charset="0"/>
                              <a:ea typeface="+mn-ea"/>
                              <a:cs typeface="+mn-cs"/>
                            </a:rPr>
                            <m:t>𝑥</m:t>
                          </m:r>
                        </m:e>
                      </m:bar>
                    </m:e>
                  </m:d>
                  <m:r>
                    <a:rPr lang="en-US" sz="1100">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18,000  </m:t>
                  </m:r>
                </m:oMath>
              </a14:m>
              <a:endParaRPr lang="en-US" sz="1100">
                <a:solidFill>
                  <a:schemeClr val="dk1"/>
                </a:solidFill>
                <a:effectLst/>
                <a:latin typeface="+mn-lt"/>
                <a:ea typeface="+mn-ea"/>
                <a:cs typeface="+mn-cs"/>
              </a:endParaRPr>
            </a:p>
            <a:p>
              <a:endParaRPr lang="en-US" sz="2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a:t>
              </a:r>
              <a14:m>
                <m:oMath xmlns:m="http://schemas.openxmlformats.org/officeDocument/2006/math">
                  <m:r>
                    <a:rPr lang="en-US" sz="1100" i="1">
                      <a:solidFill>
                        <a:schemeClr val="dk1"/>
                      </a:solidFill>
                      <a:effectLst/>
                      <a:latin typeface="Cambria Math" panose="02040503050406030204" pitchFamily="18" charset="0"/>
                      <a:ea typeface="+mn-ea"/>
                      <a:cs typeface="+mn-cs"/>
                    </a:rPr>
                    <m:t>688.5</m:t>
                  </m:r>
                  <m:r>
                    <a:rPr lang="en-US" sz="1100">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𝐶𝐹𝑀</m:t>
                  </m:r>
                  <m:r>
                    <a:rPr lang="en-US" sz="1100">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1524</m:t>
                  </m:r>
                </m:oMath>
              </a14:m>
              <a:endParaRPr lang="en-US" sz="1100">
                <a:solidFill>
                  <a:schemeClr val="dk1"/>
                </a:solidFill>
                <a:effectLst/>
                <a:latin typeface="+mn-lt"/>
                <a:ea typeface="+mn-ea"/>
                <a:cs typeface="+mn-cs"/>
              </a:endParaRPr>
            </a:p>
            <a:p>
              <a:endParaRPr lang="en-US" sz="200">
                <a:solidFill>
                  <a:schemeClr val="dk1"/>
                </a:solidFill>
                <a:effectLst/>
                <a:latin typeface="+mn-lt"/>
                <a:ea typeface="+mn-ea"/>
                <a:cs typeface="+mn-cs"/>
              </a:endParaRPr>
            </a:p>
            <a:p>
              <a:r>
                <a:rPr lang="en-US" sz="1100">
                  <a:solidFill>
                    <a:schemeClr val="dk1"/>
                  </a:solidFill>
                  <a:effectLst/>
                  <a:latin typeface="+mn-lt"/>
                  <a:ea typeface="+mn-ea"/>
                  <a:cs typeface="+mn-cs"/>
                </a:rPr>
                <a:t>			            	           </a:t>
              </a:r>
              <a14:m>
                <m:oMath xmlns:m="http://schemas.openxmlformats.org/officeDocument/2006/math">
                  <m:r>
                    <a:rPr lang="en-US" sz="1100" i="1">
                      <a:solidFill>
                        <a:schemeClr val="dk1"/>
                      </a:solidFill>
                      <a:effectLst/>
                      <a:latin typeface="Cambria Math" panose="02040503050406030204" pitchFamily="18" charset="0"/>
                      <a:ea typeface="+mn-ea"/>
                      <a:cs typeface="+mn-cs"/>
                    </a:rPr>
                    <m:t>0&lt;</m:t>
                  </m:r>
                  <m:r>
                    <a:rPr lang="en-US" sz="1100" i="1">
                      <a:solidFill>
                        <a:schemeClr val="dk1"/>
                      </a:solidFill>
                      <a:effectLst/>
                      <a:latin typeface="Cambria Math" panose="02040503050406030204" pitchFamily="18" charset="0"/>
                      <a:ea typeface="+mn-ea"/>
                      <a:cs typeface="+mn-cs"/>
                    </a:rPr>
                    <m:t>𝐺𝑃𝑀</m:t>
                  </m:r>
                  <m:r>
                    <a:rPr lang="en-US" sz="1100">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5</m:t>
                  </m:r>
                </m:oMath>
              </a14:m>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See</a:t>
              </a:r>
              <a:r>
                <a:rPr lang="en-US" sz="1100" baseline="0">
                  <a:solidFill>
                    <a:schemeClr val="dk1"/>
                  </a:solidFill>
                  <a:effectLst/>
                  <a:latin typeface="+mn-lt"/>
                  <a:ea typeface="+mn-ea"/>
                  <a:cs typeface="+mn-cs"/>
                </a:rPr>
                <a:t> the previous pages for definitions of the functions. </a:t>
              </a:r>
              <a:r>
                <a:rPr lang="en-US" sz="1100">
                  <a:solidFill>
                    <a:schemeClr val="dk1"/>
                  </a:solidFill>
                  <a:effectLst/>
                  <a:latin typeface="+mn-lt"/>
                  <a:ea typeface="+mn-ea"/>
                  <a:cs typeface="+mn-cs"/>
                </a:rPr>
                <a:t>The objective</a:t>
              </a:r>
              <a:r>
                <a:rPr lang="en-US" sz="1100" baseline="0">
                  <a:solidFill>
                    <a:schemeClr val="dk1"/>
                  </a:solidFill>
                  <a:effectLst/>
                  <a:latin typeface="+mn-lt"/>
                  <a:ea typeface="+mn-ea"/>
                  <a:cs typeface="+mn-cs"/>
                </a:rPr>
                <a:t> function is located in cell </a:t>
              </a:r>
              <a:r>
                <a:rPr lang="en-US" sz="1100" b="1" baseline="0">
                  <a:solidFill>
                    <a:schemeClr val="dk1"/>
                  </a:solidFill>
                  <a:effectLst/>
                  <a:latin typeface="+mn-lt"/>
                  <a:ea typeface="+mn-ea"/>
                  <a:cs typeface="+mn-cs"/>
                </a:rPr>
                <a:t>C20,</a:t>
              </a:r>
              <a:r>
                <a:rPr lang="en-US" sz="1100" b="0" baseline="0">
                  <a:solidFill>
                    <a:schemeClr val="dk1"/>
                  </a:solidFill>
                  <a:effectLst/>
                  <a:latin typeface="+mn-lt"/>
                  <a:ea typeface="+mn-ea"/>
                  <a:cs typeface="+mn-cs"/>
                </a:rPr>
                <a:t> the variables are located in </a:t>
              </a:r>
              <a:r>
                <a:rPr lang="en-US" sz="1100" b="1" baseline="0">
                  <a:solidFill>
                    <a:schemeClr val="dk1"/>
                  </a:solidFill>
                  <a:effectLst/>
                  <a:latin typeface="+mn-lt"/>
                  <a:ea typeface="+mn-ea"/>
                  <a:cs typeface="+mn-cs"/>
                </a:rPr>
                <a:t>C22:C23</a:t>
              </a:r>
              <a:r>
                <a:rPr lang="en-US" sz="1100" b="0" baseline="0">
                  <a:solidFill>
                    <a:schemeClr val="dk1"/>
                  </a:solidFill>
                  <a:effectLst/>
                  <a:latin typeface="+mn-lt"/>
                  <a:ea typeface="+mn-ea"/>
                  <a:cs typeface="+mn-cs"/>
                </a:rPr>
                <a:t>. </a:t>
              </a:r>
              <a:endParaRPr lang="en-US" sz="1100" b="1">
                <a:solidFill>
                  <a:schemeClr val="dk1"/>
                </a:solidFill>
                <a:effectLst/>
                <a:latin typeface="+mn-lt"/>
                <a:ea typeface="+mn-ea"/>
                <a:cs typeface="+mn-cs"/>
              </a:endParaRPr>
            </a:p>
          </xdr:txBody>
        </xdr:sp>
      </mc:Choice>
      <mc:Fallback xmlns="">
        <xdr:sp macro="" textlink="">
          <xdr:nvSpPr>
            <xdr:cNvPr id="2" name="TextBox 1">
              <a:extLst>
                <a:ext uri="{FF2B5EF4-FFF2-40B4-BE49-F238E27FC236}">
                  <a16:creationId xmlns:a16="http://schemas.microsoft.com/office/drawing/2014/main" id="{30A0B768-A201-4ECB-AB87-F2274D930FC7}"/>
                </a:ext>
              </a:extLst>
            </xdr:cNvPr>
            <xdr:cNvSpPr txBox="1"/>
          </xdr:nvSpPr>
          <xdr:spPr>
            <a:xfrm>
              <a:off x="609600" y="1247775"/>
              <a:ext cx="798195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As mentioned in my report, I seek to solve the problem:	</a:t>
              </a:r>
              <a:r>
                <a:rPr lang="en-US" sz="1100" i="0">
                  <a:solidFill>
                    <a:schemeClr val="dk1"/>
                  </a:solidFill>
                  <a:effectLst/>
                  <a:latin typeface="Cambria Math" panose="02040503050406030204" pitchFamily="18" charset="0"/>
                  <a:ea typeface="+mn-ea"/>
                  <a:cs typeface="+mn-cs"/>
                </a:rPr>
                <a:t>"min</a:t>
              </a:r>
              <a:r>
                <a:rPr lang="en-US" sz="1100" i="0">
                  <a:solidFill>
                    <a:schemeClr val="dk1"/>
                  </a:solidFill>
                  <a:effectLst/>
                  <a:latin typeface="+mn-lt"/>
                  <a:ea typeface="+mn-ea"/>
                  <a:cs typeface="+mn-cs"/>
                </a:rPr>
                <a:t>" J(¯𝑥)=(𝐶_𝑓𝑎𝑛 (¯𝑥)+𝐶_𝑝𝑢𝑚𝑝 (¯𝑥))/(𝑄_𝑐𝑜𝑖𝑙 (¯𝑥) )</a:t>
              </a:r>
              <a:endParaRPr lang="en-US" sz="1100" baseline="-25000"/>
            </a:p>
            <a:p>
              <a:endParaRPr lang="en-US" sz="300" baseline="-25000"/>
            </a:p>
            <a:p>
              <a:r>
                <a:rPr lang="en-US" sz="1100" baseline="-25000"/>
                <a:t>				</a:t>
              </a:r>
              <a:r>
                <a:rPr lang="en-US" sz="1100" i="0">
                  <a:solidFill>
                    <a:schemeClr val="dk1"/>
                  </a:solidFill>
                  <a:effectLst/>
                  <a:latin typeface="Cambria Math" panose="02040503050406030204" pitchFamily="18" charset="0"/>
                  <a:ea typeface="+mn-ea"/>
                  <a:cs typeface="+mn-cs"/>
                </a:rPr>
                <a:t>"w.r.t.</a:t>
              </a:r>
              <a:r>
                <a:rPr lang="en-US" sz="1100" b="0" i="0">
                  <a:solidFill>
                    <a:schemeClr val="dk1"/>
                  </a:solidFill>
                  <a:effectLst/>
                  <a:latin typeface="Cambria Math" panose="02040503050406030204" pitchFamily="18" charset="0"/>
                  <a:ea typeface="+mn-ea"/>
                  <a:cs typeface="+mn-cs"/>
                </a:rPr>
                <a:t>  </a:t>
              </a:r>
              <a:r>
                <a:rPr lang="en-US" sz="1100" b="0" i="0">
                  <a:solidFill>
                    <a:schemeClr val="dk1"/>
                  </a:solidFill>
                  <a:effectLst/>
                  <a:latin typeface="+mn-lt"/>
                  <a:ea typeface="+mn-ea"/>
                  <a:cs typeface="+mn-cs"/>
                </a:rPr>
                <a:t>" </a:t>
              </a:r>
              <a:r>
                <a:rPr lang="en-US" sz="1100" i="0">
                  <a:solidFill>
                    <a:schemeClr val="dk1"/>
                  </a:solidFill>
                  <a:effectLst/>
                  <a:latin typeface="+mn-lt"/>
                  <a:ea typeface="+mn-ea"/>
                  <a:cs typeface="+mn-cs"/>
                </a:rPr>
                <a:t>¯x=\{𝐶𝐹𝑀,𝐺𝑃𝑀\}</a:t>
              </a:r>
              <a:r>
                <a:rPr lang="en-US" sz="1100">
                  <a:solidFill>
                    <a:schemeClr val="dk1"/>
                  </a:solidFill>
                  <a:effectLst/>
                  <a:latin typeface="+mn-lt"/>
                  <a:ea typeface="+mn-ea"/>
                  <a:cs typeface="+mn-cs"/>
                </a:rPr>
                <a:t>	</a:t>
              </a:r>
            </a:p>
            <a:p>
              <a:endParaRPr lang="en-US" sz="3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en-US" sz="1100" i="0">
                  <a:solidFill>
                    <a:schemeClr val="dk1"/>
                  </a:solidFill>
                  <a:effectLst/>
                  <a:latin typeface="Cambria Math" panose="02040503050406030204" pitchFamily="18" charset="0"/>
                  <a:ea typeface="+mn-ea"/>
                  <a:cs typeface="+mn-cs"/>
                </a:rPr>
                <a:t>"s.t       </a:t>
              </a:r>
              <a:r>
                <a:rPr lang="en-US" sz="1100" i="0">
                  <a:solidFill>
                    <a:schemeClr val="dk1"/>
                  </a:solidFill>
                  <a:effectLst/>
                  <a:latin typeface="+mn-lt"/>
                  <a:ea typeface="+mn-ea"/>
                  <a:cs typeface="+mn-cs"/>
                </a:rPr>
                <a:t>" 𝑄_𝑐𝑜𝑖𝑙 (¯𝑥)≥18,000  </a:t>
              </a:r>
              <a:endParaRPr lang="en-US" sz="1100">
                <a:solidFill>
                  <a:schemeClr val="dk1"/>
                </a:solidFill>
                <a:effectLst/>
                <a:latin typeface="+mn-lt"/>
                <a:ea typeface="+mn-ea"/>
                <a:cs typeface="+mn-cs"/>
              </a:endParaRPr>
            </a:p>
            <a:p>
              <a:endParaRPr lang="en-US" sz="2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a:t>
              </a:r>
              <a:r>
                <a:rPr lang="en-US" sz="1100" i="0">
                  <a:solidFill>
                    <a:schemeClr val="dk1"/>
                  </a:solidFill>
                  <a:effectLst/>
                  <a:latin typeface="+mn-lt"/>
                  <a:ea typeface="+mn-ea"/>
                  <a:cs typeface="+mn-cs"/>
                </a:rPr>
                <a:t>688.5≤𝐶𝐹𝑀≤1524</a:t>
              </a:r>
              <a:endParaRPr lang="en-US" sz="1100">
                <a:solidFill>
                  <a:schemeClr val="dk1"/>
                </a:solidFill>
                <a:effectLst/>
                <a:latin typeface="+mn-lt"/>
                <a:ea typeface="+mn-ea"/>
                <a:cs typeface="+mn-cs"/>
              </a:endParaRPr>
            </a:p>
            <a:p>
              <a:endParaRPr lang="en-US" sz="2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en-US" sz="1100" i="0">
                  <a:solidFill>
                    <a:schemeClr val="dk1"/>
                  </a:solidFill>
                  <a:effectLst/>
                  <a:latin typeface="+mn-lt"/>
                  <a:ea typeface="+mn-ea"/>
                  <a:cs typeface="+mn-cs"/>
                </a:rPr>
                <a:t>0&lt;𝐺𝑃𝑀≤5</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See</a:t>
              </a:r>
              <a:r>
                <a:rPr lang="en-US" sz="1100" baseline="0">
                  <a:solidFill>
                    <a:schemeClr val="dk1"/>
                  </a:solidFill>
                  <a:effectLst/>
                  <a:latin typeface="+mn-lt"/>
                  <a:ea typeface="+mn-ea"/>
                  <a:cs typeface="+mn-cs"/>
                </a:rPr>
                <a:t> the previous pages for definitions of the functions. </a:t>
              </a:r>
              <a:r>
                <a:rPr lang="en-US" sz="1100">
                  <a:solidFill>
                    <a:schemeClr val="dk1"/>
                  </a:solidFill>
                  <a:effectLst/>
                  <a:latin typeface="+mn-lt"/>
                  <a:ea typeface="+mn-ea"/>
                  <a:cs typeface="+mn-cs"/>
                </a:rPr>
                <a:t>The objective</a:t>
              </a:r>
              <a:r>
                <a:rPr lang="en-US" sz="1100" baseline="0">
                  <a:solidFill>
                    <a:schemeClr val="dk1"/>
                  </a:solidFill>
                  <a:effectLst/>
                  <a:latin typeface="+mn-lt"/>
                  <a:ea typeface="+mn-ea"/>
                  <a:cs typeface="+mn-cs"/>
                </a:rPr>
                <a:t> function is located in cell </a:t>
              </a:r>
              <a:r>
                <a:rPr lang="en-US" sz="1100" b="1" baseline="0">
                  <a:solidFill>
                    <a:schemeClr val="dk1"/>
                  </a:solidFill>
                  <a:effectLst/>
                  <a:latin typeface="+mn-lt"/>
                  <a:ea typeface="+mn-ea"/>
                  <a:cs typeface="+mn-cs"/>
                </a:rPr>
                <a:t>C20,</a:t>
              </a:r>
              <a:r>
                <a:rPr lang="en-US" sz="1100" b="0" baseline="0">
                  <a:solidFill>
                    <a:schemeClr val="dk1"/>
                  </a:solidFill>
                  <a:effectLst/>
                  <a:latin typeface="+mn-lt"/>
                  <a:ea typeface="+mn-ea"/>
                  <a:cs typeface="+mn-cs"/>
                </a:rPr>
                <a:t> the variables are located in </a:t>
              </a:r>
              <a:r>
                <a:rPr lang="en-US" sz="1100" b="1" baseline="0">
                  <a:solidFill>
                    <a:schemeClr val="dk1"/>
                  </a:solidFill>
                  <a:effectLst/>
                  <a:latin typeface="+mn-lt"/>
                  <a:ea typeface="+mn-ea"/>
                  <a:cs typeface="+mn-cs"/>
                </a:rPr>
                <a:t>C22:C23</a:t>
              </a:r>
              <a:r>
                <a:rPr lang="en-US" sz="1100" b="0" baseline="0">
                  <a:solidFill>
                    <a:schemeClr val="dk1"/>
                  </a:solidFill>
                  <a:effectLst/>
                  <a:latin typeface="+mn-lt"/>
                  <a:ea typeface="+mn-ea"/>
                  <a:cs typeface="+mn-cs"/>
                </a:rPr>
                <a:t>. </a:t>
              </a:r>
              <a:endParaRPr lang="en-US" sz="1100" b="1">
                <a:solidFill>
                  <a:schemeClr val="dk1"/>
                </a:solidFill>
                <a:effectLst/>
                <a:latin typeface="+mn-lt"/>
                <a:ea typeface="+mn-ea"/>
                <a:cs typeface="+mn-cs"/>
              </a:endParaRP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5</xdr:row>
      <xdr:rowOff>0</xdr:rowOff>
    </xdr:from>
    <xdr:to>
      <xdr:col>13</xdr:col>
      <xdr:colOff>0</xdr:colOff>
      <xdr:row>9</xdr:row>
      <xdr:rowOff>0</xdr:rowOff>
    </xdr:to>
    <xdr:sp macro="" textlink="">
      <xdr:nvSpPr>
        <xdr:cNvPr id="2" name="TextBox 1">
          <a:extLst>
            <a:ext uri="{FF2B5EF4-FFF2-40B4-BE49-F238E27FC236}">
              <a16:creationId xmlns:a16="http://schemas.microsoft.com/office/drawing/2014/main" id="{3DB8C2BB-7EB6-4090-9DBE-7FD5A7A34EF8}"/>
            </a:ext>
          </a:extLst>
        </xdr:cNvPr>
        <xdr:cNvSpPr txBox="1"/>
      </xdr:nvSpPr>
      <xdr:spPr>
        <a:xfrm>
          <a:off x="609600" y="1247775"/>
          <a:ext cx="798195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dk1"/>
              </a:solidFill>
              <a:effectLst/>
              <a:latin typeface="+mn-lt"/>
              <a:ea typeface="+mn-ea"/>
              <a:cs typeface="+mn-cs"/>
            </a:rPr>
            <a:t>Below,</a:t>
          </a:r>
          <a:r>
            <a:rPr lang="en-US" sz="1100" b="0" baseline="0">
              <a:solidFill>
                <a:schemeClr val="dk1"/>
              </a:solidFill>
              <a:effectLst/>
              <a:latin typeface="+mn-lt"/>
              <a:ea typeface="+mn-ea"/>
              <a:cs typeface="+mn-cs"/>
            </a:rPr>
            <a:t> we compute the cost per Btu/hr of two HVAC solutions. The Futijsu 9RLS3 is a ductless mini-split heat pump with a SEER rating of 33.0. We also compare to a traditional, low-cost HVAC system using values presented on Trane's website. These results are compared to the results on the previous page "GRG minimization" and discussed in the report.</a:t>
          </a:r>
          <a:endParaRPr lang="en-US" sz="1100" b="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5</xdr:row>
      <xdr:rowOff>0</xdr:rowOff>
    </xdr:from>
    <xdr:to>
      <xdr:col>13</xdr:col>
      <xdr:colOff>0</xdr:colOff>
      <xdr:row>8</xdr:row>
      <xdr:rowOff>0</xdr:rowOff>
    </xdr:to>
    <xdr:sp macro="" textlink="">
      <xdr:nvSpPr>
        <xdr:cNvPr id="2" name="TextBox 1">
          <a:extLst>
            <a:ext uri="{FF2B5EF4-FFF2-40B4-BE49-F238E27FC236}">
              <a16:creationId xmlns:a16="http://schemas.microsoft.com/office/drawing/2014/main" id="{1F400E6C-71BF-49FA-9F41-388374CEA867}"/>
            </a:ext>
          </a:extLst>
        </xdr:cNvPr>
        <xdr:cNvSpPr txBox="1"/>
      </xdr:nvSpPr>
      <xdr:spPr>
        <a:xfrm>
          <a:off x="609600" y="1247775"/>
          <a:ext cx="731520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dk1"/>
              </a:solidFill>
              <a:effectLst/>
              <a:latin typeface="+mn-lt"/>
              <a:ea typeface="+mn-ea"/>
              <a:cs typeface="+mn-cs"/>
            </a:rPr>
            <a:t>This</a:t>
          </a:r>
          <a:r>
            <a:rPr lang="en-US" sz="1100" b="0" baseline="0">
              <a:solidFill>
                <a:schemeClr val="dk1"/>
              </a:solidFill>
              <a:effectLst/>
              <a:latin typeface="+mn-lt"/>
              <a:ea typeface="+mn-ea"/>
              <a:cs typeface="+mn-cs"/>
            </a:rPr>
            <a:t> model was made to assess the effect of removing the starting cost of the pump from the model. Below we minimize J(x) with the simplistic pump model. </a:t>
          </a:r>
          <a:endParaRPr lang="en-US" sz="1100" b="0">
            <a:solidFill>
              <a:schemeClr val="dk1"/>
            </a:solidFill>
            <a:effectLst/>
            <a:latin typeface="+mn-lt"/>
            <a:ea typeface="+mn-ea"/>
            <a:cs typeface="+mn-cs"/>
          </a:endParaRPr>
        </a:p>
      </xdr:txBody>
    </xdr:sp>
    <xdr:clientData/>
  </xdr:twoCellAnchor>
  <xdr:oneCellAnchor>
    <xdr:from>
      <xdr:col>1</xdr:col>
      <xdr:colOff>76200</xdr:colOff>
      <xdr:row>12</xdr:row>
      <xdr:rowOff>76200</xdr:rowOff>
    </xdr:from>
    <xdr:ext cx="2959400" cy="193066"/>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AC63B468-3C15-4712-8203-F91450BAB1DB}"/>
                </a:ext>
              </a:extLst>
            </xdr:cNvPr>
            <xdr:cNvSpPr txBox="1"/>
          </xdr:nvSpPr>
          <xdr:spPr>
            <a:xfrm>
              <a:off x="685800" y="2657475"/>
              <a:ext cx="2959400" cy="1930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𝐶</m:t>
                        </m:r>
                      </m:e>
                      <m:sub>
                        <m:r>
                          <a:rPr lang="en-US" sz="1100" i="1">
                            <a:solidFill>
                              <a:schemeClr val="tx1"/>
                            </a:solidFill>
                            <a:effectLst/>
                            <a:latin typeface="Cambria Math" panose="02040503050406030204" pitchFamily="18" charset="0"/>
                            <a:ea typeface="+mn-ea"/>
                            <a:cs typeface="+mn-cs"/>
                          </a:rPr>
                          <m:t>𝑓𝑎𝑛</m:t>
                        </m:r>
                      </m:sub>
                    </m:sSub>
                    <m:r>
                      <a:rPr lang="en-US" sz="1100" i="1">
                        <a:solidFill>
                          <a:schemeClr val="tx1"/>
                        </a:solidFill>
                        <a:effectLst/>
                        <a:latin typeface="Cambria Math" panose="02040503050406030204" pitchFamily="18" charset="0"/>
                        <a:ea typeface="+mn-ea"/>
                        <a:cs typeface="+mn-cs"/>
                      </a:rPr>
                      <m:t>=0.0002152</m:t>
                    </m:r>
                    <m:r>
                      <a:rPr lang="en-US" sz="1100">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d>
                          <m:dPr>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𝐶𝐹𝑀</m:t>
                            </m:r>
                          </m:e>
                        </m:d>
                      </m:e>
                      <m:sup>
                        <m:r>
                          <a:rPr lang="en-US" sz="1100" i="1">
                            <a:solidFill>
                              <a:schemeClr val="tx1"/>
                            </a:solidFill>
                            <a:effectLst/>
                            <a:latin typeface="Cambria Math" panose="02040503050406030204" pitchFamily="18" charset="0"/>
                            <a:ea typeface="+mn-ea"/>
                            <a:cs typeface="+mn-cs"/>
                          </a:rPr>
                          <m:t>2</m:t>
                        </m:r>
                      </m:sup>
                    </m:sSup>
                    <m:r>
                      <a:rPr lang="en-US" sz="1100" i="1">
                        <a:solidFill>
                          <a:schemeClr val="tx1"/>
                        </a:solidFill>
                        <a:effectLst/>
                        <a:latin typeface="Cambria Math" panose="02040503050406030204" pitchFamily="18" charset="0"/>
                        <a:ea typeface="+mn-ea"/>
                        <a:cs typeface="+mn-cs"/>
                      </a:rPr>
                      <m:t>−0.033845</m:t>
                    </m:r>
                    <m:r>
                      <a:rPr lang="en-US" sz="1100">
                        <a:solidFill>
                          <a:schemeClr val="tx1"/>
                        </a:solidFill>
                        <a:effectLst/>
                        <a:latin typeface="Cambria Math" panose="02040503050406030204" pitchFamily="18" charset="0"/>
                        <a:ea typeface="+mn-ea"/>
                        <a:cs typeface="+mn-cs"/>
                      </a:rPr>
                      <m:t>⋅</m:t>
                    </m:r>
                    <m:d>
                      <m:dPr>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𝐶𝐹𝑀</m:t>
                        </m:r>
                      </m:e>
                    </m:d>
                  </m:oMath>
                </m:oMathPara>
              </a14:m>
              <a:endParaRPr lang="en-US" sz="1100"/>
            </a:p>
          </xdr:txBody>
        </xdr:sp>
      </mc:Choice>
      <mc:Fallback xmlns="">
        <xdr:sp macro="" textlink="">
          <xdr:nvSpPr>
            <xdr:cNvPr id="3" name="TextBox 2">
              <a:extLst>
                <a:ext uri="{FF2B5EF4-FFF2-40B4-BE49-F238E27FC236}">
                  <a16:creationId xmlns:a16="http://schemas.microsoft.com/office/drawing/2014/main" id="{AC63B468-3C15-4712-8203-F91450BAB1DB}"/>
                </a:ext>
              </a:extLst>
            </xdr:cNvPr>
            <xdr:cNvSpPr txBox="1"/>
          </xdr:nvSpPr>
          <xdr:spPr>
            <a:xfrm>
              <a:off x="685800" y="2657475"/>
              <a:ext cx="2959400" cy="1930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𝐶_𝑓𝑎𝑛=0.0002152⋅(𝐶𝐹𝑀)^2−0.033845⋅(𝐶𝐹𝑀)</a:t>
              </a:r>
              <a:endParaRPr lang="en-US" sz="1100"/>
            </a:p>
          </xdr:txBody>
        </xdr:sp>
      </mc:Fallback>
    </mc:AlternateContent>
    <xdr:clientData/>
  </xdr:oneCellAnchor>
  <xdr:oneCellAnchor>
    <xdr:from>
      <xdr:col>1</xdr:col>
      <xdr:colOff>47625</xdr:colOff>
      <xdr:row>16</xdr:row>
      <xdr:rowOff>85725</xdr:rowOff>
    </xdr:from>
    <xdr:ext cx="1974771" cy="184731"/>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E8068B94-7946-44E8-A427-3E76B8FF9BFA}"/>
                </a:ext>
              </a:extLst>
            </xdr:cNvPr>
            <xdr:cNvSpPr txBox="1"/>
          </xdr:nvSpPr>
          <xdr:spPr>
            <a:xfrm>
              <a:off x="657225" y="3429000"/>
              <a:ext cx="1974771"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𝐶</m:t>
                        </m:r>
                      </m:e>
                      <m:sub>
                        <m:r>
                          <a:rPr lang="en-US" sz="1100" i="1">
                            <a:solidFill>
                              <a:schemeClr val="tx1"/>
                            </a:solidFill>
                            <a:effectLst/>
                            <a:latin typeface="Cambria Math" panose="02040503050406030204" pitchFamily="18" charset="0"/>
                            <a:ea typeface="+mn-ea"/>
                            <a:cs typeface="+mn-cs"/>
                          </a:rPr>
                          <m:t>𝑝𝑢𝑚𝑝</m:t>
                        </m:r>
                      </m:sub>
                    </m:sSub>
                    <m:r>
                      <a:rPr lang="en-US" sz="1100" i="1">
                        <a:solidFill>
                          <a:schemeClr val="tx1"/>
                        </a:solidFill>
                        <a:effectLst/>
                        <a:latin typeface="Cambria Math" panose="02040503050406030204" pitchFamily="18" charset="0"/>
                        <a:ea typeface="+mn-ea"/>
                        <a:cs typeface="+mn-cs"/>
                      </a:rPr>
                      <m:t>=2.070833</m:t>
                    </m:r>
                    <m:r>
                      <a:rPr lang="en-US" sz="1100">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60</m:t>
                    </m:r>
                    <m:r>
                      <a:rPr lang="en-US" sz="1100">
                        <a:solidFill>
                          <a:schemeClr val="tx1"/>
                        </a:solidFill>
                        <a:effectLst/>
                        <a:latin typeface="Cambria Math" panose="02040503050406030204" pitchFamily="18" charset="0"/>
                        <a:ea typeface="+mn-ea"/>
                        <a:cs typeface="+mn-cs"/>
                      </a:rPr>
                      <m:t>⋅</m:t>
                    </m:r>
                    <m:d>
                      <m:dPr>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𝐺𝑃𝑀</m:t>
                        </m:r>
                      </m:e>
                    </m:d>
                  </m:oMath>
                </m:oMathPara>
              </a14:m>
              <a:endParaRPr lang="en-US" sz="1100"/>
            </a:p>
          </xdr:txBody>
        </xdr:sp>
      </mc:Choice>
      <mc:Fallback xmlns="">
        <xdr:sp macro="" textlink="">
          <xdr:nvSpPr>
            <xdr:cNvPr id="4" name="TextBox 3">
              <a:extLst>
                <a:ext uri="{FF2B5EF4-FFF2-40B4-BE49-F238E27FC236}">
                  <a16:creationId xmlns:a16="http://schemas.microsoft.com/office/drawing/2014/main" id="{E8068B94-7946-44E8-A427-3E76B8FF9BFA}"/>
                </a:ext>
              </a:extLst>
            </xdr:cNvPr>
            <xdr:cNvSpPr txBox="1"/>
          </xdr:nvSpPr>
          <xdr:spPr>
            <a:xfrm>
              <a:off x="657225" y="3429000"/>
              <a:ext cx="1974771"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𝐶_𝑝𝑢𝑚𝑝=2.070833⋅60⋅(𝐺𝑃𝑀)</a:t>
              </a:r>
              <a:endParaRPr lang="en-US" sz="1100"/>
            </a:p>
          </xdr:txBody>
        </xdr:sp>
      </mc:Fallback>
    </mc:AlternateContent>
    <xdr:clientData/>
  </xdr:oneCellAnchor>
</xdr:wsDr>
</file>

<file path=xl/drawings/drawing14.xml><?xml version="1.0" encoding="utf-8"?>
<xdr:wsDr xmlns:xdr="http://schemas.openxmlformats.org/drawingml/2006/spreadsheetDrawing" xmlns:a="http://schemas.openxmlformats.org/drawingml/2006/main">
  <xdr:twoCellAnchor>
    <xdr:from>
      <xdr:col>1</xdr:col>
      <xdr:colOff>0</xdr:colOff>
      <xdr:row>5</xdr:row>
      <xdr:rowOff>0</xdr:rowOff>
    </xdr:from>
    <xdr:to>
      <xdr:col>14</xdr:col>
      <xdr:colOff>0</xdr:colOff>
      <xdr:row>8</xdr:row>
      <xdr:rowOff>0</xdr:rowOff>
    </xdr:to>
    <xdr:sp macro="" textlink="">
      <xdr:nvSpPr>
        <xdr:cNvPr id="2" name="TextBox 1">
          <a:extLst>
            <a:ext uri="{FF2B5EF4-FFF2-40B4-BE49-F238E27FC236}">
              <a16:creationId xmlns:a16="http://schemas.microsoft.com/office/drawing/2014/main" id="{D104F8D2-8D77-46AB-B6BA-5EBBE9BBBFC9}"/>
            </a:ext>
          </a:extLst>
        </xdr:cNvPr>
        <xdr:cNvSpPr txBox="1"/>
      </xdr:nvSpPr>
      <xdr:spPr>
        <a:xfrm>
          <a:off x="609600" y="1247775"/>
          <a:ext cx="731520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dk1"/>
              </a:solidFill>
              <a:effectLst/>
              <a:latin typeface="+mn-lt"/>
              <a:ea typeface="+mn-ea"/>
              <a:cs typeface="+mn-cs"/>
            </a:rPr>
            <a:t>This</a:t>
          </a:r>
          <a:r>
            <a:rPr lang="en-US" sz="1100" b="0" baseline="0">
              <a:solidFill>
                <a:schemeClr val="dk1"/>
              </a:solidFill>
              <a:effectLst/>
              <a:latin typeface="+mn-lt"/>
              <a:ea typeface="+mn-ea"/>
              <a:cs typeface="+mn-cs"/>
            </a:rPr>
            <a:t> model was made to assess the starting power of the pump such that the ground source heat pump systems is as effiecent as the Fujitsu 9RLS3. I used GRG and optimized the objective function to equal the cost per Btu/hr of the Fujitsu using Excel's solver.</a:t>
          </a:r>
          <a:endParaRPr lang="en-US" sz="1100" b="0">
            <a:solidFill>
              <a:schemeClr val="dk1"/>
            </a:solidFill>
            <a:effectLst/>
            <a:latin typeface="+mn-lt"/>
            <a:ea typeface="+mn-ea"/>
            <a:cs typeface="+mn-cs"/>
          </a:endParaRPr>
        </a:p>
      </xdr:txBody>
    </xdr:sp>
    <xdr:clientData/>
  </xdr:twoCellAnchor>
  <xdr:oneCellAnchor>
    <xdr:from>
      <xdr:col>1</xdr:col>
      <xdr:colOff>114300</xdr:colOff>
      <xdr:row>16</xdr:row>
      <xdr:rowOff>119062</xdr:rowOff>
    </xdr:from>
    <xdr:ext cx="3502434" cy="32855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C4280323-EC54-4C14-8E0D-A6326778019F}"/>
                </a:ext>
              </a:extLst>
            </xdr:cNvPr>
            <xdr:cNvSpPr txBox="1"/>
          </xdr:nvSpPr>
          <xdr:spPr>
            <a:xfrm>
              <a:off x="723900" y="3462337"/>
              <a:ext cx="3502434"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𝐶</m:t>
                        </m:r>
                      </m:e>
                      <m:sub>
                        <m:r>
                          <a:rPr lang="en-US" sz="1100" i="1">
                            <a:solidFill>
                              <a:schemeClr val="tx1"/>
                            </a:solidFill>
                            <a:effectLst/>
                            <a:latin typeface="Cambria Math" panose="02040503050406030204" pitchFamily="18" charset="0"/>
                            <a:ea typeface="+mn-ea"/>
                            <a:cs typeface="+mn-cs"/>
                          </a:rPr>
                          <m:t>𝑝𝑢𝑚𝑝</m:t>
                        </m:r>
                      </m:sub>
                    </m:sSub>
                    <m:r>
                      <a:rPr lang="en-US" sz="110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𝑊</m:t>
                        </m:r>
                      </m:e>
                      <m:sub>
                        <m:r>
                          <a:rPr lang="en-US" sz="1100" i="1">
                            <a:solidFill>
                              <a:schemeClr val="tx1"/>
                            </a:solidFill>
                            <a:effectLst/>
                            <a:latin typeface="Cambria Math" panose="02040503050406030204" pitchFamily="18" charset="0"/>
                            <a:ea typeface="+mn-ea"/>
                            <a:cs typeface="+mn-cs"/>
                          </a:rPr>
                          <m:t>0</m:t>
                        </m:r>
                      </m:sub>
                    </m:sSub>
                    <m:r>
                      <a:rPr lang="en-US" sz="1100">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d>
                          <m:dPr>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𝐺𝑃𝑀</m:t>
                            </m:r>
                          </m:e>
                        </m:d>
                        <m:r>
                          <a:rPr lang="en-US" sz="1100">
                            <a:solidFill>
                              <a:schemeClr val="tx1"/>
                            </a:solidFill>
                            <a:effectLst/>
                            <a:latin typeface="Cambria Math" panose="02040503050406030204" pitchFamily="18" charset="0"/>
                            <a:ea typeface="+mn-ea"/>
                            <a:cs typeface="+mn-cs"/>
                          </a:rPr>
                          <m:t>⋅</m:t>
                        </m:r>
                        <m:d>
                          <m:dPr>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10−</m:t>
                            </m:r>
                            <m:r>
                              <a:rPr lang="en-US" sz="1100" i="1">
                                <a:solidFill>
                                  <a:schemeClr val="tx1"/>
                                </a:solidFill>
                                <a:effectLst/>
                                <a:latin typeface="Cambria Math" panose="02040503050406030204" pitchFamily="18" charset="0"/>
                                <a:ea typeface="+mn-ea"/>
                                <a:cs typeface="+mn-cs"/>
                              </a:rPr>
                              <m:t>𝐺𝑃𝑀</m:t>
                            </m:r>
                          </m:e>
                        </m:d>
                      </m:num>
                      <m:den>
                        <m:r>
                          <a:rPr lang="en-US" sz="1100" i="1">
                            <a:solidFill>
                              <a:schemeClr val="tx1"/>
                            </a:solidFill>
                            <a:effectLst/>
                            <a:latin typeface="Cambria Math" panose="02040503050406030204" pitchFamily="18" charset="0"/>
                            <a:ea typeface="+mn-ea"/>
                            <a:cs typeface="+mn-cs"/>
                          </a:rPr>
                          <m:t>6.0383</m:t>
                        </m:r>
                      </m:den>
                    </m:f>
                    <m:r>
                      <a:rPr lang="en-US" sz="1100" i="1">
                        <a:solidFill>
                          <a:schemeClr val="tx1"/>
                        </a:solidFill>
                        <a:effectLst/>
                        <a:latin typeface="Cambria Math" panose="02040503050406030204" pitchFamily="18" charset="0"/>
                        <a:ea typeface="+mn-ea"/>
                        <a:cs typeface="+mn-cs"/>
                      </a:rPr>
                      <m:t>+</m:t>
                    </m:r>
                    <m:r>
                      <a:rPr lang="en-US" sz="1100" b="0" i="0">
                        <a:solidFill>
                          <a:schemeClr val="tx1"/>
                        </a:solidFill>
                        <a:effectLst/>
                        <a:latin typeface="Cambria Math" panose="02040503050406030204" pitchFamily="18" charset="0"/>
                        <a:ea typeface="+mn-ea"/>
                        <a:cs typeface="+mn-cs"/>
                      </a:rPr>
                      <m:t>124.24998</m:t>
                    </m:r>
                    <m:r>
                      <a:rPr lang="en-US" sz="1100">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𝐺𝑃𝑀</m:t>
                    </m:r>
                    <m:r>
                      <a:rPr lang="en-US" sz="110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3" name="TextBox 2">
              <a:extLst>
                <a:ext uri="{FF2B5EF4-FFF2-40B4-BE49-F238E27FC236}">
                  <a16:creationId xmlns:a16="http://schemas.microsoft.com/office/drawing/2014/main" id="{C4280323-EC54-4C14-8E0D-A6326778019F}"/>
                </a:ext>
              </a:extLst>
            </xdr:cNvPr>
            <xdr:cNvSpPr txBox="1"/>
          </xdr:nvSpPr>
          <xdr:spPr>
            <a:xfrm>
              <a:off x="723900" y="3462337"/>
              <a:ext cx="3502434"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mn-lt"/>
                  <a:ea typeface="+mn-ea"/>
                  <a:cs typeface="+mn-cs"/>
                </a:rPr>
                <a:t>𝐶_𝑝𝑢𝑚𝑝=𝑊_0×((𝐺𝑃𝑀)⋅(10−𝐺𝑃𝑀))/6.0383+</a:t>
              </a:r>
              <a:r>
                <a:rPr lang="en-US" sz="1100" b="0" i="0">
                  <a:solidFill>
                    <a:schemeClr val="tx1"/>
                  </a:solidFill>
                  <a:effectLst/>
                  <a:latin typeface="Cambria Math" panose="02040503050406030204" pitchFamily="18" charset="0"/>
                  <a:ea typeface="+mn-ea"/>
                  <a:cs typeface="+mn-cs"/>
                </a:rPr>
                <a:t>124.24998</a:t>
              </a:r>
              <a:r>
                <a:rPr lang="en-US" sz="1100" i="0">
                  <a:solidFill>
                    <a:schemeClr val="tx1"/>
                  </a:solidFill>
                  <a:effectLst/>
                  <a:latin typeface="+mn-lt"/>
                  <a:ea typeface="+mn-ea"/>
                  <a:cs typeface="+mn-cs"/>
                </a:rPr>
                <a:t>⋅(𝐺𝑃𝑀)</a:t>
              </a:r>
              <a:endParaRPr lang="en-US" sz="1100"/>
            </a:p>
          </xdr:txBody>
        </xdr:sp>
      </mc:Fallback>
    </mc:AlternateContent>
    <xdr:clientData/>
  </xdr:oneCellAnchor>
  <xdr:oneCellAnchor>
    <xdr:from>
      <xdr:col>1</xdr:col>
      <xdr:colOff>76200</xdr:colOff>
      <xdr:row>12</xdr:row>
      <xdr:rowOff>85725</xdr:rowOff>
    </xdr:from>
    <xdr:ext cx="2959400" cy="19306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AC3CF6-3431-4467-A96A-164C512B8C73}"/>
                </a:ext>
              </a:extLst>
            </xdr:cNvPr>
            <xdr:cNvSpPr txBox="1"/>
          </xdr:nvSpPr>
          <xdr:spPr>
            <a:xfrm>
              <a:off x="685800" y="2667000"/>
              <a:ext cx="2959400" cy="1930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𝐶</m:t>
                        </m:r>
                      </m:e>
                      <m:sub>
                        <m:r>
                          <a:rPr lang="en-US" sz="1100" i="1">
                            <a:solidFill>
                              <a:schemeClr val="tx1"/>
                            </a:solidFill>
                            <a:effectLst/>
                            <a:latin typeface="Cambria Math" panose="02040503050406030204" pitchFamily="18" charset="0"/>
                            <a:ea typeface="+mn-ea"/>
                            <a:cs typeface="+mn-cs"/>
                          </a:rPr>
                          <m:t>𝑓𝑎𝑛</m:t>
                        </m:r>
                      </m:sub>
                    </m:sSub>
                    <m:r>
                      <a:rPr lang="en-US" sz="1100" i="1">
                        <a:solidFill>
                          <a:schemeClr val="tx1"/>
                        </a:solidFill>
                        <a:effectLst/>
                        <a:latin typeface="Cambria Math" panose="02040503050406030204" pitchFamily="18" charset="0"/>
                        <a:ea typeface="+mn-ea"/>
                        <a:cs typeface="+mn-cs"/>
                      </a:rPr>
                      <m:t>=0.0002152</m:t>
                    </m:r>
                    <m:r>
                      <a:rPr lang="en-US" sz="1100">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d>
                          <m:dPr>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𝐶𝐹𝑀</m:t>
                            </m:r>
                          </m:e>
                        </m:d>
                      </m:e>
                      <m:sup>
                        <m:r>
                          <a:rPr lang="en-US" sz="1100" i="1">
                            <a:solidFill>
                              <a:schemeClr val="tx1"/>
                            </a:solidFill>
                            <a:effectLst/>
                            <a:latin typeface="Cambria Math" panose="02040503050406030204" pitchFamily="18" charset="0"/>
                            <a:ea typeface="+mn-ea"/>
                            <a:cs typeface="+mn-cs"/>
                          </a:rPr>
                          <m:t>2</m:t>
                        </m:r>
                      </m:sup>
                    </m:sSup>
                    <m:r>
                      <a:rPr lang="en-US" sz="1100" i="1">
                        <a:solidFill>
                          <a:schemeClr val="tx1"/>
                        </a:solidFill>
                        <a:effectLst/>
                        <a:latin typeface="Cambria Math" panose="02040503050406030204" pitchFamily="18" charset="0"/>
                        <a:ea typeface="+mn-ea"/>
                        <a:cs typeface="+mn-cs"/>
                      </a:rPr>
                      <m:t>−0.033845</m:t>
                    </m:r>
                    <m:r>
                      <a:rPr lang="en-US" sz="1100">
                        <a:solidFill>
                          <a:schemeClr val="tx1"/>
                        </a:solidFill>
                        <a:effectLst/>
                        <a:latin typeface="Cambria Math" panose="02040503050406030204" pitchFamily="18" charset="0"/>
                        <a:ea typeface="+mn-ea"/>
                        <a:cs typeface="+mn-cs"/>
                      </a:rPr>
                      <m:t>⋅</m:t>
                    </m:r>
                    <m:d>
                      <m:dPr>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𝐶𝐹𝑀</m:t>
                        </m:r>
                      </m:e>
                    </m:d>
                  </m:oMath>
                </m:oMathPara>
              </a14:m>
              <a:endParaRPr lang="en-US" sz="1100"/>
            </a:p>
          </xdr:txBody>
        </xdr:sp>
      </mc:Choice>
      <mc:Fallback xmlns="">
        <xdr:sp macro="" textlink="">
          <xdr:nvSpPr>
            <xdr:cNvPr id="4" name="TextBox 3">
              <a:extLst>
                <a:ext uri="{FF2B5EF4-FFF2-40B4-BE49-F238E27FC236}">
                  <a16:creationId xmlns:a16="http://schemas.microsoft.com/office/drawing/2014/main" id="{00AC3CF6-3431-4467-A96A-164C512B8C73}"/>
                </a:ext>
              </a:extLst>
            </xdr:cNvPr>
            <xdr:cNvSpPr txBox="1"/>
          </xdr:nvSpPr>
          <xdr:spPr>
            <a:xfrm>
              <a:off x="685800" y="2667000"/>
              <a:ext cx="2959400" cy="1930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𝐶_𝑓𝑎𝑛=0.0002152⋅(𝐶𝐹𝑀)^2−0.033845⋅(𝐶𝐹𝑀)</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0</xdr:rowOff>
    </xdr:from>
    <xdr:to>
      <xdr:col>13</xdr:col>
      <xdr:colOff>0</xdr:colOff>
      <xdr:row>9</xdr:row>
      <xdr:rowOff>0</xdr:rowOff>
    </xdr:to>
    <xdr:sp macro="" textlink="">
      <xdr:nvSpPr>
        <xdr:cNvPr id="2" name="TextBox 1">
          <a:extLst>
            <a:ext uri="{FF2B5EF4-FFF2-40B4-BE49-F238E27FC236}">
              <a16:creationId xmlns:a16="http://schemas.microsoft.com/office/drawing/2014/main" id="{3599FF1F-6329-42B2-B570-D38E0CE40794}"/>
            </a:ext>
          </a:extLst>
        </xdr:cNvPr>
        <xdr:cNvSpPr txBox="1"/>
      </xdr:nvSpPr>
      <xdr:spPr>
        <a:xfrm>
          <a:off x="609600" y="1247775"/>
          <a:ext cx="792480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found two models for the pump cost function C</a:t>
          </a:r>
          <a:r>
            <a:rPr lang="en-US" sz="1100" baseline="-25000"/>
            <a:t>pump</a:t>
          </a:r>
          <a:r>
            <a:rPr lang="en-US" sz="1100" baseline="0"/>
            <a:t>(x). The initial model neglected the starting cost of the pump, due to the fact that our system is pressurized. Ultimately, this simplistic model led to a rather boring optimization problem, thus, we came up with a simplistic model of the starting cost of our well pump. The details are below.</a:t>
          </a:r>
          <a:endParaRPr lang="en-US" sz="1100"/>
        </a:p>
      </xdr:txBody>
    </xdr:sp>
    <xdr:clientData/>
  </xdr:twoCellAnchor>
  <xdr:twoCellAnchor>
    <xdr:from>
      <xdr:col>1</xdr:col>
      <xdr:colOff>0</xdr:colOff>
      <xdr:row>32</xdr:row>
      <xdr:rowOff>190499</xdr:rowOff>
    </xdr:from>
    <xdr:to>
      <xdr:col>13</xdr:col>
      <xdr:colOff>0</xdr:colOff>
      <xdr:row>56</xdr:row>
      <xdr:rowOff>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65C3A7B9-DB46-41F7-87A4-DDEA9B1060DD}"/>
                </a:ext>
              </a:extLst>
            </xdr:cNvPr>
            <xdr:cNvSpPr txBox="1"/>
          </xdr:nvSpPr>
          <xdr:spPr>
            <a:xfrm>
              <a:off x="609600" y="6638924"/>
              <a:ext cx="7762875" cy="4381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To</a:t>
              </a:r>
              <a:r>
                <a:rPr lang="en-US" sz="1100" b="0" i="0" u="none" strike="noStrike" baseline="0">
                  <a:solidFill>
                    <a:schemeClr val="dk1"/>
                  </a:solidFill>
                  <a:effectLst/>
                  <a:latin typeface="+mn-lt"/>
                  <a:ea typeface="+mn-ea"/>
                  <a:cs typeface="+mn-cs"/>
                </a:rPr>
                <a:t> find the affect of the starting current, we need to find out how many starts/hr of the pump. We begin by assuming that the storage tank is initally full. If the flow in GPM through the coil is 0, the starts per hour is also 0. Similarly, since the well pump is rated at 10 GPM, if the flow through the coil is 10 GPM the starts per hour is also 0. Thus, our function will have roots at GPM = 0 and GPM = 10. Since time = volume / rate, we can divide the capacity of our tank by (GPM) to obtain the time in minutes needed to drain the tank. The time to fill the tank is found by dividing the capacity of the tank by (10 - GPM). Summing the results gives us the total time of one start of the pump. </a:t>
              </a: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m:rPr>
                        <m:nor/>
                      </m:rPr>
                      <a:rPr lang="en-US" sz="1100">
                        <a:solidFill>
                          <a:schemeClr val="dk1"/>
                        </a:solidFill>
                        <a:effectLst/>
                        <a:latin typeface="+mn-lt"/>
                        <a:ea typeface="+mn-ea"/>
                        <a:cs typeface="+mn-cs"/>
                      </a:rPr>
                      <m:t>time</m:t>
                    </m:r>
                    <m:r>
                      <m:rPr>
                        <m:nor/>
                      </m:rPr>
                      <a:rPr lang="en-US" sz="1100">
                        <a:solidFill>
                          <a:schemeClr val="dk1"/>
                        </a:solidFill>
                        <a:effectLst/>
                        <a:latin typeface="+mn-lt"/>
                        <a:ea typeface="+mn-ea"/>
                        <a:cs typeface="+mn-cs"/>
                      </a:rPr>
                      <m:t> </m:t>
                    </m:r>
                    <m:r>
                      <m:rPr>
                        <m:nor/>
                      </m:rPr>
                      <a:rPr lang="en-US" sz="1100">
                        <a:solidFill>
                          <a:schemeClr val="dk1"/>
                        </a:solidFill>
                        <a:effectLst/>
                        <a:latin typeface="+mn-lt"/>
                        <a:ea typeface="+mn-ea"/>
                        <a:cs typeface="+mn-cs"/>
                      </a:rPr>
                      <m:t>of</m:t>
                    </m:r>
                    <m:r>
                      <m:rPr>
                        <m:nor/>
                      </m:rPr>
                      <a:rPr lang="en-US" sz="1100">
                        <a:solidFill>
                          <a:schemeClr val="dk1"/>
                        </a:solidFill>
                        <a:effectLst/>
                        <a:latin typeface="+mn-lt"/>
                        <a:ea typeface="+mn-ea"/>
                        <a:cs typeface="+mn-cs"/>
                      </a:rPr>
                      <m:t> </m:t>
                    </m:r>
                    <m:r>
                      <m:rPr>
                        <m:nor/>
                      </m:rPr>
                      <a:rPr lang="en-US" sz="1100">
                        <a:solidFill>
                          <a:schemeClr val="dk1"/>
                        </a:solidFill>
                        <a:effectLst/>
                        <a:latin typeface="+mn-lt"/>
                        <a:ea typeface="+mn-ea"/>
                        <a:cs typeface="+mn-cs"/>
                      </a:rPr>
                      <m:t>start</m:t>
                    </m:r>
                    <m:r>
                      <a:rPr lang="en-US" sz="1100" i="1">
                        <a:solidFill>
                          <a:schemeClr val="dk1"/>
                        </a:solidFill>
                        <a:effectLst/>
                        <a:latin typeface="Cambria Math" panose="02040503050406030204" pitchFamily="18" charset="0"/>
                        <a:ea typeface="+mn-ea"/>
                        <a:cs typeface="+mn-cs"/>
                      </a:rPr>
                      <m:t>=</m:t>
                    </m:r>
                    <m:f>
                      <m:fPr>
                        <m:ctrlPr>
                          <a:rPr lang="en-US" sz="1100" i="1">
                            <a:solidFill>
                              <a:schemeClr val="dk1"/>
                            </a:solidFill>
                            <a:effectLst/>
                            <a:latin typeface="Cambria Math" panose="02040503050406030204" pitchFamily="18" charset="0"/>
                            <a:ea typeface="+mn-ea"/>
                            <a:cs typeface="+mn-cs"/>
                          </a:rPr>
                        </m:ctrlPr>
                      </m:fPr>
                      <m:num>
                        <m:r>
                          <a:rPr lang="en-US" sz="1100" i="1">
                            <a:solidFill>
                              <a:schemeClr val="dk1"/>
                            </a:solidFill>
                            <a:effectLst/>
                            <a:latin typeface="Cambria Math" panose="02040503050406030204" pitchFamily="18" charset="0"/>
                            <a:ea typeface="+mn-ea"/>
                            <a:cs typeface="+mn-cs"/>
                          </a:rPr>
                          <m:t>72.4</m:t>
                        </m:r>
                        <m:r>
                          <a:rPr lang="en-US" sz="1100" b="0" i="1">
                            <a:solidFill>
                              <a:schemeClr val="dk1"/>
                            </a:solidFill>
                            <a:effectLst/>
                            <a:latin typeface="Cambria Math" panose="02040503050406030204" pitchFamily="18" charset="0"/>
                            <a:ea typeface="+mn-ea"/>
                            <a:cs typeface="+mn-cs"/>
                          </a:rPr>
                          <m:t>6</m:t>
                        </m:r>
                      </m:num>
                      <m:den>
                        <m:r>
                          <a:rPr lang="en-US" sz="1100" i="1">
                            <a:solidFill>
                              <a:schemeClr val="dk1"/>
                            </a:solidFill>
                            <a:effectLst/>
                            <a:latin typeface="Cambria Math" panose="02040503050406030204" pitchFamily="18" charset="0"/>
                            <a:ea typeface="+mn-ea"/>
                            <a:cs typeface="+mn-cs"/>
                          </a:rPr>
                          <m:t>𝐺𝑃𝑀</m:t>
                        </m:r>
                      </m:den>
                    </m:f>
                    <m:r>
                      <a:rPr lang="en-US" sz="1100" i="1">
                        <a:solidFill>
                          <a:schemeClr val="dk1"/>
                        </a:solidFill>
                        <a:effectLst/>
                        <a:latin typeface="Cambria Math" panose="02040503050406030204" pitchFamily="18" charset="0"/>
                        <a:ea typeface="+mn-ea"/>
                        <a:cs typeface="+mn-cs"/>
                      </a:rPr>
                      <m:t>+</m:t>
                    </m:r>
                    <m:f>
                      <m:fPr>
                        <m:ctrlPr>
                          <a:rPr lang="en-US" sz="1100" i="1">
                            <a:solidFill>
                              <a:schemeClr val="dk1"/>
                            </a:solidFill>
                            <a:effectLst/>
                            <a:latin typeface="Cambria Math" panose="02040503050406030204" pitchFamily="18" charset="0"/>
                            <a:ea typeface="+mn-ea"/>
                            <a:cs typeface="+mn-cs"/>
                          </a:rPr>
                        </m:ctrlPr>
                      </m:fPr>
                      <m:num>
                        <m:r>
                          <a:rPr lang="en-US" sz="1100" i="1">
                            <a:solidFill>
                              <a:schemeClr val="dk1"/>
                            </a:solidFill>
                            <a:effectLst/>
                            <a:latin typeface="Cambria Math" panose="02040503050406030204" pitchFamily="18" charset="0"/>
                            <a:ea typeface="+mn-ea"/>
                            <a:cs typeface="+mn-cs"/>
                          </a:rPr>
                          <m:t>72.4</m:t>
                        </m:r>
                        <m:r>
                          <a:rPr lang="en-US" sz="1100" b="0" i="1">
                            <a:solidFill>
                              <a:schemeClr val="dk1"/>
                            </a:solidFill>
                            <a:effectLst/>
                            <a:latin typeface="Cambria Math" panose="02040503050406030204" pitchFamily="18" charset="0"/>
                            <a:ea typeface="+mn-ea"/>
                            <a:cs typeface="+mn-cs"/>
                          </a:rPr>
                          <m:t>6</m:t>
                        </m:r>
                      </m:num>
                      <m:den>
                        <m:r>
                          <a:rPr lang="en-US" sz="1100" i="1">
                            <a:solidFill>
                              <a:schemeClr val="dk1"/>
                            </a:solidFill>
                            <a:effectLst/>
                            <a:latin typeface="Cambria Math" panose="02040503050406030204" pitchFamily="18" charset="0"/>
                            <a:ea typeface="+mn-ea"/>
                            <a:cs typeface="+mn-cs"/>
                          </a:rPr>
                          <m:t>10−</m:t>
                        </m:r>
                        <m:r>
                          <a:rPr lang="en-US" sz="1100" i="1">
                            <a:solidFill>
                              <a:schemeClr val="dk1"/>
                            </a:solidFill>
                            <a:effectLst/>
                            <a:latin typeface="Cambria Math" panose="02040503050406030204" pitchFamily="18" charset="0"/>
                            <a:ea typeface="+mn-ea"/>
                            <a:cs typeface="+mn-cs"/>
                          </a:rPr>
                          <m:t>𝐺𝑃𝑀</m:t>
                        </m:r>
                      </m:den>
                    </m:f>
                  </m:oMath>
                </m:oMathPara>
              </a14:m>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We simplify to obtain:</a:t>
              </a:r>
            </a:p>
            <a:p>
              <a:pPr/>
              <a14:m>
                <m:oMathPara xmlns:m="http://schemas.openxmlformats.org/officeDocument/2006/math">
                  <m:oMathParaPr>
                    <m:jc m:val="centerGroup"/>
                  </m:oMathParaPr>
                  <m:oMath xmlns:m="http://schemas.openxmlformats.org/officeDocument/2006/math">
                    <m:r>
                      <m:rPr>
                        <m:nor/>
                      </m:rPr>
                      <a:rPr lang="en-US" sz="1100">
                        <a:solidFill>
                          <a:schemeClr val="dk1"/>
                        </a:solidFill>
                        <a:effectLst/>
                        <a:latin typeface="+mn-lt"/>
                        <a:ea typeface="+mn-ea"/>
                        <a:cs typeface="+mn-cs"/>
                      </a:rPr>
                      <m:t>time</m:t>
                    </m:r>
                    <m:r>
                      <m:rPr>
                        <m:nor/>
                      </m:rPr>
                      <a:rPr lang="en-US" sz="1100">
                        <a:solidFill>
                          <a:schemeClr val="dk1"/>
                        </a:solidFill>
                        <a:effectLst/>
                        <a:latin typeface="+mn-lt"/>
                        <a:ea typeface="+mn-ea"/>
                        <a:cs typeface="+mn-cs"/>
                      </a:rPr>
                      <m:t> </m:t>
                    </m:r>
                    <m:r>
                      <m:rPr>
                        <m:nor/>
                      </m:rPr>
                      <a:rPr lang="en-US" sz="1100" b="0" i="0">
                        <a:solidFill>
                          <a:schemeClr val="dk1"/>
                        </a:solidFill>
                        <a:effectLst/>
                        <a:latin typeface="+mn-lt"/>
                        <a:ea typeface="+mn-ea"/>
                        <a:cs typeface="+mn-cs"/>
                      </a:rPr>
                      <m:t>of</m:t>
                    </m:r>
                    <m:r>
                      <m:rPr>
                        <m:nor/>
                      </m:rPr>
                      <a:rPr lang="en-US" sz="1100" b="0" i="0">
                        <a:solidFill>
                          <a:schemeClr val="dk1"/>
                        </a:solidFill>
                        <a:effectLst/>
                        <a:latin typeface="+mn-lt"/>
                        <a:ea typeface="+mn-ea"/>
                        <a:cs typeface="+mn-cs"/>
                      </a:rPr>
                      <m:t> </m:t>
                    </m:r>
                    <m:r>
                      <m:rPr>
                        <m:nor/>
                      </m:rPr>
                      <a:rPr lang="en-US" sz="1100" b="0" i="0">
                        <a:solidFill>
                          <a:schemeClr val="dk1"/>
                        </a:solidFill>
                        <a:effectLst/>
                        <a:latin typeface="+mn-lt"/>
                        <a:ea typeface="+mn-ea"/>
                        <a:cs typeface="+mn-cs"/>
                      </a:rPr>
                      <m:t>start</m:t>
                    </m:r>
                    <m:r>
                      <a:rPr lang="en-US" sz="1100" b="0" i="1">
                        <a:solidFill>
                          <a:schemeClr val="dk1"/>
                        </a:solidFill>
                        <a:effectLst/>
                        <a:latin typeface="Cambria Math" panose="02040503050406030204" pitchFamily="18" charset="0"/>
                        <a:ea typeface="+mn-ea"/>
                        <a:cs typeface="+mn-cs"/>
                      </a:rPr>
                      <m:t>=</m:t>
                    </m:r>
                    <m:f>
                      <m:fPr>
                        <m:ctrlPr>
                          <a:rPr lang="en-US" sz="1100" i="1">
                            <a:solidFill>
                              <a:schemeClr val="dk1"/>
                            </a:solidFill>
                            <a:effectLst/>
                            <a:latin typeface="Cambria Math" panose="02040503050406030204" pitchFamily="18" charset="0"/>
                            <a:ea typeface="+mn-ea"/>
                            <a:cs typeface="+mn-cs"/>
                          </a:rPr>
                        </m:ctrlPr>
                      </m:fPr>
                      <m:num>
                        <m:r>
                          <a:rPr lang="en-US" sz="1100" b="0" i="1">
                            <a:solidFill>
                              <a:schemeClr val="dk1"/>
                            </a:solidFill>
                            <a:effectLst/>
                            <a:latin typeface="Cambria Math" panose="02040503050406030204" pitchFamily="18" charset="0"/>
                            <a:ea typeface="+mn-ea"/>
                            <a:cs typeface="+mn-cs"/>
                          </a:rPr>
                          <m:t>724.6</m:t>
                        </m:r>
                      </m:num>
                      <m:den>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𝐺𝑃𝑀</m:t>
                            </m:r>
                          </m:e>
                        </m:d>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10−</m:t>
                            </m:r>
                            <m:r>
                              <a:rPr lang="en-US" sz="1100" i="1">
                                <a:solidFill>
                                  <a:schemeClr val="dk1"/>
                                </a:solidFill>
                                <a:effectLst/>
                                <a:latin typeface="Cambria Math" panose="02040503050406030204" pitchFamily="18" charset="0"/>
                                <a:ea typeface="+mn-ea"/>
                                <a:cs typeface="+mn-cs"/>
                              </a:rPr>
                              <m:t>𝐺𝑃𝑀</m:t>
                            </m:r>
                          </m:e>
                        </m:d>
                      </m:den>
                    </m:f>
                  </m:oMath>
                </m:oMathPara>
              </a14:m>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Note that we didn't want all of the water to be used, thus, we assumed that </a:t>
              </a:r>
              <a:r>
                <a:rPr lang="en-US" sz="1100" b="0" i="0" u="none" strike="noStrike">
                  <a:solidFill>
                    <a:schemeClr val="dk1"/>
                  </a:solidFill>
                  <a:effectLst/>
                  <a:latin typeface="+mn-lt"/>
                  <a:ea typeface="+mn-ea"/>
                  <a:cs typeface="+mn-cs"/>
                </a:rPr>
                <a:t>we use only 50% of the capacity of the tank. Now</a:t>
              </a:r>
              <a:r>
                <a:rPr lang="en-US" sz="1100" b="0" i="0" u="none" strike="noStrike" baseline="0">
                  <a:solidFill>
                    <a:schemeClr val="dk1"/>
                  </a:solidFill>
                  <a:effectLst/>
                  <a:latin typeface="+mn-lt"/>
                  <a:ea typeface="+mn-ea"/>
                  <a:cs typeface="+mn-cs"/>
                </a:rPr>
                <a:t> note that starts = 1/time. Thus, the number of starts / hr is:</a:t>
              </a:r>
            </a:p>
            <a:p>
              <a:endParaRPr lang="en-US" sz="1100"/>
            </a:p>
            <a:p>
              <a:pPr/>
              <a14:m>
                <m:oMathPara xmlns:m="http://schemas.openxmlformats.org/officeDocument/2006/math">
                  <m:oMathParaPr>
                    <m:jc m:val="centerGroup"/>
                  </m:oMathParaPr>
                  <m:oMath xmlns:m="http://schemas.openxmlformats.org/officeDocument/2006/math">
                    <m:r>
                      <m:rPr>
                        <m:nor/>
                      </m:rPr>
                      <a:rPr lang="en-US" sz="1100">
                        <a:solidFill>
                          <a:schemeClr val="dk1"/>
                        </a:solidFill>
                        <a:effectLst/>
                        <a:latin typeface="+mn-lt"/>
                        <a:ea typeface="+mn-ea"/>
                        <a:cs typeface="+mn-cs"/>
                      </a:rPr>
                      <m:t>starts</m:t>
                    </m:r>
                    <m:r>
                      <m:rPr>
                        <m:nor/>
                      </m:rPr>
                      <a:rPr lang="en-US" sz="1100">
                        <a:solidFill>
                          <a:schemeClr val="dk1"/>
                        </a:solidFill>
                        <a:effectLst/>
                        <a:latin typeface="+mn-lt"/>
                        <a:ea typeface="+mn-ea"/>
                        <a:cs typeface="+mn-cs"/>
                      </a:rPr>
                      <m:t>/</m:t>
                    </m:r>
                    <m:r>
                      <m:rPr>
                        <m:nor/>
                      </m:rPr>
                      <a:rPr lang="en-US" sz="1100">
                        <a:solidFill>
                          <a:schemeClr val="dk1"/>
                        </a:solidFill>
                        <a:effectLst/>
                        <a:latin typeface="+mn-lt"/>
                        <a:ea typeface="+mn-ea"/>
                        <a:cs typeface="+mn-cs"/>
                      </a:rPr>
                      <m:t>hr</m:t>
                    </m:r>
                    <m:r>
                      <a:rPr lang="en-US" sz="1100" i="1">
                        <a:solidFill>
                          <a:schemeClr val="dk1"/>
                        </a:solidFill>
                        <a:effectLst/>
                        <a:latin typeface="Cambria Math" panose="02040503050406030204" pitchFamily="18" charset="0"/>
                        <a:ea typeface="+mn-ea"/>
                        <a:cs typeface="+mn-cs"/>
                      </a:rPr>
                      <m:t>=</m:t>
                    </m:r>
                    <m:f>
                      <m:fPr>
                        <m:ctrlPr>
                          <a:rPr lang="en-US" sz="1100" i="1">
                            <a:solidFill>
                              <a:schemeClr val="dk1"/>
                            </a:solidFill>
                            <a:effectLst/>
                            <a:latin typeface="Cambria Math" panose="02040503050406030204" pitchFamily="18" charset="0"/>
                            <a:ea typeface="+mn-ea"/>
                            <a:cs typeface="+mn-cs"/>
                          </a:rPr>
                        </m:ctrlPr>
                      </m:fPr>
                      <m:num>
                        <m:r>
                          <a:rPr lang="en-US" sz="1100" i="1">
                            <a:solidFill>
                              <a:schemeClr val="dk1"/>
                            </a:solidFill>
                            <a:effectLst/>
                            <a:latin typeface="Cambria Math" panose="02040503050406030204" pitchFamily="18" charset="0"/>
                            <a:ea typeface="+mn-ea"/>
                            <a:cs typeface="+mn-cs"/>
                          </a:rPr>
                          <m:t>2 </m:t>
                        </m:r>
                        <m:r>
                          <a:rPr lang="en-US" sz="1100">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 60 </m:t>
                        </m:r>
                        <m:r>
                          <a:rPr lang="en-US" sz="1100">
                            <a:solidFill>
                              <a:schemeClr val="dk1"/>
                            </a:solidFill>
                            <a:effectLst/>
                            <a:latin typeface="Cambria Math" panose="02040503050406030204" pitchFamily="18" charset="0"/>
                            <a:ea typeface="+mn-ea"/>
                            <a:cs typeface="+mn-cs"/>
                          </a:rPr>
                          <m:t>⋅ </m:t>
                        </m:r>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𝐺𝑃𝑀</m:t>
                            </m:r>
                          </m:e>
                        </m:d>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10−</m:t>
                            </m:r>
                            <m:r>
                              <a:rPr lang="en-US" sz="1100" i="1">
                                <a:solidFill>
                                  <a:schemeClr val="dk1"/>
                                </a:solidFill>
                                <a:effectLst/>
                                <a:latin typeface="Cambria Math" panose="02040503050406030204" pitchFamily="18" charset="0"/>
                                <a:ea typeface="+mn-ea"/>
                                <a:cs typeface="+mn-cs"/>
                              </a:rPr>
                              <m:t>𝐺𝑃𝑀</m:t>
                            </m:r>
                          </m:e>
                        </m:d>
                      </m:num>
                      <m:den>
                        <m:r>
                          <a:rPr lang="en-US" sz="1100" i="1">
                            <a:solidFill>
                              <a:schemeClr val="dk1"/>
                            </a:solidFill>
                            <a:effectLst/>
                            <a:latin typeface="Cambria Math" panose="02040503050406030204" pitchFamily="18" charset="0"/>
                            <a:ea typeface="+mn-ea"/>
                            <a:cs typeface="+mn-cs"/>
                          </a:rPr>
                          <m:t>724</m:t>
                        </m:r>
                        <m:r>
                          <a:rPr lang="en-US" sz="1100" b="0" i="1">
                            <a:solidFill>
                              <a:schemeClr val="dk1"/>
                            </a:solidFill>
                            <a:effectLst/>
                            <a:latin typeface="Cambria Math" panose="02040503050406030204" pitchFamily="18" charset="0"/>
                            <a:ea typeface="+mn-ea"/>
                            <a:cs typeface="+mn-cs"/>
                          </a:rPr>
                          <m:t>.6</m:t>
                        </m:r>
                      </m:den>
                    </m:f>
                  </m:oMath>
                </m:oMathPara>
              </a14:m>
              <a:endParaRPr lang="en-US" sz="1100"/>
            </a:p>
            <a:p>
              <a:endParaRPr lang="en-US" sz="1100"/>
            </a:p>
            <a:p>
              <a:r>
                <a:rPr lang="en-US" sz="1100"/>
                <a:t>Assuming</a:t>
              </a:r>
              <a:r>
                <a:rPr lang="en-US" sz="1100" baseline="0"/>
                <a:t> the starting power is 500 W, we get a cost for starting of:</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m:rPr>
                        <m:nor/>
                      </m:rPr>
                      <a:rPr lang="en-US" sz="1100">
                        <a:solidFill>
                          <a:schemeClr val="dk1"/>
                        </a:solidFill>
                        <a:effectLst/>
                        <a:latin typeface="+mn-lt"/>
                        <a:ea typeface="+mn-ea"/>
                        <a:cs typeface="+mn-cs"/>
                      </a:rPr>
                      <m:t>cost</m:t>
                    </m:r>
                    <m:r>
                      <m:rPr>
                        <m:nor/>
                      </m:rPr>
                      <a:rPr lang="en-US" sz="1100">
                        <a:solidFill>
                          <a:schemeClr val="dk1"/>
                        </a:solidFill>
                        <a:effectLst/>
                        <a:latin typeface="+mn-lt"/>
                        <a:ea typeface="+mn-ea"/>
                        <a:cs typeface="+mn-cs"/>
                      </a:rPr>
                      <m:t>/</m:t>
                    </m:r>
                    <m:r>
                      <m:rPr>
                        <m:nor/>
                      </m:rPr>
                      <a:rPr lang="en-US" sz="1100">
                        <a:solidFill>
                          <a:schemeClr val="dk1"/>
                        </a:solidFill>
                        <a:effectLst/>
                        <a:latin typeface="+mn-lt"/>
                        <a:ea typeface="+mn-ea"/>
                        <a:cs typeface="+mn-cs"/>
                      </a:rPr>
                      <m:t>hr</m:t>
                    </m:r>
                    <m:r>
                      <a:rPr lang="en-US" sz="1100" i="1">
                        <a:solidFill>
                          <a:schemeClr val="dk1"/>
                        </a:solidFill>
                        <a:effectLst/>
                        <a:latin typeface="Cambria Math" panose="02040503050406030204" pitchFamily="18" charset="0"/>
                        <a:ea typeface="+mn-ea"/>
                        <a:cs typeface="+mn-cs"/>
                      </a:rPr>
                      <m:t>=</m:t>
                    </m:r>
                    <m:r>
                      <a:rPr lang="en-US" sz="1100" b="0" i="1">
                        <a:solidFill>
                          <a:schemeClr val="dk1"/>
                        </a:solidFill>
                        <a:effectLst/>
                        <a:latin typeface="Cambria Math" panose="02040503050406030204" pitchFamily="18" charset="0"/>
                        <a:ea typeface="+mn-ea"/>
                        <a:cs typeface="+mn-cs"/>
                      </a:rPr>
                      <m:t>500</m:t>
                    </m:r>
                    <m:r>
                      <a:rPr lang="en-US" sz="1100">
                        <a:solidFill>
                          <a:schemeClr val="dk1"/>
                        </a:solidFill>
                        <a:effectLst/>
                        <a:latin typeface="Cambria Math" panose="02040503050406030204" pitchFamily="18" charset="0"/>
                        <a:ea typeface="+mn-ea"/>
                        <a:cs typeface="+mn-cs"/>
                      </a:rPr>
                      <m:t>×</m:t>
                    </m:r>
                    <m:f>
                      <m:fPr>
                        <m:ctrlPr>
                          <a:rPr lang="en-US" sz="1100" i="1">
                            <a:solidFill>
                              <a:schemeClr val="dk1"/>
                            </a:solidFill>
                            <a:effectLst/>
                            <a:latin typeface="Cambria Math" panose="02040503050406030204" pitchFamily="18" charset="0"/>
                            <a:ea typeface="+mn-ea"/>
                            <a:cs typeface="+mn-cs"/>
                          </a:rPr>
                        </m:ctrlPr>
                      </m:fPr>
                      <m:num>
                        <m:r>
                          <a:rPr lang="en-US" sz="1100" i="1">
                            <a:solidFill>
                              <a:schemeClr val="dk1"/>
                            </a:solidFill>
                            <a:effectLst/>
                            <a:latin typeface="Cambria Math" panose="02040503050406030204" pitchFamily="18" charset="0"/>
                            <a:ea typeface="+mn-ea"/>
                            <a:cs typeface="+mn-cs"/>
                          </a:rPr>
                          <m:t>2 </m:t>
                        </m:r>
                        <m:r>
                          <a:rPr lang="en-US" sz="1100">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 60 </m:t>
                        </m:r>
                        <m:r>
                          <a:rPr lang="en-US" sz="1100">
                            <a:solidFill>
                              <a:schemeClr val="dk1"/>
                            </a:solidFill>
                            <a:effectLst/>
                            <a:latin typeface="Cambria Math" panose="02040503050406030204" pitchFamily="18" charset="0"/>
                            <a:ea typeface="+mn-ea"/>
                            <a:cs typeface="+mn-cs"/>
                          </a:rPr>
                          <m:t>⋅</m:t>
                        </m:r>
                        <m:r>
                          <a:rPr lang="en-US" sz="1100" b="0" i="1">
                            <a:solidFill>
                              <a:schemeClr val="dk1"/>
                            </a:solidFill>
                            <a:effectLst/>
                            <a:latin typeface="Cambria Math" panose="02040503050406030204" pitchFamily="18" charset="0"/>
                            <a:ea typeface="+mn-ea"/>
                            <a:cs typeface="+mn-cs"/>
                          </a:rPr>
                          <m:t> </m:t>
                        </m:r>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𝐺𝑃𝑀</m:t>
                            </m:r>
                          </m:e>
                        </m:d>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10−</m:t>
                            </m:r>
                            <m:r>
                              <a:rPr lang="en-US" sz="1100" i="1">
                                <a:solidFill>
                                  <a:schemeClr val="dk1"/>
                                </a:solidFill>
                                <a:effectLst/>
                                <a:latin typeface="Cambria Math" panose="02040503050406030204" pitchFamily="18" charset="0"/>
                                <a:ea typeface="+mn-ea"/>
                                <a:cs typeface="+mn-cs"/>
                              </a:rPr>
                              <m:t>𝐺𝑃𝑀</m:t>
                            </m:r>
                          </m:e>
                        </m:d>
                      </m:num>
                      <m:den>
                        <m:r>
                          <a:rPr lang="en-US" sz="1100" i="1">
                            <a:solidFill>
                              <a:schemeClr val="dk1"/>
                            </a:solidFill>
                            <a:effectLst/>
                            <a:latin typeface="Cambria Math" panose="02040503050406030204" pitchFamily="18" charset="0"/>
                            <a:ea typeface="+mn-ea"/>
                            <a:cs typeface="+mn-cs"/>
                          </a:rPr>
                          <m:t>724</m:t>
                        </m:r>
                        <m:r>
                          <a:rPr lang="en-US" sz="1100" b="0" i="1">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6</m:t>
                        </m:r>
                      </m:den>
                    </m:f>
                  </m:oMath>
                </m:oMathPara>
              </a14:m>
              <a:endParaRPr lang="en-US" sz="1100">
                <a:solidFill>
                  <a:schemeClr val="dk1"/>
                </a:solidFill>
                <a:effectLst/>
                <a:latin typeface="+mn-lt"/>
                <a:ea typeface="+mn-ea"/>
                <a:cs typeface="+mn-cs"/>
              </a:endParaRPr>
            </a:p>
            <a:p>
              <a:r>
                <a:rPr lang="en-US" sz="1100"/>
                <a:t>Thus</a:t>
              </a:r>
              <a:r>
                <a:rPr lang="en-US" sz="1100" baseline="0"/>
                <a:t>, our total cost is:</a:t>
              </a: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𝐶</m:t>
                        </m:r>
                      </m:e>
                      <m:sub>
                        <m:r>
                          <a:rPr lang="en-US" sz="1100" i="1">
                            <a:solidFill>
                              <a:schemeClr val="dk1"/>
                            </a:solidFill>
                            <a:effectLst/>
                            <a:latin typeface="Cambria Math" panose="02040503050406030204" pitchFamily="18" charset="0"/>
                            <a:ea typeface="+mn-ea"/>
                            <a:cs typeface="+mn-cs"/>
                          </a:rPr>
                          <m:t>𝑝𝑢𝑚𝑝</m:t>
                        </m:r>
                      </m:sub>
                    </m:sSub>
                    <m:r>
                      <a:rPr lang="en-US" sz="1100" i="1">
                        <a:solidFill>
                          <a:schemeClr val="dk1"/>
                        </a:solidFill>
                        <a:effectLst/>
                        <a:latin typeface="Cambria Math" panose="02040503050406030204" pitchFamily="18" charset="0"/>
                        <a:ea typeface="+mn-ea"/>
                        <a:cs typeface="+mn-cs"/>
                      </a:rPr>
                      <m:t>=</m:t>
                    </m:r>
                    <m:r>
                      <a:rPr lang="en-US" sz="1100" b="0" i="1">
                        <a:solidFill>
                          <a:schemeClr val="dk1"/>
                        </a:solidFill>
                        <a:effectLst/>
                        <a:latin typeface="Cambria Math" panose="02040503050406030204" pitchFamily="18" charset="0"/>
                        <a:ea typeface="+mn-ea"/>
                        <a:cs typeface="+mn-cs"/>
                      </a:rPr>
                      <m:t>500</m:t>
                    </m:r>
                    <m:r>
                      <a:rPr lang="en-US" sz="1100">
                        <a:solidFill>
                          <a:schemeClr val="dk1"/>
                        </a:solidFill>
                        <a:effectLst/>
                        <a:latin typeface="Cambria Math" panose="02040503050406030204" pitchFamily="18" charset="0"/>
                        <a:ea typeface="+mn-ea"/>
                        <a:cs typeface="+mn-cs"/>
                      </a:rPr>
                      <m:t>×</m:t>
                    </m:r>
                    <m:f>
                      <m:fPr>
                        <m:ctrlPr>
                          <a:rPr lang="en-US" sz="1100" i="1">
                            <a:solidFill>
                              <a:schemeClr val="dk1"/>
                            </a:solidFill>
                            <a:effectLst/>
                            <a:latin typeface="Cambria Math" panose="02040503050406030204" pitchFamily="18" charset="0"/>
                            <a:ea typeface="+mn-ea"/>
                            <a:cs typeface="+mn-cs"/>
                          </a:rPr>
                        </m:ctrlPr>
                      </m:fPr>
                      <m:num>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𝐺𝑃𝑀</m:t>
                            </m:r>
                          </m:e>
                        </m:d>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10−</m:t>
                            </m:r>
                            <m:r>
                              <a:rPr lang="en-US" sz="1100" i="1">
                                <a:solidFill>
                                  <a:schemeClr val="dk1"/>
                                </a:solidFill>
                                <a:effectLst/>
                                <a:latin typeface="Cambria Math" panose="02040503050406030204" pitchFamily="18" charset="0"/>
                                <a:ea typeface="+mn-ea"/>
                                <a:cs typeface="+mn-cs"/>
                              </a:rPr>
                              <m:t>𝐺𝑃𝑀</m:t>
                            </m:r>
                          </m:e>
                        </m:d>
                      </m:num>
                      <m:den>
                        <m:r>
                          <a:rPr lang="en-US" sz="1100" i="1">
                            <a:solidFill>
                              <a:schemeClr val="dk1"/>
                            </a:solidFill>
                            <a:effectLst/>
                            <a:latin typeface="Cambria Math" panose="02040503050406030204" pitchFamily="18" charset="0"/>
                            <a:ea typeface="+mn-ea"/>
                            <a:cs typeface="+mn-cs"/>
                          </a:rPr>
                          <m:t>6.0383</m:t>
                        </m:r>
                      </m:den>
                    </m:f>
                    <m:r>
                      <a:rPr lang="en-US" sz="1100" i="1">
                        <a:solidFill>
                          <a:schemeClr val="dk1"/>
                        </a:solidFill>
                        <a:effectLst/>
                        <a:latin typeface="Cambria Math" panose="02040503050406030204" pitchFamily="18" charset="0"/>
                        <a:ea typeface="+mn-ea"/>
                        <a:cs typeface="+mn-cs"/>
                      </a:rPr>
                      <m:t>+2.070833</m:t>
                    </m:r>
                    <m:r>
                      <a:rPr lang="en-US" sz="1100">
                        <a:solidFill>
                          <a:schemeClr val="dk1"/>
                        </a:solidFill>
                        <a:effectLst/>
                        <a:latin typeface="Cambria Math" panose="02040503050406030204" pitchFamily="18" charset="0"/>
                        <a:ea typeface="+mn-ea"/>
                        <a:cs typeface="+mn-cs"/>
                      </a:rPr>
                      <m:t>⋅</m:t>
                    </m:r>
                    <m:r>
                      <a:rPr lang="en-US" sz="1100" b="0" i="1">
                        <a:solidFill>
                          <a:schemeClr val="dk1"/>
                        </a:solidFill>
                        <a:effectLst/>
                        <a:latin typeface="Cambria Math" panose="02040503050406030204" pitchFamily="18" charset="0"/>
                        <a:ea typeface="+mn-ea"/>
                        <a:cs typeface="+mn-cs"/>
                      </a:rPr>
                      <m:t>60</m:t>
                    </m:r>
                    <m:r>
                      <a:rPr lang="en-US" sz="1100">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𝐺𝑃𝑀</m:t>
                    </m:r>
                    <m:r>
                      <a:rPr lang="en-US" sz="1100" i="1">
                        <a:solidFill>
                          <a:schemeClr val="dk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3" name="TextBox 2">
              <a:extLst>
                <a:ext uri="{FF2B5EF4-FFF2-40B4-BE49-F238E27FC236}">
                  <a16:creationId xmlns:a16="http://schemas.microsoft.com/office/drawing/2014/main" id="{65C3A7B9-DB46-41F7-87A4-DDEA9B1060DD}"/>
                </a:ext>
              </a:extLst>
            </xdr:cNvPr>
            <xdr:cNvSpPr txBox="1"/>
          </xdr:nvSpPr>
          <xdr:spPr>
            <a:xfrm>
              <a:off x="609600" y="6638924"/>
              <a:ext cx="7762875" cy="4381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To</a:t>
              </a:r>
              <a:r>
                <a:rPr lang="en-US" sz="1100" b="0" i="0" u="none" strike="noStrike" baseline="0">
                  <a:solidFill>
                    <a:schemeClr val="dk1"/>
                  </a:solidFill>
                  <a:effectLst/>
                  <a:latin typeface="+mn-lt"/>
                  <a:ea typeface="+mn-ea"/>
                  <a:cs typeface="+mn-cs"/>
                </a:rPr>
                <a:t> find the affect of the starting current, we need to find out how many starts/hr of the pump. We begin by assuming that the storage tank is initally full. If the flow in GPM through the coil is 0, the starts per hour is also 0. Similarly, since the well pump is rated at 10 GPM, if the flow through the coil is 10 GPM the starts per hour is also 0. Thus, our function will have roots at GPM = 0 and GPM = 10. Since time = volume / rate, we can divide the capacity of our tank by (GPM) to obtain the time in minutes needed to drain the tank. The time to fill the tank is found by dividing the capacity of the tank by (10 - GPM). Summing the results gives us the total time of one start of the pump. </a:t>
              </a:r>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dk1"/>
                  </a:solidFill>
                  <a:effectLst/>
                  <a:latin typeface="Cambria Math" panose="02040503050406030204" pitchFamily="18" charset="0"/>
                  <a:ea typeface="+mn-ea"/>
                  <a:cs typeface="+mn-cs"/>
                </a:rPr>
                <a:t>"time of start</a:t>
              </a:r>
              <a:r>
                <a:rPr lang="en-US" sz="1100" i="0">
                  <a:solidFill>
                    <a:schemeClr val="dk1"/>
                  </a:solidFill>
                  <a:effectLst/>
                  <a:latin typeface="+mn-lt"/>
                  <a:ea typeface="+mn-ea"/>
                  <a:cs typeface="+mn-cs"/>
                </a:rPr>
                <a:t>"=72.4</a:t>
              </a:r>
              <a:r>
                <a:rPr lang="en-US" sz="1100" b="0" i="0">
                  <a:solidFill>
                    <a:schemeClr val="dk1"/>
                  </a:solidFill>
                  <a:effectLst/>
                  <a:latin typeface="Cambria Math" panose="02040503050406030204" pitchFamily="18" charset="0"/>
                  <a:ea typeface="+mn-ea"/>
                  <a:cs typeface="+mn-cs"/>
                </a:rPr>
                <a:t>6</a:t>
              </a:r>
              <a:r>
                <a:rPr lang="en-US" sz="1100" b="0" i="0">
                  <a:solidFill>
                    <a:schemeClr val="dk1"/>
                  </a:solidFill>
                  <a:effectLst/>
                  <a:latin typeface="+mn-lt"/>
                  <a:ea typeface="+mn-ea"/>
                  <a:cs typeface="+mn-cs"/>
                </a:rPr>
                <a:t>/</a:t>
              </a:r>
              <a:r>
                <a:rPr lang="en-US" sz="1100" i="0">
                  <a:solidFill>
                    <a:schemeClr val="dk1"/>
                  </a:solidFill>
                  <a:effectLst/>
                  <a:latin typeface="+mn-lt"/>
                  <a:ea typeface="+mn-ea"/>
                  <a:cs typeface="+mn-cs"/>
                </a:rPr>
                <a:t>𝐺𝑃𝑀+72.4</a:t>
              </a:r>
              <a:r>
                <a:rPr lang="en-US" sz="1100" b="0" i="0">
                  <a:solidFill>
                    <a:schemeClr val="dk1"/>
                  </a:solidFill>
                  <a:effectLst/>
                  <a:latin typeface="Cambria Math" panose="02040503050406030204" pitchFamily="18" charset="0"/>
                  <a:ea typeface="+mn-ea"/>
                  <a:cs typeface="+mn-cs"/>
                </a:rPr>
                <a:t>6</a:t>
              </a:r>
              <a:r>
                <a:rPr lang="en-US" sz="1100" b="0" i="0">
                  <a:solidFill>
                    <a:schemeClr val="dk1"/>
                  </a:solidFill>
                  <a:effectLst/>
                  <a:latin typeface="+mn-lt"/>
                  <a:ea typeface="+mn-ea"/>
                  <a:cs typeface="+mn-cs"/>
                </a:rPr>
                <a:t>/(</a:t>
              </a:r>
              <a:r>
                <a:rPr lang="en-US" sz="1100" i="0">
                  <a:solidFill>
                    <a:schemeClr val="dk1"/>
                  </a:solidFill>
                  <a:effectLst/>
                  <a:latin typeface="+mn-lt"/>
                  <a:ea typeface="+mn-ea"/>
                  <a:cs typeface="+mn-cs"/>
                </a:rPr>
                <a:t>10−𝐺𝑃𝑀)</a:t>
              </a:r>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We simplify to obtain:</a:t>
              </a:r>
            </a:p>
            <a:p>
              <a:r>
                <a:rPr lang="en-US" sz="1100" i="0">
                  <a:solidFill>
                    <a:schemeClr val="dk1"/>
                  </a:solidFill>
                  <a:effectLst/>
                  <a:latin typeface="Cambria Math" panose="02040503050406030204" pitchFamily="18" charset="0"/>
                  <a:ea typeface="+mn-ea"/>
                  <a:cs typeface="+mn-cs"/>
                </a:rPr>
                <a:t>"time </a:t>
              </a:r>
              <a:r>
                <a:rPr lang="en-US" sz="1100" b="0" i="0">
                  <a:solidFill>
                    <a:schemeClr val="dk1"/>
                  </a:solidFill>
                  <a:effectLst/>
                  <a:latin typeface="Cambria Math" panose="02040503050406030204" pitchFamily="18" charset="0"/>
                  <a:ea typeface="+mn-ea"/>
                  <a:cs typeface="+mn-cs"/>
                </a:rPr>
                <a:t>of start"=724.6</a:t>
              </a:r>
              <a:r>
                <a:rPr lang="en-US" sz="1100" b="0" i="0">
                  <a:solidFill>
                    <a:schemeClr val="dk1"/>
                  </a:solidFill>
                  <a:effectLst/>
                  <a:latin typeface="+mn-lt"/>
                  <a:ea typeface="+mn-ea"/>
                  <a:cs typeface="+mn-cs"/>
                </a:rPr>
                <a:t>/(</a:t>
              </a:r>
              <a:r>
                <a:rPr lang="en-US" sz="1100" i="0">
                  <a:solidFill>
                    <a:schemeClr val="dk1"/>
                  </a:solidFill>
                  <a:effectLst/>
                  <a:latin typeface="+mn-lt"/>
                  <a:ea typeface="+mn-ea"/>
                  <a:cs typeface="+mn-cs"/>
                </a:rPr>
                <a:t>𝐺𝑃𝑀)(10−𝐺𝑃𝑀) </a:t>
              </a:r>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Note that we didn't want all of the water to be used, thus, we assumed that </a:t>
              </a:r>
              <a:r>
                <a:rPr lang="en-US" sz="1100" b="0" i="0" u="none" strike="noStrike">
                  <a:solidFill>
                    <a:schemeClr val="dk1"/>
                  </a:solidFill>
                  <a:effectLst/>
                  <a:latin typeface="+mn-lt"/>
                  <a:ea typeface="+mn-ea"/>
                  <a:cs typeface="+mn-cs"/>
                </a:rPr>
                <a:t>we use only 50% of the capacity of the tank. Now</a:t>
              </a:r>
              <a:r>
                <a:rPr lang="en-US" sz="1100" b="0" i="0" u="none" strike="noStrike" baseline="0">
                  <a:solidFill>
                    <a:schemeClr val="dk1"/>
                  </a:solidFill>
                  <a:effectLst/>
                  <a:latin typeface="+mn-lt"/>
                  <a:ea typeface="+mn-ea"/>
                  <a:cs typeface="+mn-cs"/>
                </a:rPr>
                <a:t> note that starts = 1/time. Thus, the number of starts / hr is:</a:t>
              </a:r>
            </a:p>
            <a:p>
              <a:endParaRPr lang="en-US" sz="1100"/>
            </a:p>
            <a:p>
              <a:r>
                <a:rPr lang="en-US" sz="1100" i="0">
                  <a:solidFill>
                    <a:schemeClr val="dk1"/>
                  </a:solidFill>
                  <a:effectLst/>
                  <a:latin typeface="Cambria Math" panose="02040503050406030204" pitchFamily="18" charset="0"/>
                  <a:ea typeface="+mn-ea"/>
                  <a:cs typeface="+mn-cs"/>
                </a:rPr>
                <a:t>"starts/hr</a:t>
              </a:r>
              <a:r>
                <a:rPr lang="en-US" sz="1100" i="0">
                  <a:solidFill>
                    <a:schemeClr val="dk1"/>
                  </a:solidFill>
                  <a:effectLst/>
                  <a:latin typeface="+mn-lt"/>
                  <a:ea typeface="+mn-ea"/>
                  <a:cs typeface="+mn-cs"/>
                </a:rPr>
                <a:t>"=(2 ⋅ 60 ⋅ (𝐺𝑃𝑀)(10−𝐺𝑃𝑀))/724</a:t>
              </a:r>
              <a:r>
                <a:rPr lang="en-US" sz="1100" b="0" i="0">
                  <a:solidFill>
                    <a:schemeClr val="dk1"/>
                  </a:solidFill>
                  <a:effectLst/>
                  <a:latin typeface="Cambria Math" panose="02040503050406030204" pitchFamily="18" charset="0"/>
                  <a:ea typeface="+mn-ea"/>
                  <a:cs typeface="+mn-cs"/>
                </a:rPr>
                <a:t>.6</a:t>
              </a:r>
              <a:endParaRPr lang="en-US" sz="1100"/>
            </a:p>
            <a:p>
              <a:endParaRPr lang="en-US" sz="1100"/>
            </a:p>
            <a:p>
              <a:r>
                <a:rPr lang="en-US" sz="1100"/>
                <a:t>Assuming</a:t>
              </a:r>
              <a:r>
                <a:rPr lang="en-US" sz="1100" baseline="0"/>
                <a:t> the starting power is 500 W, we get a cost for starting of:</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dk1"/>
                  </a:solidFill>
                  <a:effectLst/>
                  <a:latin typeface="Cambria Math" panose="02040503050406030204" pitchFamily="18" charset="0"/>
                  <a:ea typeface="+mn-ea"/>
                  <a:cs typeface="+mn-cs"/>
                </a:rPr>
                <a:t>"cost/hr</a:t>
              </a:r>
              <a:r>
                <a:rPr lang="en-US" sz="1100" i="0">
                  <a:solidFill>
                    <a:schemeClr val="dk1"/>
                  </a:solidFill>
                  <a:effectLst/>
                  <a:latin typeface="+mn-lt"/>
                  <a:ea typeface="+mn-ea"/>
                  <a:cs typeface="+mn-cs"/>
                </a:rPr>
                <a:t>"=</a:t>
              </a:r>
              <a:r>
                <a:rPr lang="en-US" sz="1100" b="0" i="0">
                  <a:solidFill>
                    <a:schemeClr val="dk1"/>
                  </a:solidFill>
                  <a:effectLst/>
                  <a:latin typeface="Cambria Math" panose="02040503050406030204" pitchFamily="18" charset="0"/>
                  <a:ea typeface="+mn-ea"/>
                  <a:cs typeface="+mn-cs"/>
                </a:rPr>
                <a:t>500</a:t>
              </a:r>
              <a:r>
                <a:rPr lang="en-US" sz="1100" i="0">
                  <a:solidFill>
                    <a:schemeClr val="dk1"/>
                  </a:solidFill>
                  <a:effectLst/>
                  <a:latin typeface="+mn-lt"/>
                  <a:ea typeface="+mn-ea"/>
                  <a:cs typeface="+mn-cs"/>
                </a:rPr>
                <a:t>×(2 ⋅ 60 ⋅</a:t>
              </a:r>
              <a:r>
                <a:rPr lang="en-US" sz="1100" b="0" i="0">
                  <a:solidFill>
                    <a:schemeClr val="dk1"/>
                  </a:solidFill>
                  <a:effectLst/>
                  <a:latin typeface="Cambria Math" panose="02040503050406030204" pitchFamily="18" charset="0"/>
                  <a:ea typeface="+mn-ea"/>
                  <a:cs typeface="+mn-cs"/>
                </a:rPr>
                <a:t> </a:t>
              </a:r>
              <a:r>
                <a:rPr lang="en-US" sz="1100" b="0" i="0">
                  <a:solidFill>
                    <a:schemeClr val="dk1"/>
                  </a:solidFill>
                  <a:effectLst/>
                  <a:latin typeface="+mn-lt"/>
                  <a:ea typeface="+mn-ea"/>
                  <a:cs typeface="+mn-cs"/>
                </a:rPr>
                <a:t>(</a:t>
              </a:r>
              <a:r>
                <a:rPr lang="en-US" sz="1100" i="0">
                  <a:solidFill>
                    <a:schemeClr val="dk1"/>
                  </a:solidFill>
                  <a:effectLst/>
                  <a:latin typeface="+mn-lt"/>
                  <a:ea typeface="+mn-ea"/>
                  <a:cs typeface="+mn-cs"/>
                </a:rPr>
                <a:t>𝐺𝑃𝑀)(10−𝐺𝑃𝑀))/724</a:t>
              </a:r>
              <a:r>
                <a:rPr lang="en-US" sz="1100" b="0" i="0">
                  <a:solidFill>
                    <a:schemeClr val="dk1"/>
                  </a:solidFill>
                  <a:effectLst/>
                  <a:latin typeface="Cambria Math" panose="02040503050406030204" pitchFamily="18" charset="0"/>
                  <a:ea typeface="+mn-ea"/>
                  <a:cs typeface="+mn-cs"/>
                </a:rPr>
                <a:t>.</a:t>
              </a:r>
              <a:r>
                <a:rPr lang="en-US" sz="1100" i="0">
                  <a:solidFill>
                    <a:schemeClr val="dk1"/>
                  </a:solidFill>
                  <a:effectLst/>
                  <a:latin typeface="+mn-lt"/>
                  <a:ea typeface="+mn-ea"/>
                  <a:cs typeface="+mn-cs"/>
                </a:rPr>
                <a:t>6</a:t>
              </a:r>
              <a:endParaRPr lang="en-US" sz="1100">
                <a:solidFill>
                  <a:schemeClr val="dk1"/>
                </a:solidFill>
                <a:effectLst/>
                <a:latin typeface="+mn-lt"/>
                <a:ea typeface="+mn-ea"/>
                <a:cs typeface="+mn-cs"/>
              </a:endParaRPr>
            </a:p>
            <a:p>
              <a:r>
                <a:rPr lang="en-US" sz="1100"/>
                <a:t>Thus</a:t>
              </a:r>
              <a:r>
                <a:rPr lang="en-US" sz="1100" baseline="0"/>
                <a:t>, our total cost is:</a:t>
              </a:r>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dk1"/>
                  </a:solidFill>
                  <a:effectLst/>
                  <a:latin typeface="+mn-lt"/>
                  <a:ea typeface="+mn-ea"/>
                  <a:cs typeface="+mn-cs"/>
                </a:rPr>
                <a:t>𝐶_𝑝𝑢𝑚𝑝=</a:t>
              </a:r>
              <a:r>
                <a:rPr lang="en-US" sz="1100" b="0" i="0">
                  <a:solidFill>
                    <a:schemeClr val="dk1"/>
                  </a:solidFill>
                  <a:effectLst/>
                  <a:latin typeface="Cambria Math" panose="02040503050406030204" pitchFamily="18" charset="0"/>
                  <a:ea typeface="+mn-ea"/>
                  <a:cs typeface="+mn-cs"/>
                </a:rPr>
                <a:t>500</a:t>
              </a:r>
              <a:r>
                <a:rPr lang="en-US" sz="1100" i="0">
                  <a:solidFill>
                    <a:schemeClr val="dk1"/>
                  </a:solidFill>
                  <a:effectLst/>
                  <a:latin typeface="+mn-lt"/>
                  <a:ea typeface="+mn-ea"/>
                  <a:cs typeface="+mn-cs"/>
                </a:rPr>
                <a:t>×(𝐺𝑃𝑀)(10−𝐺𝑃𝑀)/6.0383+2.070833⋅</a:t>
              </a:r>
              <a:r>
                <a:rPr lang="en-US" sz="1100" b="0" i="0">
                  <a:solidFill>
                    <a:schemeClr val="dk1"/>
                  </a:solidFill>
                  <a:effectLst/>
                  <a:latin typeface="Cambria Math" panose="02040503050406030204" pitchFamily="18" charset="0"/>
                  <a:ea typeface="+mn-ea"/>
                  <a:cs typeface="+mn-cs"/>
                </a:rPr>
                <a:t>60</a:t>
              </a:r>
              <a:r>
                <a:rPr lang="en-US" sz="1100" i="0">
                  <a:solidFill>
                    <a:schemeClr val="dk1"/>
                  </a:solidFill>
                  <a:effectLst/>
                  <a:latin typeface="+mn-lt"/>
                  <a:ea typeface="+mn-ea"/>
                  <a:cs typeface="+mn-cs"/>
                </a:rPr>
                <a:t>⋅(𝐺𝑃𝑀)</a:t>
              </a:r>
              <a:endParaRPr lang="en-US" sz="1100"/>
            </a:p>
          </xdr:txBody>
        </xdr:sp>
      </mc:Fallback>
    </mc:AlternateContent>
    <xdr:clientData/>
  </xdr:twoCellAnchor>
  <xdr:oneCellAnchor>
    <xdr:from>
      <xdr:col>1</xdr:col>
      <xdr:colOff>85725</xdr:colOff>
      <xdr:row>20</xdr:row>
      <xdr:rowOff>100012</xdr:rowOff>
    </xdr:from>
    <xdr:ext cx="1974771" cy="184731"/>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69B37E7-B57C-4E1D-917E-8B3D34271CF2}"/>
                </a:ext>
              </a:extLst>
            </xdr:cNvPr>
            <xdr:cNvSpPr txBox="1"/>
          </xdr:nvSpPr>
          <xdr:spPr>
            <a:xfrm>
              <a:off x="695325" y="4205287"/>
              <a:ext cx="1974771"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𝐶</m:t>
                        </m:r>
                      </m:e>
                      <m:sub>
                        <m:r>
                          <a:rPr lang="en-US" sz="1100" i="1">
                            <a:solidFill>
                              <a:schemeClr val="tx1"/>
                            </a:solidFill>
                            <a:effectLst/>
                            <a:latin typeface="Cambria Math" panose="02040503050406030204" pitchFamily="18" charset="0"/>
                            <a:ea typeface="+mn-ea"/>
                            <a:cs typeface="+mn-cs"/>
                          </a:rPr>
                          <m:t>𝑝𝑢𝑚𝑝</m:t>
                        </m:r>
                      </m:sub>
                    </m:sSub>
                    <m:r>
                      <a:rPr lang="en-US" sz="1100" i="1">
                        <a:solidFill>
                          <a:schemeClr val="tx1"/>
                        </a:solidFill>
                        <a:effectLst/>
                        <a:latin typeface="Cambria Math" panose="02040503050406030204" pitchFamily="18" charset="0"/>
                        <a:ea typeface="+mn-ea"/>
                        <a:cs typeface="+mn-cs"/>
                      </a:rPr>
                      <m:t>=2.070833</m:t>
                    </m:r>
                    <m:r>
                      <a:rPr lang="en-US" sz="1100">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60</m:t>
                    </m:r>
                    <m:r>
                      <a:rPr lang="en-US" sz="1100">
                        <a:solidFill>
                          <a:schemeClr val="tx1"/>
                        </a:solidFill>
                        <a:effectLst/>
                        <a:latin typeface="Cambria Math" panose="02040503050406030204" pitchFamily="18" charset="0"/>
                        <a:ea typeface="+mn-ea"/>
                        <a:cs typeface="+mn-cs"/>
                      </a:rPr>
                      <m:t>⋅</m:t>
                    </m:r>
                    <m:d>
                      <m:dPr>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𝐺𝑃𝑀</m:t>
                        </m:r>
                      </m:e>
                    </m:d>
                  </m:oMath>
                </m:oMathPara>
              </a14:m>
              <a:endParaRPr lang="en-US" sz="1100"/>
            </a:p>
          </xdr:txBody>
        </xdr:sp>
      </mc:Choice>
      <mc:Fallback xmlns="">
        <xdr:sp macro="" textlink="">
          <xdr:nvSpPr>
            <xdr:cNvPr id="4" name="TextBox 3">
              <a:extLst>
                <a:ext uri="{FF2B5EF4-FFF2-40B4-BE49-F238E27FC236}">
                  <a16:creationId xmlns:a16="http://schemas.microsoft.com/office/drawing/2014/main" id="{069B37E7-B57C-4E1D-917E-8B3D34271CF2}"/>
                </a:ext>
              </a:extLst>
            </xdr:cNvPr>
            <xdr:cNvSpPr txBox="1"/>
          </xdr:nvSpPr>
          <xdr:spPr>
            <a:xfrm>
              <a:off x="695325" y="4205287"/>
              <a:ext cx="1974771"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𝐶_𝑝𝑢𝑚𝑝=2.070833⋅60⋅(𝐺𝑃𝑀)</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1</xdr:col>
      <xdr:colOff>0</xdr:colOff>
      <xdr:row>149</xdr:row>
      <xdr:rowOff>0</xdr:rowOff>
    </xdr:from>
    <xdr:to>
      <xdr:col>10</xdr:col>
      <xdr:colOff>0</xdr:colOff>
      <xdr:row>166</xdr:row>
      <xdr:rowOff>0</xdr:rowOff>
    </xdr:to>
    <xdr:graphicFrame macro="">
      <xdr:nvGraphicFramePr>
        <xdr:cNvPr id="3" name="Chart 2">
          <a:extLst>
            <a:ext uri="{FF2B5EF4-FFF2-40B4-BE49-F238E27FC236}">
              <a16:creationId xmlns:a16="http://schemas.microsoft.com/office/drawing/2014/main" id="{BD5063C4-10A5-448C-A83D-22BB481FE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22</xdr:row>
      <xdr:rowOff>0</xdr:rowOff>
    </xdr:from>
    <xdr:to>
      <xdr:col>9</xdr:col>
      <xdr:colOff>0</xdr:colOff>
      <xdr:row>37</xdr:row>
      <xdr:rowOff>0</xdr:rowOff>
    </xdr:to>
    <xdr:graphicFrame macro="">
      <xdr:nvGraphicFramePr>
        <xdr:cNvPr id="4" name="Chart 3">
          <a:extLst>
            <a:ext uri="{FF2B5EF4-FFF2-40B4-BE49-F238E27FC236}">
              <a16:creationId xmlns:a16="http://schemas.microsoft.com/office/drawing/2014/main" id="{917F7973-CF68-43B1-8B8A-572352E0C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149</xdr:row>
      <xdr:rowOff>0</xdr:rowOff>
    </xdr:from>
    <xdr:to>
      <xdr:col>18</xdr:col>
      <xdr:colOff>0</xdr:colOff>
      <xdr:row>166</xdr:row>
      <xdr:rowOff>0</xdr:rowOff>
    </xdr:to>
    <xdr:graphicFrame macro="">
      <xdr:nvGraphicFramePr>
        <xdr:cNvPr id="5" name="Chart 4">
          <a:extLst>
            <a:ext uri="{FF2B5EF4-FFF2-40B4-BE49-F238E27FC236}">
              <a16:creationId xmlns:a16="http://schemas.microsoft.com/office/drawing/2014/main" id="{51D55EAD-E301-449E-B9B4-016898D1CE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55</xdr:row>
      <xdr:rowOff>0</xdr:rowOff>
    </xdr:from>
    <xdr:to>
      <xdr:col>9</xdr:col>
      <xdr:colOff>0</xdr:colOff>
      <xdr:row>70</xdr:row>
      <xdr:rowOff>0</xdr:rowOff>
    </xdr:to>
    <xdr:graphicFrame macro="">
      <xdr:nvGraphicFramePr>
        <xdr:cNvPr id="7" name="Chart 6">
          <a:extLst>
            <a:ext uri="{FF2B5EF4-FFF2-40B4-BE49-F238E27FC236}">
              <a16:creationId xmlns:a16="http://schemas.microsoft.com/office/drawing/2014/main" id="{197ECC29-CF2D-4BEE-A782-089E72150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xdr:row>
      <xdr:rowOff>0</xdr:rowOff>
    </xdr:from>
    <xdr:to>
      <xdr:col>13</xdr:col>
      <xdr:colOff>0</xdr:colOff>
      <xdr:row>8</xdr:row>
      <xdr:rowOff>0</xdr:rowOff>
    </xdr:to>
    <xdr:sp macro="" textlink="">
      <xdr:nvSpPr>
        <xdr:cNvPr id="10" name="TextBox 9">
          <a:extLst>
            <a:ext uri="{FF2B5EF4-FFF2-40B4-BE49-F238E27FC236}">
              <a16:creationId xmlns:a16="http://schemas.microsoft.com/office/drawing/2014/main" id="{484C05CE-2E46-4608-9502-A45701D2F98A}"/>
            </a:ext>
          </a:extLst>
        </xdr:cNvPr>
        <xdr:cNvSpPr txBox="1"/>
      </xdr:nvSpPr>
      <xdr:spPr>
        <a:xfrm>
          <a:off x="609600" y="1247775"/>
          <a:ext cx="739140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Baltimore</a:t>
          </a:r>
          <a:r>
            <a:rPr lang="en-US" sz="1100" baseline="0"/>
            <a:t> Air and Coil (BAC) supplied me with the data below that I used to create a model of Q</a:t>
          </a:r>
          <a:r>
            <a:rPr lang="en-US" sz="1100" baseline="-25000"/>
            <a:t>coil</a:t>
          </a:r>
          <a:r>
            <a:rPr lang="en-US" sz="1100" baseline="0"/>
            <a:t>(x). The data was verified using the equation Q = MC</a:t>
          </a:r>
          <a:r>
            <a:rPr lang="en-US" sz="1100" baseline="-25000"/>
            <a:t>p</a:t>
          </a:r>
          <a:r>
            <a:rPr lang="en-US" sz="1100" baseline="0">
              <a:sym typeface="Symbol" panose="05050102010706020507" pitchFamily="18" charset="2"/>
            </a:rPr>
            <a:t>T. This data was then organized on the next page and fit to a surface in MATLAB.</a:t>
          </a:r>
          <a:endParaRPr lang="en-US" sz="1100"/>
        </a:p>
      </xdr:txBody>
    </xdr:sp>
    <xdr:clientData/>
  </xdr:twoCellAnchor>
  <xdr:twoCellAnchor>
    <xdr:from>
      <xdr:col>1</xdr:col>
      <xdr:colOff>0</xdr:colOff>
      <xdr:row>120</xdr:row>
      <xdr:rowOff>0</xdr:rowOff>
    </xdr:from>
    <xdr:to>
      <xdr:col>9</xdr:col>
      <xdr:colOff>0</xdr:colOff>
      <xdr:row>135</xdr:row>
      <xdr:rowOff>0</xdr:rowOff>
    </xdr:to>
    <xdr:graphicFrame macro="">
      <xdr:nvGraphicFramePr>
        <xdr:cNvPr id="12" name="Chart 11">
          <a:extLst>
            <a:ext uri="{FF2B5EF4-FFF2-40B4-BE49-F238E27FC236}">
              <a16:creationId xmlns:a16="http://schemas.microsoft.com/office/drawing/2014/main" id="{6CE8479C-A4F8-452C-8CA8-2A5A21176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87</xdr:row>
      <xdr:rowOff>0</xdr:rowOff>
    </xdr:from>
    <xdr:to>
      <xdr:col>9</xdr:col>
      <xdr:colOff>0</xdr:colOff>
      <xdr:row>102</xdr:row>
      <xdr:rowOff>0</xdr:rowOff>
    </xdr:to>
    <xdr:graphicFrame macro="">
      <xdr:nvGraphicFramePr>
        <xdr:cNvPr id="13" name="Chart 12">
          <a:extLst>
            <a:ext uri="{FF2B5EF4-FFF2-40B4-BE49-F238E27FC236}">
              <a16:creationId xmlns:a16="http://schemas.microsoft.com/office/drawing/2014/main" id="{5030B3DC-BFA6-43F2-B52D-B257A3C642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0.39447</cdr:x>
      <cdr:y>0.09216</cdr:y>
    </cdr:from>
    <cdr:to>
      <cdr:x>0.63216</cdr:x>
      <cdr:y>0.18257</cdr:y>
    </cdr:to>
    <cdr:sp macro="" textlink="">
      <cdr:nvSpPr>
        <cdr:cNvPr id="2" name="TextBox 1">
          <a:extLst xmlns:a="http://schemas.openxmlformats.org/drawingml/2006/main">
            <a:ext uri="{FF2B5EF4-FFF2-40B4-BE49-F238E27FC236}">
              <a16:creationId xmlns:a16="http://schemas.microsoft.com/office/drawing/2014/main" id="{DEC024B8-291F-43F7-9652-8011E40EE4B5}"/>
            </a:ext>
          </a:extLst>
        </cdr:cNvPr>
        <cdr:cNvSpPr txBox="1"/>
      </cdr:nvSpPr>
      <cdr:spPr>
        <a:xfrm xmlns:a="http://schemas.openxmlformats.org/drawingml/2006/main">
          <a:off x="1946275" y="298450"/>
          <a:ext cx="1172772" cy="29280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a:solidFill>
                <a:srgbClr val="726C6C"/>
              </a:solidFill>
            </a:rPr>
            <a:t>( 1400</a:t>
          </a:r>
          <a:r>
            <a:rPr lang="en-US" sz="1400" baseline="0">
              <a:solidFill>
                <a:srgbClr val="726C6C"/>
              </a:solidFill>
            </a:rPr>
            <a:t> CF</a:t>
          </a:r>
          <a:r>
            <a:rPr lang="en-US" sz="1400">
              <a:solidFill>
                <a:srgbClr val="726C6C"/>
              </a:solidFill>
            </a:rPr>
            <a:t>M )</a:t>
          </a:r>
        </a:p>
      </cdr:txBody>
    </cdr:sp>
  </cdr:relSizeAnchor>
</c:userShapes>
</file>

<file path=xl/drawings/drawing5.xml><?xml version="1.0" encoding="utf-8"?>
<c:userShapes xmlns:c="http://schemas.openxmlformats.org/drawingml/2006/chart">
  <cdr:relSizeAnchor xmlns:cdr="http://schemas.openxmlformats.org/drawingml/2006/chartDrawing">
    <cdr:from>
      <cdr:x>0.42182</cdr:x>
      <cdr:y>0.09734</cdr:y>
    </cdr:from>
    <cdr:to>
      <cdr:x>0.65952</cdr:x>
      <cdr:y>0.1934</cdr:y>
    </cdr:to>
    <cdr:sp macro="" textlink="">
      <cdr:nvSpPr>
        <cdr:cNvPr id="2" name="TextBox 1">
          <a:extLst xmlns:a="http://schemas.openxmlformats.org/drawingml/2006/main">
            <a:ext uri="{FF2B5EF4-FFF2-40B4-BE49-F238E27FC236}">
              <a16:creationId xmlns:a16="http://schemas.microsoft.com/office/drawing/2014/main" id="{7ECD0F48-267C-47E2-82DE-65A0148CA2E2}"/>
            </a:ext>
          </a:extLst>
        </cdr:cNvPr>
        <cdr:cNvSpPr txBox="1"/>
      </cdr:nvSpPr>
      <cdr:spPr>
        <a:xfrm xmlns:a="http://schemas.openxmlformats.org/drawingml/2006/main">
          <a:off x="2081245" y="296686"/>
          <a:ext cx="1172772" cy="29280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a:solidFill>
                <a:srgbClr val="726C6C"/>
              </a:solidFill>
            </a:rPr>
            <a:t>( 5</a:t>
          </a:r>
          <a:r>
            <a:rPr lang="en-US" sz="1400" baseline="0">
              <a:solidFill>
                <a:srgbClr val="726C6C"/>
              </a:solidFill>
            </a:rPr>
            <a:t> </a:t>
          </a:r>
          <a:r>
            <a:rPr lang="en-US" sz="1400">
              <a:solidFill>
                <a:srgbClr val="726C6C"/>
              </a:solidFill>
            </a:rPr>
            <a:t>GPM )</a:t>
          </a:r>
        </a:p>
      </cdr:txBody>
    </cdr:sp>
  </cdr:relSizeAnchor>
</c:userShapes>
</file>

<file path=xl/drawings/drawing6.xml><?xml version="1.0" encoding="utf-8"?>
<c:userShapes xmlns:c="http://schemas.openxmlformats.org/drawingml/2006/chart">
  <cdr:relSizeAnchor xmlns:cdr="http://schemas.openxmlformats.org/drawingml/2006/chartDrawing">
    <cdr:from>
      <cdr:x>0.39579</cdr:x>
      <cdr:y>0.08922</cdr:y>
    </cdr:from>
    <cdr:to>
      <cdr:x>0.65068</cdr:x>
      <cdr:y>0.17963</cdr:y>
    </cdr:to>
    <cdr:sp macro="" textlink="">
      <cdr:nvSpPr>
        <cdr:cNvPr id="2" name="TextBox 1">
          <a:extLst xmlns:a="http://schemas.openxmlformats.org/drawingml/2006/main">
            <a:ext uri="{FF2B5EF4-FFF2-40B4-BE49-F238E27FC236}">
              <a16:creationId xmlns:a16="http://schemas.microsoft.com/office/drawing/2014/main" id="{8E2147D3-0C41-47C4-A6EA-6A0455940BE9}"/>
            </a:ext>
          </a:extLst>
        </cdr:cNvPr>
        <cdr:cNvSpPr txBox="1"/>
      </cdr:nvSpPr>
      <cdr:spPr>
        <a:xfrm xmlns:a="http://schemas.openxmlformats.org/drawingml/2006/main">
          <a:off x="2032000" y="288925"/>
          <a:ext cx="1308590" cy="2927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a:solidFill>
                <a:srgbClr val="726C6C"/>
              </a:solidFill>
            </a:rPr>
            <a:t>( 1400</a:t>
          </a:r>
          <a:r>
            <a:rPr lang="en-US" sz="1400" baseline="0">
              <a:solidFill>
                <a:srgbClr val="726C6C"/>
              </a:solidFill>
            </a:rPr>
            <a:t> CF</a:t>
          </a:r>
          <a:r>
            <a:rPr lang="en-US" sz="1400">
              <a:solidFill>
                <a:srgbClr val="726C6C"/>
              </a:solidFill>
            </a:rPr>
            <a:t>M )</a:t>
          </a:r>
        </a:p>
      </cdr:txBody>
    </cdr:sp>
  </cdr:relSizeAnchor>
</c:userShapes>
</file>

<file path=xl/drawings/drawing7.xml><?xml version="1.0" encoding="utf-8"?>
<c:userShapes xmlns:c="http://schemas.openxmlformats.org/drawingml/2006/chart">
  <cdr:relSizeAnchor xmlns:cdr="http://schemas.openxmlformats.org/drawingml/2006/chartDrawing">
    <cdr:from>
      <cdr:x>0.41505</cdr:x>
      <cdr:y>0.10111</cdr:y>
    </cdr:from>
    <cdr:to>
      <cdr:x>0.65275</cdr:x>
      <cdr:y>0.19717</cdr:y>
    </cdr:to>
    <cdr:sp macro="" textlink="">
      <cdr:nvSpPr>
        <cdr:cNvPr id="2" name="TextBox 1">
          <a:extLst xmlns:a="http://schemas.openxmlformats.org/drawingml/2006/main">
            <a:ext uri="{FF2B5EF4-FFF2-40B4-BE49-F238E27FC236}">
              <a16:creationId xmlns:a16="http://schemas.microsoft.com/office/drawing/2014/main" id="{460B3CC5-CE45-4BC1-B8ED-7BACF5C8E532}"/>
            </a:ext>
          </a:extLst>
        </cdr:cNvPr>
        <cdr:cNvSpPr txBox="1"/>
      </cdr:nvSpPr>
      <cdr:spPr>
        <a:xfrm xmlns:a="http://schemas.openxmlformats.org/drawingml/2006/main">
          <a:off x="2032000" y="288925"/>
          <a:ext cx="1163743" cy="27449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a:solidFill>
                <a:srgbClr val="726C6C"/>
              </a:solidFill>
            </a:rPr>
            <a:t>( 4</a:t>
          </a:r>
          <a:r>
            <a:rPr lang="en-US" sz="1400" baseline="0">
              <a:solidFill>
                <a:srgbClr val="726C6C"/>
              </a:solidFill>
            </a:rPr>
            <a:t> </a:t>
          </a:r>
          <a:r>
            <a:rPr lang="en-US" sz="1400">
              <a:solidFill>
                <a:srgbClr val="726C6C"/>
              </a:solidFill>
            </a:rPr>
            <a:t>GPM )</a:t>
          </a:r>
        </a:p>
      </cdr:txBody>
    </cdr:sp>
  </cdr:relSizeAnchor>
</c:userShapes>
</file>

<file path=xl/drawings/drawing8.xml><?xml version="1.0" encoding="utf-8"?>
<c:userShapes xmlns:c="http://schemas.openxmlformats.org/drawingml/2006/chart">
  <cdr:relSizeAnchor xmlns:cdr="http://schemas.openxmlformats.org/drawingml/2006/chartDrawing">
    <cdr:from>
      <cdr:x>0.41505</cdr:x>
      <cdr:y>0.10111</cdr:y>
    </cdr:from>
    <cdr:to>
      <cdr:x>0.65275</cdr:x>
      <cdr:y>0.19717</cdr:y>
    </cdr:to>
    <cdr:sp macro="" textlink="">
      <cdr:nvSpPr>
        <cdr:cNvPr id="2" name="TextBox 1">
          <a:extLst xmlns:a="http://schemas.openxmlformats.org/drawingml/2006/main">
            <a:ext uri="{FF2B5EF4-FFF2-40B4-BE49-F238E27FC236}">
              <a16:creationId xmlns:a16="http://schemas.microsoft.com/office/drawing/2014/main" id="{460B3CC5-CE45-4BC1-B8ED-7BACF5C8E532}"/>
            </a:ext>
          </a:extLst>
        </cdr:cNvPr>
        <cdr:cNvSpPr txBox="1"/>
      </cdr:nvSpPr>
      <cdr:spPr>
        <a:xfrm xmlns:a="http://schemas.openxmlformats.org/drawingml/2006/main">
          <a:off x="2032000" y="288925"/>
          <a:ext cx="1163743" cy="27449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a:solidFill>
                <a:srgbClr val="726C6C"/>
              </a:solidFill>
            </a:rPr>
            <a:t>( 2</a:t>
          </a:r>
          <a:r>
            <a:rPr lang="en-US" sz="1400" baseline="0">
              <a:solidFill>
                <a:srgbClr val="726C6C"/>
              </a:solidFill>
            </a:rPr>
            <a:t> </a:t>
          </a:r>
          <a:r>
            <a:rPr lang="en-US" sz="1400">
              <a:solidFill>
                <a:srgbClr val="726C6C"/>
              </a:solidFill>
            </a:rPr>
            <a:t>GPM )</a:t>
          </a:r>
        </a:p>
      </cdr:txBody>
    </cdr:sp>
  </cdr:relSizeAnchor>
</c:userShapes>
</file>

<file path=xl/drawings/drawing9.xml><?xml version="1.0" encoding="utf-8"?>
<c:userShapes xmlns:c="http://schemas.openxmlformats.org/drawingml/2006/chart">
  <cdr:relSizeAnchor xmlns:cdr="http://schemas.openxmlformats.org/drawingml/2006/chartDrawing">
    <cdr:from>
      <cdr:x>0.41505</cdr:x>
      <cdr:y>0.10111</cdr:y>
    </cdr:from>
    <cdr:to>
      <cdr:x>0.65275</cdr:x>
      <cdr:y>0.19717</cdr:y>
    </cdr:to>
    <cdr:sp macro="" textlink="">
      <cdr:nvSpPr>
        <cdr:cNvPr id="2" name="TextBox 1">
          <a:extLst xmlns:a="http://schemas.openxmlformats.org/drawingml/2006/main">
            <a:ext uri="{FF2B5EF4-FFF2-40B4-BE49-F238E27FC236}">
              <a16:creationId xmlns:a16="http://schemas.microsoft.com/office/drawing/2014/main" id="{460B3CC5-CE45-4BC1-B8ED-7BACF5C8E532}"/>
            </a:ext>
          </a:extLst>
        </cdr:cNvPr>
        <cdr:cNvSpPr txBox="1"/>
      </cdr:nvSpPr>
      <cdr:spPr>
        <a:xfrm xmlns:a="http://schemas.openxmlformats.org/drawingml/2006/main">
          <a:off x="2032000" y="288925"/>
          <a:ext cx="1163743" cy="27449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a:solidFill>
                <a:srgbClr val="726C6C"/>
              </a:solidFill>
            </a:rPr>
            <a:t>( 3</a:t>
          </a:r>
          <a:r>
            <a:rPr lang="en-US" sz="1400" baseline="0">
              <a:solidFill>
                <a:srgbClr val="726C6C"/>
              </a:solidFill>
            </a:rPr>
            <a:t> </a:t>
          </a:r>
          <a:r>
            <a:rPr lang="en-US" sz="1400">
              <a:solidFill>
                <a:srgbClr val="726C6C"/>
              </a:solidFill>
            </a:rPr>
            <a:t>GPM )</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0717B-0C9F-4435-A8F5-0DC2BD3A2911}">
  <dimension ref="A2:J72"/>
  <sheetViews>
    <sheetView zoomScaleNormal="100" workbookViewId="0"/>
  </sheetViews>
  <sheetFormatPr defaultRowHeight="15" x14ac:dyDescent="0.25"/>
  <cols>
    <col min="2" max="2" width="11.85546875" customWidth="1"/>
    <col min="3" max="3" width="11.140625" customWidth="1"/>
    <col min="4" max="4" width="11.85546875" customWidth="1"/>
    <col min="5" max="5" width="12.7109375" customWidth="1"/>
    <col min="6" max="6" width="11.140625" customWidth="1"/>
    <col min="7" max="7" width="13.140625" customWidth="1"/>
    <col min="8" max="8" width="12.7109375" customWidth="1"/>
    <col min="9" max="9" width="14.42578125" customWidth="1"/>
    <col min="13" max="13" width="10.7109375" bestFit="1" customWidth="1"/>
    <col min="15" max="15" width="9.5703125" bestFit="1" customWidth="1"/>
  </cols>
  <sheetData>
    <row r="2" spans="2:10" ht="28.5" x14ac:dyDescent="0.45">
      <c r="B2" s="25" t="s">
        <v>71</v>
      </c>
      <c r="J2" t="s">
        <v>72</v>
      </c>
    </row>
    <row r="3" spans="2:10" ht="21" x14ac:dyDescent="0.35">
      <c r="B3" s="24" t="s">
        <v>74</v>
      </c>
      <c r="J3" t="s">
        <v>73</v>
      </c>
    </row>
    <row r="5" spans="2:10" ht="18.75" x14ac:dyDescent="0.3">
      <c r="B5" s="23" t="s">
        <v>75</v>
      </c>
    </row>
    <row r="12" spans="2:10" ht="18.75" x14ac:dyDescent="0.3">
      <c r="B12" s="26" t="s">
        <v>76</v>
      </c>
    </row>
    <row r="20" spans="2:9" x14ac:dyDescent="0.25">
      <c r="B20" s="3" t="s">
        <v>8</v>
      </c>
      <c r="E20" s="3" t="s">
        <v>7</v>
      </c>
      <c r="F20" s="3" t="s">
        <v>6</v>
      </c>
    </row>
    <row r="21" spans="2:9" x14ac:dyDescent="0.25">
      <c r="F21" s="27" t="s">
        <v>2</v>
      </c>
      <c r="G21" s="27" t="s">
        <v>3</v>
      </c>
      <c r="H21" s="27" t="s">
        <v>4</v>
      </c>
      <c r="I21" s="27" t="s">
        <v>5</v>
      </c>
    </row>
    <row r="22" spans="2:9" x14ac:dyDescent="0.25">
      <c r="E22">
        <v>1433</v>
      </c>
      <c r="F22">
        <v>1.82</v>
      </c>
      <c r="I22" s="6">
        <f t="shared" ref="I22:I32" si="0">AVERAGE(F22:H22)</f>
        <v>1.82</v>
      </c>
    </row>
    <row r="23" spans="2:9" x14ac:dyDescent="0.25">
      <c r="E23">
        <v>1299</v>
      </c>
      <c r="F23">
        <v>1.4</v>
      </c>
      <c r="I23" s="6">
        <f t="shared" si="0"/>
        <v>1.4</v>
      </c>
    </row>
    <row r="24" spans="2:9" x14ac:dyDescent="0.25">
      <c r="E24">
        <v>1159</v>
      </c>
      <c r="F24">
        <v>0.94</v>
      </c>
      <c r="G24">
        <v>0.96</v>
      </c>
      <c r="H24">
        <v>0.93</v>
      </c>
      <c r="I24" s="6">
        <f t="shared" si="0"/>
        <v>0.94333333333333336</v>
      </c>
    </row>
    <row r="25" spans="2:9" x14ac:dyDescent="0.25">
      <c r="E25">
        <v>1040</v>
      </c>
      <c r="F25">
        <v>0.86</v>
      </c>
      <c r="G25">
        <v>0.86</v>
      </c>
      <c r="H25">
        <v>0.84</v>
      </c>
      <c r="I25" s="6">
        <f t="shared" si="0"/>
        <v>0.85333333333333339</v>
      </c>
    </row>
    <row r="26" spans="2:9" x14ac:dyDescent="0.25">
      <c r="E26">
        <v>988</v>
      </c>
      <c r="F26">
        <v>0.755</v>
      </c>
      <c r="G26">
        <v>0.75</v>
      </c>
      <c r="H26">
        <v>0.76</v>
      </c>
      <c r="I26" s="6">
        <f t="shared" si="0"/>
        <v>0.75499999999999989</v>
      </c>
    </row>
    <row r="27" spans="2:9" x14ac:dyDescent="0.25">
      <c r="E27">
        <v>940</v>
      </c>
      <c r="F27">
        <v>0.66</v>
      </c>
      <c r="G27">
        <v>0.66</v>
      </c>
      <c r="H27">
        <v>0.66500000000000004</v>
      </c>
      <c r="I27" s="6">
        <f t="shared" si="0"/>
        <v>0.66166666666666674</v>
      </c>
    </row>
    <row r="28" spans="2:9" x14ac:dyDescent="0.25">
      <c r="E28">
        <v>906</v>
      </c>
      <c r="F28">
        <v>0.63</v>
      </c>
      <c r="H28">
        <v>0.64</v>
      </c>
      <c r="I28" s="6">
        <f t="shared" si="0"/>
        <v>0.63500000000000001</v>
      </c>
    </row>
    <row r="29" spans="2:9" x14ac:dyDescent="0.25">
      <c r="E29">
        <v>883</v>
      </c>
      <c r="F29">
        <v>0.495</v>
      </c>
      <c r="G29">
        <v>0.5</v>
      </c>
      <c r="H29">
        <v>0.51</v>
      </c>
      <c r="I29" s="6">
        <f t="shared" si="0"/>
        <v>0.50166666666666659</v>
      </c>
    </row>
    <row r="30" spans="2:9" x14ac:dyDescent="0.25">
      <c r="E30">
        <v>810</v>
      </c>
      <c r="F30">
        <v>0.46500000000000002</v>
      </c>
      <c r="H30">
        <v>0.5</v>
      </c>
      <c r="I30" s="6">
        <f t="shared" si="0"/>
        <v>0.48250000000000004</v>
      </c>
    </row>
    <row r="31" spans="2:9" x14ac:dyDescent="0.25">
      <c r="E31">
        <v>800</v>
      </c>
      <c r="F31">
        <v>0.42</v>
      </c>
      <c r="H31">
        <v>0.42</v>
      </c>
      <c r="I31" s="6">
        <f t="shared" si="0"/>
        <v>0.42</v>
      </c>
    </row>
    <row r="32" spans="2:9" x14ac:dyDescent="0.25">
      <c r="E32">
        <v>716</v>
      </c>
      <c r="F32">
        <v>0.34</v>
      </c>
      <c r="H32">
        <v>0.34</v>
      </c>
      <c r="I32" s="6">
        <f t="shared" si="0"/>
        <v>0.34</v>
      </c>
    </row>
    <row r="52" spans="2:8" x14ac:dyDescent="0.25">
      <c r="B52" t="s">
        <v>21</v>
      </c>
    </row>
    <row r="54" spans="2:8" x14ac:dyDescent="0.25">
      <c r="B54" t="s">
        <v>20</v>
      </c>
      <c r="C54" t="s">
        <v>0</v>
      </c>
      <c r="D54" t="s">
        <v>18</v>
      </c>
      <c r="E54" t="s">
        <v>19</v>
      </c>
      <c r="F54" t="s">
        <v>22</v>
      </c>
    </row>
    <row r="56" spans="2:8" x14ac:dyDescent="0.25">
      <c r="B56">
        <v>245.3</v>
      </c>
      <c r="C56">
        <v>1433</v>
      </c>
      <c r="D56" s="6">
        <v>1.62</v>
      </c>
      <c r="E56" s="6">
        <f t="shared" ref="E56:E66" si="1">D56*$B$56</f>
        <v>397.38600000000002</v>
      </c>
      <c r="F56">
        <f t="shared" ref="F56:F66" si="2">E56*1000</f>
        <v>397386</v>
      </c>
      <c r="G56" s="5"/>
      <c r="H56" s="1"/>
    </row>
    <row r="57" spans="2:8" x14ac:dyDescent="0.25">
      <c r="B57">
        <v>245.3</v>
      </c>
      <c r="C57">
        <v>1299</v>
      </c>
      <c r="D57" s="6">
        <v>1.3</v>
      </c>
      <c r="E57" s="6">
        <f t="shared" si="1"/>
        <v>318.89000000000004</v>
      </c>
      <c r="F57">
        <f t="shared" si="2"/>
        <v>318890.00000000006</v>
      </c>
      <c r="G57" s="5"/>
      <c r="H57" s="1"/>
    </row>
    <row r="58" spans="2:8" x14ac:dyDescent="0.25">
      <c r="B58">
        <v>245.3</v>
      </c>
      <c r="C58">
        <v>1159</v>
      </c>
      <c r="D58" s="6">
        <v>0.91666666666666663</v>
      </c>
      <c r="E58" s="6">
        <f t="shared" si="1"/>
        <v>224.85833333333335</v>
      </c>
      <c r="F58">
        <f t="shared" si="2"/>
        <v>224858.33333333334</v>
      </c>
      <c r="G58" s="5"/>
      <c r="H58" s="1"/>
    </row>
    <row r="59" spans="2:8" x14ac:dyDescent="0.25">
      <c r="B59">
        <v>245.3</v>
      </c>
      <c r="C59">
        <v>1040</v>
      </c>
      <c r="D59" s="6">
        <v>0.8833333333333333</v>
      </c>
      <c r="E59" s="6">
        <f t="shared" si="1"/>
        <v>216.68166666666667</v>
      </c>
      <c r="F59">
        <f t="shared" si="2"/>
        <v>216681.66666666669</v>
      </c>
      <c r="G59" s="5"/>
      <c r="H59" s="1"/>
    </row>
    <row r="60" spans="2:8" x14ac:dyDescent="0.25">
      <c r="B60">
        <v>245.3</v>
      </c>
      <c r="C60">
        <v>988</v>
      </c>
      <c r="D60">
        <v>0.75499999999999989</v>
      </c>
      <c r="E60" s="6">
        <f t="shared" si="1"/>
        <v>185.20149999999998</v>
      </c>
      <c r="F60">
        <f t="shared" si="2"/>
        <v>185201.49999999997</v>
      </c>
      <c r="G60" s="5"/>
      <c r="H60" s="1"/>
    </row>
    <row r="61" spans="2:8" x14ac:dyDescent="0.25">
      <c r="B61">
        <v>245.3</v>
      </c>
      <c r="C61">
        <v>940</v>
      </c>
      <c r="D61" s="6">
        <v>0.66166666666666674</v>
      </c>
      <c r="E61" s="6">
        <f t="shared" si="1"/>
        <v>162.30683333333334</v>
      </c>
      <c r="F61">
        <f t="shared" si="2"/>
        <v>162306.83333333334</v>
      </c>
      <c r="G61" s="5"/>
      <c r="H61" s="1"/>
    </row>
    <row r="62" spans="2:8" x14ac:dyDescent="0.25">
      <c r="B62">
        <v>245.3</v>
      </c>
      <c r="C62">
        <v>906</v>
      </c>
      <c r="D62">
        <v>0.63500000000000001</v>
      </c>
      <c r="E62" s="6">
        <f t="shared" si="1"/>
        <v>155.7655</v>
      </c>
      <c r="F62">
        <f t="shared" si="2"/>
        <v>155765.5</v>
      </c>
      <c r="G62" s="5"/>
      <c r="H62" s="1"/>
    </row>
    <row r="63" spans="2:8" x14ac:dyDescent="0.25">
      <c r="B63">
        <v>245.3</v>
      </c>
      <c r="C63">
        <v>883</v>
      </c>
      <c r="D63" s="6">
        <v>0.50166666666666659</v>
      </c>
      <c r="E63" s="6">
        <f t="shared" si="1"/>
        <v>123.05883333333333</v>
      </c>
      <c r="F63">
        <f t="shared" si="2"/>
        <v>123058.83333333333</v>
      </c>
      <c r="G63" s="5"/>
      <c r="H63" s="1"/>
    </row>
    <row r="64" spans="2:8" x14ac:dyDescent="0.25">
      <c r="B64">
        <v>245.3</v>
      </c>
      <c r="C64">
        <v>810</v>
      </c>
      <c r="D64" s="6">
        <v>0.48250000000000004</v>
      </c>
      <c r="E64" s="6">
        <f t="shared" si="1"/>
        <v>118.35725000000002</v>
      </c>
      <c r="F64">
        <f t="shared" si="2"/>
        <v>118357.25000000003</v>
      </c>
      <c r="G64" s="5"/>
      <c r="H64" s="1"/>
    </row>
    <row r="65" spans="1:8" x14ac:dyDescent="0.25">
      <c r="B65">
        <v>245.3</v>
      </c>
      <c r="C65">
        <v>800</v>
      </c>
      <c r="D65" s="6">
        <v>0.42</v>
      </c>
      <c r="E65" s="6">
        <f t="shared" si="1"/>
        <v>103.026</v>
      </c>
      <c r="F65">
        <f t="shared" si="2"/>
        <v>103026</v>
      </c>
      <c r="G65" s="5"/>
      <c r="H65" s="1"/>
    </row>
    <row r="66" spans="1:8" x14ac:dyDescent="0.25">
      <c r="B66">
        <v>245.3</v>
      </c>
      <c r="C66">
        <v>716</v>
      </c>
      <c r="D66" s="6">
        <v>0.34</v>
      </c>
      <c r="E66" s="6">
        <f t="shared" si="1"/>
        <v>83.402000000000015</v>
      </c>
      <c r="F66">
        <f t="shared" si="2"/>
        <v>83402.000000000015</v>
      </c>
      <c r="G66" s="5"/>
      <c r="H66" s="1"/>
    </row>
    <row r="68" spans="1:8" x14ac:dyDescent="0.25">
      <c r="A68" s="28"/>
      <c r="B68" s="28"/>
      <c r="C68" s="28"/>
      <c r="D68" s="28"/>
      <c r="E68" s="28"/>
      <c r="F68" s="28"/>
    </row>
    <row r="69" spans="1:8" x14ac:dyDescent="0.25">
      <c r="A69" s="28"/>
      <c r="B69" s="12" t="s">
        <v>23</v>
      </c>
      <c r="C69" s="13"/>
      <c r="D69" s="13"/>
      <c r="E69" s="14"/>
      <c r="F69" s="28"/>
    </row>
    <row r="70" spans="1:8" x14ac:dyDescent="0.25">
      <c r="A70" s="28"/>
      <c r="B70" s="18"/>
      <c r="C70" s="19"/>
      <c r="D70" s="19"/>
      <c r="E70" s="20"/>
      <c r="F70" s="28"/>
    </row>
    <row r="71" spans="1:8" x14ac:dyDescent="0.25">
      <c r="A71" s="28"/>
      <c r="B71" s="15"/>
      <c r="C71" s="16"/>
      <c r="D71" s="16"/>
      <c r="E71" s="17"/>
      <c r="F71" s="28"/>
    </row>
    <row r="72" spans="1:8" x14ac:dyDescent="0.25">
      <c r="A72" s="28"/>
      <c r="B72" s="28"/>
      <c r="C72" s="28"/>
      <c r="D72" s="28"/>
      <c r="E72" s="28"/>
      <c r="F72" s="28"/>
    </row>
  </sheetData>
  <sortState xmlns:xlrd2="http://schemas.microsoft.com/office/spreadsheetml/2017/richdata2" ref="H24:K35">
    <sortCondition descending="1" ref="H24:H35"/>
  </sortState>
  <pageMargins left="0.7" right="0.7" top="0.75" bottom="0.75" header="0.3" footer="0.3"/>
  <pageSetup orientation="portrait" r:id="rId1"/>
  <ignoredErrors>
    <ignoredError sqref="I22:I32"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E0045-9A94-4027-A418-A293F31ACC93}">
  <dimension ref="A2:L38"/>
  <sheetViews>
    <sheetView zoomScaleNormal="100" workbookViewId="0"/>
  </sheetViews>
  <sheetFormatPr defaultRowHeight="15" x14ac:dyDescent="0.25"/>
  <cols>
    <col min="5" max="5" width="15.85546875" customWidth="1"/>
  </cols>
  <sheetData>
    <row r="2" spans="2:12" ht="28.5" x14ac:dyDescent="0.45">
      <c r="B2" s="25" t="s">
        <v>71</v>
      </c>
      <c r="L2" t="s">
        <v>120</v>
      </c>
    </row>
    <row r="3" spans="2:12" ht="21" x14ac:dyDescent="0.35">
      <c r="B3" s="24" t="s">
        <v>74</v>
      </c>
      <c r="L3" t="s">
        <v>73</v>
      </c>
    </row>
    <row r="5" spans="2:12" ht="18.75" x14ac:dyDescent="0.3">
      <c r="B5" s="26" t="s">
        <v>77</v>
      </c>
    </row>
    <row r="11" spans="2:12" x14ac:dyDescent="0.25">
      <c r="B11" s="3" t="s">
        <v>78</v>
      </c>
      <c r="K11" s="3" t="s">
        <v>102</v>
      </c>
    </row>
    <row r="13" spans="2:12" x14ac:dyDescent="0.25">
      <c r="B13" t="s">
        <v>79</v>
      </c>
      <c r="K13" t="s">
        <v>39</v>
      </c>
    </row>
    <row r="14" spans="2:12" x14ac:dyDescent="0.25">
      <c r="K14" t="s">
        <v>40</v>
      </c>
    </row>
    <row r="15" spans="2:12" x14ac:dyDescent="0.25">
      <c r="B15" s="12" t="s">
        <v>15</v>
      </c>
      <c r="C15" s="13"/>
      <c r="D15" s="13"/>
      <c r="E15" s="14"/>
      <c r="K15" t="s">
        <v>17</v>
      </c>
    </row>
    <row r="16" spans="2:12" x14ac:dyDescent="0.25">
      <c r="B16" s="18" t="s">
        <v>11</v>
      </c>
      <c r="C16" s="19">
        <v>5</v>
      </c>
      <c r="D16" s="19" t="s">
        <v>1</v>
      </c>
      <c r="E16" s="20"/>
      <c r="K16" t="s">
        <v>41</v>
      </c>
    </row>
    <row r="17" spans="1:9" x14ac:dyDescent="0.25">
      <c r="B17" s="18" t="s">
        <v>13</v>
      </c>
      <c r="C17" s="19">
        <v>248.5</v>
      </c>
      <c r="D17" s="19" t="s">
        <v>12</v>
      </c>
      <c r="E17" s="20"/>
    </row>
    <row r="18" spans="1:9" x14ac:dyDescent="0.25">
      <c r="B18" s="21" t="s">
        <v>14</v>
      </c>
      <c r="C18" s="16">
        <f>C17*C16</f>
        <v>1242.5</v>
      </c>
      <c r="D18" s="16" t="s">
        <v>44</v>
      </c>
      <c r="E18" s="17"/>
    </row>
    <row r="19" spans="1:9" x14ac:dyDescent="0.25">
      <c r="A19" s="28"/>
      <c r="B19" s="28"/>
      <c r="C19" s="11"/>
      <c r="D19" s="11"/>
      <c r="E19" s="28"/>
      <c r="F19" s="28"/>
    </row>
    <row r="20" spans="1:9" x14ac:dyDescent="0.25">
      <c r="A20" s="28"/>
      <c r="B20" s="12" t="s">
        <v>59</v>
      </c>
      <c r="C20" s="13"/>
      <c r="D20" s="13"/>
      <c r="E20" s="14"/>
      <c r="F20" s="28"/>
      <c r="G20" t="s">
        <v>81</v>
      </c>
    </row>
    <row r="21" spans="1:9" x14ac:dyDescent="0.25">
      <c r="A21" s="28"/>
      <c r="B21" s="18"/>
      <c r="C21" s="19"/>
      <c r="D21" s="19"/>
      <c r="E21" s="20"/>
      <c r="F21" s="28"/>
      <c r="G21" t="s">
        <v>80</v>
      </c>
      <c r="H21">
        <f>C18/600</f>
        <v>2.0708333333333333</v>
      </c>
      <c r="I21" t="s">
        <v>107</v>
      </c>
    </row>
    <row r="22" spans="1:9" x14ac:dyDescent="0.25">
      <c r="A22" s="28"/>
      <c r="B22" s="15"/>
      <c r="C22" s="16"/>
      <c r="D22" s="16"/>
      <c r="E22" s="17"/>
      <c r="F22" s="28"/>
    </row>
    <row r="23" spans="1:9" x14ac:dyDescent="0.25">
      <c r="A23" s="28"/>
      <c r="B23" s="28"/>
      <c r="C23" s="28"/>
      <c r="D23" s="28"/>
      <c r="E23" s="28"/>
      <c r="F23" s="28"/>
    </row>
    <row r="25" spans="1:9" x14ac:dyDescent="0.25">
      <c r="B25" s="3" t="s">
        <v>82</v>
      </c>
    </row>
    <row r="27" spans="1:9" x14ac:dyDescent="0.25">
      <c r="B27" s="4" t="s">
        <v>57</v>
      </c>
    </row>
    <row r="28" spans="1:9" x14ac:dyDescent="0.25">
      <c r="B28" t="s">
        <v>51</v>
      </c>
      <c r="C28">
        <v>24</v>
      </c>
      <c r="D28" t="s">
        <v>52</v>
      </c>
    </row>
    <row r="29" spans="1:9" x14ac:dyDescent="0.25">
      <c r="B29" t="s">
        <v>53</v>
      </c>
      <c r="C29">
        <v>37</v>
      </c>
      <c r="D29" t="s">
        <v>52</v>
      </c>
    </row>
    <row r="30" spans="1:9" ht="17.25" x14ac:dyDescent="0.25">
      <c r="B30" t="s">
        <v>54</v>
      </c>
      <c r="C30">
        <f>PI()*(C28/2)^2*C29</f>
        <v>16738.405658326417</v>
      </c>
      <c r="D30" t="s">
        <v>55</v>
      </c>
      <c r="E30">
        <f>C30*C32</f>
        <v>72.460558094895063</v>
      </c>
      <c r="F30" t="s">
        <v>56</v>
      </c>
    </row>
    <row r="32" spans="1:9" ht="17.25" x14ac:dyDescent="0.25">
      <c r="B32" s="2" t="s">
        <v>84</v>
      </c>
      <c r="C32">
        <v>4.3290000000000004E-3</v>
      </c>
      <c r="D32" t="s">
        <v>83</v>
      </c>
    </row>
    <row r="36" spans="2:2" x14ac:dyDescent="0.25">
      <c r="B36" s="3"/>
    </row>
    <row r="38" spans="2:2" x14ac:dyDescent="0.25">
      <c r="B38" s="3"/>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CC253-FD23-4F93-9A72-BA20CCC7592E}">
  <dimension ref="B2:Y182"/>
  <sheetViews>
    <sheetView workbookViewId="0"/>
  </sheetViews>
  <sheetFormatPr defaultRowHeight="15" x14ac:dyDescent="0.25"/>
  <cols>
    <col min="7" max="7" width="9.42578125" customWidth="1"/>
    <col min="9" max="9" width="9.140625" customWidth="1"/>
    <col min="11" max="11" width="10" customWidth="1"/>
    <col min="16" max="16" width="10.7109375" customWidth="1"/>
    <col min="17" max="18" width="9.85546875" customWidth="1"/>
    <col min="19" max="19" width="15.7109375" bestFit="1" customWidth="1"/>
    <col min="20" max="20" width="12.7109375" bestFit="1" customWidth="1"/>
  </cols>
  <sheetData>
    <row r="2" spans="2:12" ht="28.5" x14ac:dyDescent="0.45">
      <c r="B2" s="25" t="s">
        <v>71</v>
      </c>
      <c r="L2" t="s">
        <v>72</v>
      </c>
    </row>
    <row r="3" spans="2:12" ht="21" x14ac:dyDescent="0.35">
      <c r="B3" s="24" t="s">
        <v>74</v>
      </c>
      <c r="L3" t="s">
        <v>73</v>
      </c>
    </row>
    <row r="5" spans="2:12" ht="18.75" x14ac:dyDescent="0.3">
      <c r="B5" s="26" t="s">
        <v>99</v>
      </c>
    </row>
    <row r="10" spans="2:12" x14ac:dyDescent="0.25">
      <c r="B10" s="3" t="s">
        <v>36</v>
      </c>
    </row>
    <row r="12" spans="2:12" x14ac:dyDescent="0.25">
      <c r="B12" t="s">
        <v>10</v>
      </c>
      <c r="C12" t="s">
        <v>24</v>
      </c>
      <c r="D12" t="s">
        <v>32</v>
      </c>
      <c r="E12" t="s">
        <v>58</v>
      </c>
      <c r="F12" t="s">
        <v>60</v>
      </c>
      <c r="G12" t="s">
        <v>31</v>
      </c>
      <c r="H12" t="s">
        <v>37</v>
      </c>
      <c r="I12" t="s">
        <v>61</v>
      </c>
    </row>
    <row r="13" spans="2:12" x14ac:dyDescent="0.25">
      <c r="B13">
        <v>700</v>
      </c>
      <c r="C13">
        <v>18017</v>
      </c>
      <c r="D13">
        <f t="shared" ref="D13:D21" si="0">0.0002152*B13^2 -  0.033845*B13</f>
        <v>81.756499999999988</v>
      </c>
      <c r="E13">
        <f>(2*60*(5*(10-5))/724.6)</f>
        <v>4.1402152911951422</v>
      </c>
      <c r="F13">
        <f>E13*500</f>
        <v>2070.1076455975713</v>
      </c>
      <c r="G13">
        <f>'Pump Cost Models'!$H$21*5*60+F13</f>
        <v>2691.3576455975713</v>
      </c>
      <c r="H13">
        <f t="shared" ref="H13:H21" si="1">(D13+G13)/C13</f>
        <v>0.1539165313646873</v>
      </c>
      <c r="I13">
        <f>61.8-52</f>
        <v>9.7999999999999972</v>
      </c>
    </row>
    <row r="14" spans="2:12" x14ac:dyDescent="0.25">
      <c r="B14">
        <v>900</v>
      </c>
      <c r="C14">
        <v>19920</v>
      </c>
      <c r="D14">
        <f t="shared" si="0"/>
        <v>143.85150000000002</v>
      </c>
      <c r="E14">
        <f t="shared" ref="E14:E21" si="2">(2*60*(5*(10-5))/724.6)</f>
        <v>4.1402152911951422</v>
      </c>
      <c r="F14">
        <f t="shared" ref="F14:F21" si="3">E14*500</f>
        <v>2070.1076455975713</v>
      </c>
      <c r="G14">
        <f>'Pump Cost Models'!$H$21*5*60+F14</f>
        <v>2691.3576455975713</v>
      </c>
      <c r="H14">
        <f t="shared" si="1"/>
        <v>0.14232977638542024</v>
      </c>
      <c r="I14">
        <f t="shared" ref="I14:I21" si="4">61.8-52</f>
        <v>9.7999999999999972</v>
      </c>
    </row>
    <row r="15" spans="2:12" x14ac:dyDescent="0.25">
      <c r="B15">
        <v>1000</v>
      </c>
      <c r="C15">
        <v>20727</v>
      </c>
      <c r="D15">
        <f t="shared" si="0"/>
        <v>181.35499999999999</v>
      </c>
      <c r="E15">
        <f t="shared" si="2"/>
        <v>4.1402152911951422</v>
      </c>
      <c r="F15">
        <f t="shared" si="3"/>
        <v>2070.1076455975713</v>
      </c>
      <c r="G15">
        <f>'Pump Cost Models'!$H$21*5*60+F15</f>
        <v>2691.3576455975713</v>
      </c>
      <c r="H15">
        <f t="shared" si="1"/>
        <v>0.13859760918596861</v>
      </c>
      <c r="I15">
        <f t="shared" si="4"/>
        <v>9.7999999999999972</v>
      </c>
    </row>
    <row r="16" spans="2:12" x14ac:dyDescent="0.25">
      <c r="B16">
        <v>1100</v>
      </c>
      <c r="C16">
        <v>21464</v>
      </c>
      <c r="D16">
        <f t="shared" si="0"/>
        <v>223.16249999999999</v>
      </c>
      <c r="E16">
        <f t="shared" si="2"/>
        <v>4.1402152911951422</v>
      </c>
      <c r="F16">
        <f t="shared" si="3"/>
        <v>2070.1076455975713</v>
      </c>
      <c r="G16">
        <f>'Pump Cost Models'!$H$21*5*60+F16</f>
        <v>2691.3576455975713</v>
      </c>
      <c r="H16">
        <f t="shared" si="1"/>
        <v>0.13578643988061737</v>
      </c>
      <c r="I16">
        <f t="shared" si="4"/>
        <v>9.7999999999999972</v>
      </c>
    </row>
    <row r="17" spans="2:9" x14ac:dyDescent="0.25">
      <c r="B17">
        <v>1200</v>
      </c>
      <c r="C17">
        <v>22144</v>
      </c>
      <c r="D17">
        <f t="shared" si="0"/>
        <v>269.274</v>
      </c>
      <c r="E17">
        <f t="shared" si="2"/>
        <v>4.1402152911951422</v>
      </c>
      <c r="F17">
        <f t="shared" si="3"/>
        <v>2070.1076455975713</v>
      </c>
      <c r="G17">
        <f>'Pump Cost Models'!$H$21*5*60+F17</f>
        <v>2691.3576455975713</v>
      </c>
      <c r="H17">
        <f t="shared" si="1"/>
        <v>0.13369904468919666</v>
      </c>
      <c r="I17">
        <f t="shared" si="4"/>
        <v>9.7999999999999972</v>
      </c>
    </row>
    <row r="18" spans="2:9" x14ac:dyDescent="0.25">
      <c r="B18">
        <v>1300</v>
      </c>
      <c r="C18">
        <v>22777</v>
      </c>
      <c r="D18">
        <f t="shared" si="0"/>
        <v>319.68950000000001</v>
      </c>
      <c r="E18">
        <f t="shared" si="2"/>
        <v>4.1402152911951422</v>
      </c>
      <c r="F18">
        <f t="shared" si="3"/>
        <v>2070.1076455975713</v>
      </c>
      <c r="G18">
        <f>'Pump Cost Models'!$H$21*5*60+F18</f>
        <v>2691.3576455975713</v>
      </c>
      <c r="H18">
        <f t="shared" si="1"/>
        <v>0.13219682774718231</v>
      </c>
      <c r="I18">
        <f t="shared" si="4"/>
        <v>9.7999999999999972</v>
      </c>
    </row>
    <row r="19" spans="2:9" x14ac:dyDescent="0.25">
      <c r="B19">
        <v>1400</v>
      </c>
      <c r="C19">
        <v>23369</v>
      </c>
      <c r="D19">
        <f t="shared" si="0"/>
        <v>374.40899999999999</v>
      </c>
      <c r="E19">
        <f t="shared" si="2"/>
        <v>4.1402152911951422</v>
      </c>
      <c r="F19">
        <f t="shared" si="3"/>
        <v>2070.1076455975713</v>
      </c>
      <c r="G19">
        <f>'Pump Cost Models'!$H$21*5*60+F19</f>
        <v>2691.3576455975713</v>
      </c>
      <c r="H19">
        <f t="shared" si="1"/>
        <v>0.13118946662662379</v>
      </c>
      <c r="I19">
        <f t="shared" si="4"/>
        <v>9.7999999999999972</v>
      </c>
    </row>
    <row r="20" spans="2:9" x14ac:dyDescent="0.25">
      <c r="B20">
        <v>1500</v>
      </c>
      <c r="C20">
        <v>23926</v>
      </c>
      <c r="D20">
        <f t="shared" si="0"/>
        <v>433.4325</v>
      </c>
      <c r="E20">
        <f t="shared" si="2"/>
        <v>4.1402152911951422</v>
      </c>
      <c r="F20">
        <f t="shared" si="3"/>
        <v>2070.1076455975713</v>
      </c>
      <c r="G20">
        <f>'Pump Cost Models'!$H$21*5*60+F20</f>
        <v>2691.3576455975713</v>
      </c>
      <c r="H20">
        <f t="shared" si="1"/>
        <v>0.13060227976249983</v>
      </c>
      <c r="I20">
        <f t="shared" si="4"/>
        <v>9.7999999999999972</v>
      </c>
    </row>
    <row r="21" spans="2:9" x14ac:dyDescent="0.25">
      <c r="B21">
        <v>1600</v>
      </c>
      <c r="C21">
        <v>24453</v>
      </c>
      <c r="D21">
        <f t="shared" si="0"/>
        <v>496.76000000000005</v>
      </c>
      <c r="E21">
        <f t="shared" si="2"/>
        <v>4.1402152911951422</v>
      </c>
      <c r="F21">
        <f t="shared" si="3"/>
        <v>2070.1076455975713</v>
      </c>
      <c r="G21">
        <f>'Pump Cost Models'!$H$21*5*60+F21</f>
        <v>2691.3576455975713</v>
      </c>
      <c r="H21">
        <f t="shared" si="1"/>
        <v>0.13037736251574741</v>
      </c>
      <c r="I21">
        <f t="shared" si="4"/>
        <v>9.7999999999999972</v>
      </c>
    </row>
    <row r="39" spans="2:13" x14ac:dyDescent="0.25">
      <c r="B39" s="3" t="s">
        <v>47</v>
      </c>
    </row>
    <row r="41" spans="2:13" x14ac:dyDescent="0.25">
      <c r="B41" t="s">
        <v>10</v>
      </c>
      <c r="C41" t="s">
        <v>24</v>
      </c>
      <c r="D41" t="s">
        <v>32</v>
      </c>
      <c r="E41" t="s">
        <v>58</v>
      </c>
      <c r="F41" t="s">
        <v>60</v>
      </c>
      <c r="G41" t="s">
        <v>31</v>
      </c>
      <c r="H41" t="s">
        <v>37</v>
      </c>
      <c r="I41" t="s">
        <v>50</v>
      </c>
      <c r="J41" t="s">
        <v>61</v>
      </c>
      <c r="K41" t="s">
        <v>65</v>
      </c>
      <c r="L41" t="s">
        <v>62</v>
      </c>
      <c r="M41" t="s">
        <v>63</v>
      </c>
    </row>
    <row r="42" spans="2:13" x14ac:dyDescent="0.25">
      <c r="B42">
        <v>800</v>
      </c>
      <c r="C42">
        <v>17870</v>
      </c>
      <c r="D42">
        <f t="shared" ref="D42:D54" si="5">0.0002152*B42^2 -  0.033845*B42</f>
        <v>110.65200000000002</v>
      </c>
      <c r="E42">
        <f>(2*60*(4*(10-4))/724.6)</f>
        <v>3.9746066795473363</v>
      </c>
      <c r="F42">
        <f>E42*500</f>
        <v>1987.3033397736681</v>
      </c>
      <c r="G42">
        <f>'Pump Cost Models'!$H$21*4*60+F42</f>
        <v>2484.3033397736681</v>
      </c>
      <c r="H42">
        <f t="shared" ref="H42:H54" si="6">(D42+G42)/C42</f>
        <v>0.1452129457064168</v>
      </c>
      <c r="I42">
        <f>10000*H42</f>
        <v>1452.129457064168</v>
      </c>
      <c r="J42">
        <f>62.9-52</f>
        <v>10.899999999999999</v>
      </c>
      <c r="K42">
        <f>80-66.8</f>
        <v>13.200000000000003</v>
      </c>
      <c r="L42">
        <f t="shared" ref="L42:L54" si="7">500*2*J42</f>
        <v>10899.999999999998</v>
      </c>
    </row>
    <row r="43" spans="2:13" x14ac:dyDescent="0.25">
      <c r="B43">
        <v>900</v>
      </c>
      <c r="C43">
        <v>18679</v>
      </c>
      <c r="D43">
        <f t="shared" si="5"/>
        <v>143.85150000000002</v>
      </c>
      <c r="E43">
        <f t="shared" ref="E43:E54" si="8">(2*60*(4*(10-4))/724.6)</f>
        <v>3.9746066795473363</v>
      </c>
      <c r="F43">
        <f t="shared" ref="F43:F54" si="9">E43*500</f>
        <v>1987.3033397736681</v>
      </c>
      <c r="G43">
        <f>'Pump Cost Models'!$H$21*4*60+F43</f>
        <v>2484.3033397736681</v>
      </c>
      <c r="H43">
        <f t="shared" si="6"/>
        <v>0.14070104608242776</v>
      </c>
      <c r="I43">
        <f t="shared" ref="I43:I54" si="10">10000*H43</f>
        <v>1407.0104608242775</v>
      </c>
      <c r="J43">
        <f t="shared" ref="J43:J54" si="11">62.9-52</f>
        <v>10.899999999999999</v>
      </c>
      <c r="K43">
        <f t="shared" ref="K43:K54" si="12">80-66.8</f>
        <v>13.200000000000003</v>
      </c>
      <c r="L43">
        <f t="shared" si="7"/>
        <v>10899.999999999998</v>
      </c>
    </row>
    <row r="44" spans="2:13" x14ac:dyDescent="0.25">
      <c r="B44">
        <v>1000</v>
      </c>
      <c r="C44">
        <v>19410</v>
      </c>
      <c r="D44">
        <f t="shared" si="5"/>
        <v>181.35499999999999</v>
      </c>
      <c r="E44">
        <f t="shared" si="8"/>
        <v>3.9746066795473363</v>
      </c>
      <c r="F44">
        <f t="shared" si="9"/>
        <v>1987.3033397736681</v>
      </c>
      <c r="G44">
        <f>'Pump Cost Models'!$H$21*4*60+F44</f>
        <v>2484.3033397736681</v>
      </c>
      <c r="H44">
        <f t="shared" si="6"/>
        <v>0.13733427819544916</v>
      </c>
      <c r="I44">
        <f t="shared" si="10"/>
        <v>1373.3427819544916</v>
      </c>
      <c r="J44">
        <f t="shared" si="11"/>
        <v>10.899999999999999</v>
      </c>
      <c r="K44">
        <f t="shared" si="12"/>
        <v>13.200000000000003</v>
      </c>
      <c r="L44">
        <f t="shared" si="7"/>
        <v>10899.999999999998</v>
      </c>
    </row>
    <row r="45" spans="2:13" x14ac:dyDescent="0.25">
      <c r="B45">
        <v>1100</v>
      </c>
      <c r="C45">
        <v>20079</v>
      </c>
      <c r="D45">
        <f t="shared" si="5"/>
        <v>223.16249999999999</v>
      </c>
      <c r="E45">
        <f t="shared" si="8"/>
        <v>3.9746066795473363</v>
      </c>
      <c r="F45">
        <f t="shared" si="9"/>
        <v>1987.3033397736681</v>
      </c>
      <c r="G45">
        <f>'Pump Cost Models'!$H$21*4*60+F45</f>
        <v>2484.3033397736681</v>
      </c>
      <c r="H45">
        <f t="shared" si="6"/>
        <v>0.13484067133690264</v>
      </c>
      <c r="I45">
        <f t="shared" si="10"/>
        <v>1348.4067133690264</v>
      </c>
      <c r="J45">
        <f t="shared" si="11"/>
        <v>10.899999999999999</v>
      </c>
      <c r="K45">
        <f t="shared" si="12"/>
        <v>13.200000000000003</v>
      </c>
      <c r="L45">
        <f t="shared" si="7"/>
        <v>10899.999999999998</v>
      </c>
    </row>
    <row r="46" spans="2:13" x14ac:dyDescent="0.25">
      <c r="B46">
        <v>1200</v>
      </c>
      <c r="C46">
        <v>20696</v>
      </c>
      <c r="D46">
        <f t="shared" si="5"/>
        <v>269.274</v>
      </c>
      <c r="E46">
        <f t="shared" si="8"/>
        <v>3.9746066795473363</v>
      </c>
      <c r="F46">
        <f t="shared" si="9"/>
        <v>1987.3033397736681</v>
      </c>
      <c r="G46">
        <f>'Pump Cost Models'!$H$21*4*60+F46</f>
        <v>2484.3033397736681</v>
      </c>
      <c r="H46">
        <f t="shared" si="6"/>
        <v>0.13304876979965538</v>
      </c>
      <c r="I46">
        <f t="shared" si="10"/>
        <v>1330.4876979965538</v>
      </c>
      <c r="J46">
        <f t="shared" si="11"/>
        <v>10.899999999999999</v>
      </c>
      <c r="K46">
        <f t="shared" si="12"/>
        <v>13.200000000000003</v>
      </c>
      <c r="L46">
        <f t="shared" si="7"/>
        <v>10899.999999999998</v>
      </c>
    </row>
    <row r="47" spans="2:13" x14ac:dyDescent="0.25">
      <c r="B47">
        <v>1300</v>
      </c>
      <c r="C47">
        <v>21269</v>
      </c>
      <c r="D47">
        <f t="shared" si="5"/>
        <v>319.68950000000001</v>
      </c>
      <c r="E47">
        <f t="shared" si="8"/>
        <v>3.9746066795473363</v>
      </c>
      <c r="F47">
        <f t="shared" si="9"/>
        <v>1987.3033397736681</v>
      </c>
      <c r="G47">
        <f>'Pump Cost Models'!$H$21*4*60+F47</f>
        <v>2484.3033397736681</v>
      </c>
      <c r="H47">
        <f t="shared" si="6"/>
        <v>0.13183472846742528</v>
      </c>
      <c r="I47">
        <f t="shared" si="10"/>
        <v>1318.3472846742527</v>
      </c>
      <c r="J47">
        <f t="shared" si="11"/>
        <v>10.899999999999999</v>
      </c>
      <c r="K47">
        <f t="shared" si="12"/>
        <v>13.200000000000003</v>
      </c>
      <c r="L47">
        <f t="shared" si="7"/>
        <v>10899.999999999998</v>
      </c>
    </row>
    <row r="48" spans="2:13" x14ac:dyDescent="0.25">
      <c r="B48">
        <v>1400</v>
      </c>
      <c r="C48">
        <v>21806</v>
      </c>
      <c r="D48">
        <f t="shared" si="5"/>
        <v>374.40899999999999</v>
      </c>
      <c r="E48">
        <f t="shared" si="8"/>
        <v>3.9746066795473363</v>
      </c>
      <c r="F48">
        <f t="shared" si="9"/>
        <v>1987.3033397736681</v>
      </c>
      <c r="G48">
        <f>'Pump Cost Models'!$H$21*4*60+F48</f>
        <v>2484.3033397736681</v>
      </c>
      <c r="H48">
        <f t="shared" si="6"/>
        <v>0.13109751168364983</v>
      </c>
      <c r="I48">
        <f t="shared" si="10"/>
        <v>1310.9751168364983</v>
      </c>
      <c r="J48">
        <f t="shared" si="11"/>
        <v>10.899999999999999</v>
      </c>
      <c r="K48">
        <f t="shared" si="12"/>
        <v>13.200000000000003</v>
      </c>
      <c r="L48">
        <f t="shared" si="7"/>
        <v>10899.999999999998</v>
      </c>
    </row>
    <row r="49" spans="2:12" x14ac:dyDescent="0.25">
      <c r="B49">
        <v>1500</v>
      </c>
      <c r="C49">
        <v>22310</v>
      </c>
      <c r="D49">
        <f t="shared" si="5"/>
        <v>433.4325</v>
      </c>
      <c r="E49">
        <f t="shared" si="8"/>
        <v>3.9746066795473363</v>
      </c>
      <c r="F49">
        <f t="shared" si="9"/>
        <v>1987.3033397736681</v>
      </c>
      <c r="G49">
        <f>'Pump Cost Models'!$H$21*4*60+F49</f>
        <v>2484.3033397736681</v>
      </c>
      <c r="H49">
        <f t="shared" si="6"/>
        <v>0.13078152576305102</v>
      </c>
      <c r="I49">
        <f t="shared" si="10"/>
        <v>1307.8152576305101</v>
      </c>
      <c r="J49">
        <f t="shared" si="11"/>
        <v>10.899999999999999</v>
      </c>
      <c r="K49">
        <f t="shared" si="12"/>
        <v>13.200000000000003</v>
      </c>
      <c r="L49">
        <f t="shared" si="7"/>
        <v>10899.999999999998</v>
      </c>
    </row>
    <row r="50" spans="2:12" x14ac:dyDescent="0.25">
      <c r="B50">
        <v>1600</v>
      </c>
      <c r="C50">
        <v>22785</v>
      </c>
      <c r="D50">
        <f t="shared" si="5"/>
        <v>496.76000000000005</v>
      </c>
      <c r="E50">
        <f t="shared" si="8"/>
        <v>3.9746066795473363</v>
      </c>
      <c r="F50">
        <f t="shared" si="9"/>
        <v>1987.3033397736681</v>
      </c>
      <c r="G50">
        <f>'Pump Cost Models'!$H$21*4*60+F50</f>
        <v>2484.3033397736681</v>
      </c>
      <c r="H50">
        <f t="shared" si="6"/>
        <v>0.13083446740283819</v>
      </c>
      <c r="I50">
        <f t="shared" si="10"/>
        <v>1308.3446740283819</v>
      </c>
      <c r="J50">
        <f t="shared" si="11"/>
        <v>10.899999999999999</v>
      </c>
      <c r="K50">
        <f t="shared" si="12"/>
        <v>13.200000000000003</v>
      </c>
      <c r="L50">
        <f t="shared" si="7"/>
        <v>10899.999999999998</v>
      </c>
    </row>
    <row r="51" spans="2:12" x14ac:dyDescent="0.25">
      <c r="B51">
        <v>1700</v>
      </c>
      <c r="C51">
        <v>23235</v>
      </c>
      <c r="D51">
        <f t="shared" si="5"/>
        <v>564.39149999999995</v>
      </c>
      <c r="E51">
        <f t="shared" si="8"/>
        <v>3.9746066795473363</v>
      </c>
      <c r="F51">
        <f t="shared" si="9"/>
        <v>1987.3033397736681</v>
      </c>
      <c r="G51">
        <f>'Pump Cost Models'!$H$21*4*60+F51</f>
        <v>2484.3033397736681</v>
      </c>
      <c r="H51">
        <f t="shared" si="6"/>
        <v>0.1312113122347178</v>
      </c>
      <c r="I51">
        <f t="shared" si="10"/>
        <v>1312.113122347178</v>
      </c>
      <c r="J51">
        <f t="shared" si="11"/>
        <v>10.899999999999999</v>
      </c>
      <c r="K51">
        <f t="shared" si="12"/>
        <v>13.200000000000003</v>
      </c>
      <c r="L51">
        <f t="shared" si="7"/>
        <v>10899.999999999998</v>
      </c>
    </row>
    <row r="52" spans="2:12" x14ac:dyDescent="0.25">
      <c r="B52">
        <v>1800</v>
      </c>
      <c r="C52">
        <v>23662</v>
      </c>
      <c r="D52">
        <f t="shared" si="5"/>
        <v>636.327</v>
      </c>
      <c r="E52">
        <f t="shared" si="8"/>
        <v>3.9746066795473363</v>
      </c>
      <c r="F52">
        <f t="shared" si="9"/>
        <v>1987.3033397736681</v>
      </c>
      <c r="G52">
        <f>'Pump Cost Models'!$H$21*4*60+F52</f>
        <v>2484.3033397736681</v>
      </c>
      <c r="H52">
        <f t="shared" si="6"/>
        <v>0.13188362521230954</v>
      </c>
      <c r="I52">
        <f t="shared" si="10"/>
        <v>1318.8362521230954</v>
      </c>
      <c r="J52">
        <f t="shared" si="11"/>
        <v>10.899999999999999</v>
      </c>
      <c r="K52">
        <f t="shared" si="12"/>
        <v>13.200000000000003</v>
      </c>
      <c r="L52">
        <f t="shared" si="7"/>
        <v>10899.999999999998</v>
      </c>
    </row>
    <row r="53" spans="2:12" x14ac:dyDescent="0.25">
      <c r="B53">
        <v>1900</v>
      </c>
      <c r="C53">
        <v>24068</v>
      </c>
      <c r="D53">
        <f t="shared" si="5"/>
        <v>712.56649999999991</v>
      </c>
      <c r="E53">
        <f t="shared" si="8"/>
        <v>3.9746066795473363</v>
      </c>
      <c r="F53">
        <f t="shared" si="9"/>
        <v>1987.3033397736681</v>
      </c>
      <c r="G53">
        <f>'Pump Cost Models'!$H$21*4*60+F53</f>
        <v>2484.3033397736681</v>
      </c>
      <c r="H53">
        <f t="shared" si="6"/>
        <v>0.13282656804776749</v>
      </c>
      <c r="I53">
        <f t="shared" si="10"/>
        <v>1328.265680477675</v>
      </c>
      <c r="J53">
        <f t="shared" si="11"/>
        <v>10.899999999999999</v>
      </c>
      <c r="K53">
        <f t="shared" si="12"/>
        <v>13.200000000000003</v>
      </c>
      <c r="L53">
        <f t="shared" si="7"/>
        <v>10899.999999999998</v>
      </c>
    </row>
    <row r="54" spans="2:12" x14ac:dyDescent="0.25">
      <c r="B54">
        <v>2000</v>
      </c>
      <c r="C54">
        <v>24455</v>
      </c>
      <c r="D54">
        <f t="shared" si="5"/>
        <v>793.1099999999999</v>
      </c>
      <c r="E54">
        <f t="shared" si="8"/>
        <v>3.9746066795473363</v>
      </c>
      <c r="F54">
        <f t="shared" si="9"/>
        <v>1987.3033397736681</v>
      </c>
      <c r="G54">
        <f>'Pump Cost Models'!$H$21*4*60+F54</f>
        <v>2484.3033397736681</v>
      </c>
      <c r="H54">
        <f t="shared" si="6"/>
        <v>0.13401812879875968</v>
      </c>
      <c r="I54">
        <f t="shared" si="10"/>
        <v>1340.1812879875968</v>
      </c>
      <c r="J54">
        <f t="shared" si="11"/>
        <v>10.899999999999999</v>
      </c>
      <c r="K54">
        <f t="shared" si="12"/>
        <v>13.200000000000003</v>
      </c>
      <c r="L54">
        <f t="shared" si="7"/>
        <v>10899.999999999998</v>
      </c>
    </row>
    <row r="72" spans="2:13" x14ac:dyDescent="0.25">
      <c r="B72" s="3" t="s">
        <v>48</v>
      </c>
    </row>
    <row r="74" spans="2:13" x14ac:dyDescent="0.25">
      <c r="B74" t="s">
        <v>10</v>
      </c>
      <c r="C74" t="s">
        <v>24</v>
      </c>
      <c r="D74" t="s">
        <v>32</v>
      </c>
      <c r="E74" t="s">
        <v>58</v>
      </c>
      <c r="F74" t="s">
        <v>60</v>
      </c>
      <c r="G74" t="s">
        <v>31</v>
      </c>
      <c r="H74" t="s">
        <v>37</v>
      </c>
      <c r="I74" t="s">
        <v>50</v>
      </c>
      <c r="J74" t="s">
        <v>61</v>
      </c>
      <c r="K74" t="s">
        <v>65</v>
      </c>
      <c r="L74" t="s">
        <v>62</v>
      </c>
      <c r="M74" t="s">
        <v>63</v>
      </c>
    </row>
    <row r="75" spans="2:13" x14ac:dyDescent="0.25">
      <c r="B75">
        <v>800</v>
      </c>
      <c r="C75">
        <v>16352</v>
      </c>
      <c r="D75">
        <f t="shared" ref="D75:D86" si="13">0.0002152*B75^2 -  0.033845*B75</f>
        <v>110.65200000000002</v>
      </c>
      <c r="E75">
        <f>(2*60*(3*(10-3))/724.6)</f>
        <v>3.4777808446039193</v>
      </c>
      <c r="F75">
        <f>E75*500</f>
        <v>1738.8904223019597</v>
      </c>
      <c r="G75">
        <f>'Pump Cost Models'!$H$21*3*60+F75</f>
        <v>2111.6404223019599</v>
      </c>
      <c r="H75">
        <f t="shared" ref="H75:H86" si="14">(D75+G75)/C75</f>
        <v>0.13590340155956213</v>
      </c>
      <c r="I75">
        <f>10000*H75</f>
        <v>1359.0340155956212</v>
      </c>
      <c r="J75">
        <f>65.2-52</f>
        <v>13.200000000000003</v>
      </c>
      <c r="K75">
        <f>80-67.6</f>
        <v>12.400000000000006</v>
      </c>
      <c r="L75">
        <f t="shared" ref="L75:L86" si="15">500*2*J75</f>
        <v>13200.000000000004</v>
      </c>
    </row>
    <row r="76" spans="2:13" x14ac:dyDescent="0.25">
      <c r="B76">
        <v>900</v>
      </c>
      <c r="C76">
        <v>17056</v>
      </c>
      <c r="D76">
        <f t="shared" si="13"/>
        <v>143.85150000000002</v>
      </c>
      <c r="E76">
        <f t="shared" ref="E76:E86" si="16">(2*60*(3*(10-3))/724.6)</f>
        <v>3.4777808446039193</v>
      </c>
      <c r="F76">
        <f t="shared" ref="F76:F86" si="17">E76*500</f>
        <v>1738.8904223019597</v>
      </c>
      <c r="G76">
        <f>'Pump Cost Models'!$H$21*3*60+F76</f>
        <v>2111.6404223019599</v>
      </c>
      <c r="H76">
        <f t="shared" si="14"/>
        <v>0.13224038005991792</v>
      </c>
      <c r="I76">
        <f t="shared" ref="I76:I86" si="18">10000*H76</f>
        <v>1322.4038005991792</v>
      </c>
      <c r="J76">
        <f>65.2-52</f>
        <v>13.200000000000003</v>
      </c>
      <c r="K76">
        <f t="shared" ref="K76:K86" si="19">80-67.6</f>
        <v>12.400000000000006</v>
      </c>
      <c r="L76">
        <f t="shared" si="15"/>
        <v>13200.000000000004</v>
      </c>
    </row>
    <row r="77" spans="2:13" x14ac:dyDescent="0.25">
      <c r="B77">
        <v>1000</v>
      </c>
      <c r="C77">
        <v>17693</v>
      </c>
      <c r="D77">
        <f t="shared" si="13"/>
        <v>181.35499999999999</v>
      </c>
      <c r="E77">
        <f t="shared" si="16"/>
        <v>3.4777808446039193</v>
      </c>
      <c r="F77">
        <f t="shared" si="17"/>
        <v>1738.8904223019597</v>
      </c>
      <c r="G77">
        <f>'Pump Cost Models'!$H$21*3*60+F77</f>
        <v>2111.6404223019599</v>
      </c>
      <c r="H77">
        <f t="shared" si="14"/>
        <v>0.12959901782071778</v>
      </c>
      <c r="I77">
        <f t="shared" si="18"/>
        <v>1295.9901782071779</v>
      </c>
      <c r="J77">
        <f t="shared" ref="J77:J86" si="20">65.2-52</f>
        <v>13.200000000000003</v>
      </c>
      <c r="K77">
        <f t="shared" si="19"/>
        <v>12.400000000000006</v>
      </c>
      <c r="L77">
        <f t="shared" si="15"/>
        <v>13200.000000000004</v>
      </c>
    </row>
    <row r="78" spans="2:13" x14ac:dyDescent="0.25">
      <c r="B78">
        <v>1100</v>
      </c>
      <c r="C78">
        <v>18273</v>
      </c>
      <c r="D78">
        <f t="shared" si="13"/>
        <v>223.16249999999999</v>
      </c>
      <c r="E78">
        <f t="shared" si="16"/>
        <v>3.4777808446039193</v>
      </c>
      <c r="F78">
        <f t="shared" si="17"/>
        <v>1738.8904223019597</v>
      </c>
      <c r="G78">
        <f>'Pump Cost Models'!$H$21*3*60+F78</f>
        <v>2111.6404223019599</v>
      </c>
      <c r="H78">
        <f t="shared" si="14"/>
        <v>0.12777337723975044</v>
      </c>
      <c r="I78">
        <f t="shared" si="18"/>
        <v>1277.7337723975043</v>
      </c>
      <c r="J78">
        <f t="shared" si="20"/>
        <v>13.200000000000003</v>
      </c>
      <c r="K78">
        <f t="shared" si="19"/>
        <v>12.400000000000006</v>
      </c>
      <c r="L78">
        <f t="shared" si="15"/>
        <v>13200.000000000004</v>
      </c>
    </row>
    <row r="79" spans="2:13" x14ac:dyDescent="0.25">
      <c r="B79">
        <v>1200</v>
      </c>
      <c r="C79">
        <v>18808</v>
      </c>
      <c r="D79">
        <f t="shared" si="13"/>
        <v>269.274</v>
      </c>
      <c r="E79">
        <f t="shared" si="16"/>
        <v>3.4777808446039193</v>
      </c>
      <c r="F79">
        <f t="shared" si="17"/>
        <v>1738.8904223019597</v>
      </c>
      <c r="G79">
        <f>'Pump Cost Models'!$H$21*3*60+F79</f>
        <v>2111.6404223019599</v>
      </c>
      <c r="H79">
        <f t="shared" si="14"/>
        <v>0.12659051586037642</v>
      </c>
      <c r="I79">
        <f t="shared" si="18"/>
        <v>1265.9051586037642</v>
      </c>
      <c r="J79">
        <f t="shared" si="20"/>
        <v>13.200000000000003</v>
      </c>
      <c r="K79">
        <f t="shared" si="19"/>
        <v>12.400000000000006</v>
      </c>
      <c r="L79">
        <f t="shared" si="15"/>
        <v>13200.000000000004</v>
      </c>
    </row>
    <row r="80" spans="2:13" x14ac:dyDescent="0.25">
      <c r="B80">
        <v>1300</v>
      </c>
      <c r="C80">
        <v>19302</v>
      </c>
      <c r="D80">
        <f t="shared" si="13"/>
        <v>319.68950000000001</v>
      </c>
      <c r="E80">
        <f t="shared" si="16"/>
        <v>3.4777808446039193</v>
      </c>
      <c r="F80">
        <f t="shared" si="17"/>
        <v>1738.8904223019597</v>
      </c>
      <c r="G80">
        <f>'Pump Cost Models'!$H$21*3*60+F80</f>
        <v>2111.6404223019599</v>
      </c>
      <c r="H80">
        <f t="shared" si="14"/>
        <v>0.12596259052439954</v>
      </c>
      <c r="I80">
        <f t="shared" si="18"/>
        <v>1259.6259052439955</v>
      </c>
      <c r="J80">
        <f t="shared" si="20"/>
        <v>13.200000000000003</v>
      </c>
      <c r="K80">
        <f t="shared" si="19"/>
        <v>12.400000000000006</v>
      </c>
      <c r="L80">
        <f t="shared" si="15"/>
        <v>13200.000000000004</v>
      </c>
    </row>
    <row r="81" spans="2:12" x14ac:dyDescent="0.25">
      <c r="B81">
        <v>1400</v>
      </c>
      <c r="C81">
        <v>19763</v>
      </c>
      <c r="D81">
        <f t="shared" si="13"/>
        <v>374.40899999999999</v>
      </c>
      <c r="E81">
        <f t="shared" si="16"/>
        <v>3.4777808446039193</v>
      </c>
      <c r="F81">
        <f t="shared" si="17"/>
        <v>1738.8904223019597</v>
      </c>
      <c r="G81">
        <f>'Pump Cost Models'!$H$21*3*60+F81</f>
        <v>2111.6404223019599</v>
      </c>
      <c r="H81">
        <f t="shared" si="14"/>
        <v>0.12579311958214642</v>
      </c>
      <c r="I81">
        <f t="shared" si="18"/>
        <v>1257.9311958214641</v>
      </c>
      <c r="J81">
        <f t="shared" si="20"/>
        <v>13.200000000000003</v>
      </c>
      <c r="K81">
        <f t="shared" si="19"/>
        <v>12.400000000000006</v>
      </c>
      <c r="L81">
        <f t="shared" si="15"/>
        <v>13200.000000000004</v>
      </c>
    </row>
    <row r="82" spans="2:12" x14ac:dyDescent="0.25">
      <c r="B82">
        <v>1500</v>
      </c>
      <c r="C82">
        <v>20193</v>
      </c>
      <c r="D82">
        <f t="shared" si="13"/>
        <v>433.4325</v>
      </c>
      <c r="E82">
        <f t="shared" si="16"/>
        <v>3.4777808446039193</v>
      </c>
      <c r="F82">
        <f t="shared" si="17"/>
        <v>1738.8904223019597</v>
      </c>
      <c r="G82">
        <f>'Pump Cost Models'!$H$21*3*60+F82</f>
        <v>2111.6404223019599</v>
      </c>
      <c r="H82">
        <f t="shared" si="14"/>
        <v>0.12603738534650422</v>
      </c>
      <c r="I82">
        <f t="shared" si="18"/>
        <v>1260.3738534650422</v>
      </c>
      <c r="J82">
        <f t="shared" si="20"/>
        <v>13.200000000000003</v>
      </c>
      <c r="K82">
        <f t="shared" si="19"/>
        <v>12.400000000000006</v>
      </c>
      <c r="L82">
        <f t="shared" si="15"/>
        <v>13200.000000000004</v>
      </c>
    </row>
    <row r="83" spans="2:12" x14ac:dyDescent="0.25">
      <c r="B83">
        <v>1600</v>
      </c>
      <c r="C83">
        <v>20596</v>
      </c>
      <c r="D83">
        <f t="shared" si="13"/>
        <v>496.76000000000005</v>
      </c>
      <c r="E83">
        <f t="shared" si="16"/>
        <v>3.4777808446039193</v>
      </c>
      <c r="F83">
        <f t="shared" si="17"/>
        <v>1738.8904223019597</v>
      </c>
      <c r="G83">
        <f>'Pump Cost Models'!$H$21*3*60+F83</f>
        <v>2111.6404223019599</v>
      </c>
      <c r="H83">
        <f t="shared" si="14"/>
        <v>0.12664597117410956</v>
      </c>
      <c r="I83">
        <f t="shared" si="18"/>
        <v>1266.4597117410956</v>
      </c>
      <c r="J83">
        <f t="shared" si="20"/>
        <v>13.200000000000003</v>
      </c>
      <c r="K83">
        <f t="shared" si="19"/>
        <v>12.400000000000006</v>
      </c>
      <c r="L83">
        <f t="shared" si="15"/>
        <v>13200.000000000004</v>
      </c>
    </row>
    <row r="84" spans="2:12" x14ac:dyDescent="0.25">
      <c r="B84">
        <v>1700</v>
      </c>
      <c r="C84">
        <v>20975</v>
      </c>
      <c r="D84">
        <f t="shared" si="13"/>
        <v>564.39149999999995</v>
      </c>
      <c r="E84">
        <f>(2*60*(3*(10-3))/724.6)</f>
        <v>3.4777808446039193</v>
      </c>
      <c r="F84">
        <f t="shared" si="17"/>
        <v>1738.8904223019597</v>
      </c>
      <c r="G84">
        <f>'Pump Cost Models'!$H$21*3*60+F84</f>
        <v>2111.6404223019599</v>
      </c>
      <c r="H84">
        <f t="shared" si="14"/>
        <v>0.12758197484157138</v>
      </c>
      <c r="I84">
        <f t="shared" si="18"/>
        <v>1275.8197484157138</v>
      </c>
      <c r="J84">
        <f t="shared" si="20"/>
        <v>13.200000000000003</v>
      </c>
      <c r="K84">
        <f t="shared" si="19"/>
        <v>12.400000000000006</v>
      </c>
      <c r="L84">
        <f t="shared" si="15"/>
        <v>13200.000000000004</v>
      </c>
    </row>
    <row r="85" spans="2:12" x14ac:dyDescent="0.25">
      <c r="B85">
        <v>1800</v>
      </c>
      <c r="C85">
        <v>21332</v>
      </c>
      <c r="D85">
        <f t="shared" si="13"/>
        <v>636.327</v>
      </c>
      <c r="E85">
        <f t="shared" si="16"/>
        <v>3.4777808446039193</v>
      </c>
      <c r="F85">
        <f t="shared" si="17"/>
        <v>1738.8904223019597</v>
      </c>
      <c r="G85">
        <f>'Pump Cost Models'!$H$21*3*60+F85</f>
        <v>2111.6404223019599</v>
      </c>
      <c r="H85">
        <f t="shared" si="14"/>
        <v>0.12881902410941121</v>
      </c>
      <c r="I85">
        <f t="shared" si="18"/>
        <v>1288.190241094112</v>
      </c>
      <c r="J85">
        <f t="shared" si="20"/>
        <v>13.200000000000003</v>
      </c>
      <c r="K85">
        <f t="shared" si="19"/>
        <v>12.400000000000006</v>
      </c>
      <c r="L85">
        <f t="shared" si="15"/>
        <v>13200.000000000004</v>
      </c>
    </row>
    <row r="86" spans="2:12" x14ac:dyDescent="0.25">
      <c r="B86">
        <v>1900</v>
      </c>
      <c r="C86">
        <v>21669</v>
      </c>
      <c r="D86">
        <f t="shared" si="13"/>
        <v>712.56649999999991</v>
      </c>
      <c r="E86">
        <f t="shared" si="16"/>
        <v>3.4777808446039193</v>
      </c>
      <c r="F86">
        <f t="shared" si="17"/>
        <v>1738.8904223019597</v>
      </c>
      <c r="G86">
        <f>'Pump Cost Models'!$H$21*3*60+F86</f>
        <v>2111.6404223019599</v>
      </c>
      <c r="H86">
        <f t="shared" si="14"/>
        <v>0.13033397583192394</v>
      </c>
      <c r="I86">
        <f t="shared" si="18"/>
        <v>1303.3397583192393</v>
      </c>
      <c r="J86">
        <f t="shared" si="20"/>
        <v>13.200000000000003</v>
      </c>
      <c r="K86">
        <f t="shared" si="19"/>
        <v>12.400000000000006</v>
      </c>
      <c r="L86">
        <f t="shared" si="15"/>
        <v>13200.000000000004</v>
      </c>
    </row>
    <row r="104" spans="2:13" x14ac:dyDescent="0.25">
      <c r="B104" s="3" t="s">
        <v>49</v>
      </c>
    </row>
    <row r="106" spans="2:13" x14ac:dyDescent="0.25">
      <c r="B106" t="s">
        <v>10</v>
      </c>
      <c r="C106" t="s">
        <v>24</v>
      </c>
      <c r="D106" t="s">
        <v>32</v>
      </c>
      <c r="E106" t="s">
        <v>58</v>
      </c>
      <c r="F106" t="s">
        <v>60</v>
      </c>
      <c r="G106" t="s">
        <v>31</v>
      </c>
      <c r="H106" t="s">
        <v>37</v>
      </c>
      <c r="I106" t="s">
        <v>50</v>
      </c>
      <c r="J106" t="s">
        <v>64</v>
      </c>
      <c r="K106" t="s">
        <v>65</v>
      </c>
      <c r="L106" t="s">
        <v>62</v>
      </c>
      <c r="M106" t="s">
        <v>63</v>
      </c>
    </row>
    <row r="107" spans="2:13" x14ac:dyDescent="0.25">
      <c r="B107">
        <v>800</v>
      </c>
      <c r="C107">
        <v>14176</v>
      </c>
      <c r="D107">
        <f t="shared" ref="D107:D119" si="21">0.0002152*B107^2 -  0.033845*B107</f>
        <v>110.65200000000002</v>
      </c>
      <c r="E107">
        <f>(2*60*(2*(10-2))/724.6)</f>
        <v>2.649737786364891</v>
      </c>
      <c r="F107">
        <f>E107*500</f>
        <v>1324.8688931824454</v>
      </c>
      <c r="G107">
        <f>'Pump Cost Models'!$H$21*2*60+F107</f>
        <v>1573.3688931824454</v>
      </c>
      <c r="H107">
        <f t="shared" ref="H107:H119" si="22">(D107+G107)/C107</f>
        <v>0.1187937988983102</v>
      </c>
      <c r="I107">
        <f>10000*H107</f>
        <v>1187.9379889831021</v>
      </c>
      <c r="J107">
        <f>68.8-52</f>
        <v>16.799999999999997</v>
      </c>
      <c r="K107">
        <f t="shared" ref="K107:K119" si="23">80-69.1</f>
        <v>10.900000000000006</v>
      </c>
      <c r="L107">
        <f t="shared" ref="L107:L119" si="24">500*2*J107</f>
        <v>16799.999999999996</v>
      </c>
    </row>
    <row r="108" spans="2:13" x14ac:dyDescent="0.25">
      <c r="B108">
        <v>900</v>
      </c>
      <c r="C108">
        <v>14734</v>
      </c>
      <c r="D108">
        <f t="shared" si="21"/>
        <v>143.85150000000002</v>
      </c>
      <c r="E108">
        <f t="shared" ref="E108:E119" si="25">(2*60*(2*(10-2))/724.6)</f>
        <v>2.649737786364891</v>
      </c>
      <c r="F108">
        <f t="shared" ref="F108:F119" si="26">E108*500</f>
        <v>1324.8688931824454</v>
      </c>
      <c r="G108">
        <f>'Pump Cost Models'!$H$21*2*60+F108</f>
        <v>1573.3688931824454</v>
      </c>
      <c r="H108">
        <f t="shared" si="22"/>
        <v>0.11654814667995421</v>
      </c>
      <c r="I108">
        <f t="shared" ref="I108:I119" si="27">10000*H108</f>
        <v>1165.4814667995422</v>
      </c>
      <c r="J108">
        <f t="shared" ref="J108:J119" si="28">68.8-52</f>
        <v>16.799999999999997</v>
      </c>
      <c r="K108">
        <f t="shared" si="23"/>
        <v>10.900000000000006</v>
      </c>
      <c r="L108">
        <f t="shared" si="24"/>
        <v>16799.999999999996</v>
      </c>
    </row>
    <row r="109" spans="2:13" x14ac:dyDescent="0.25">
      <c r="B109">
        <v>1000</v>
      </c>
      <c r="C109">
        <v>15232</v>
      </c>
      <c r="D109">
        <f t="shared" si="21"/>
        <v>181.35499999999999</v>
      </c>
      <c r="E109">
        <f t="shared" si="25"/>
        <v>2.649737786364891</v>
      </c>
      <c r="F109">
        <f t="shared" si="26"/>
        <v>1324.8688931824454</v>
      </c>
      <c r="G109">
        <f>'Pump Cost Models'!$H$21*2*60+F109</f>
        <v>1573.3688931824454</v>
      </c>
      <c r="H109">
        <f t="shared" si="22"/>
        <v>0.11519983542426769</v>
      </c>
      <c r="I109">
        <f t="shared" si="27"/>
        <v>1151.9983542426769</v>
      </c>
      <c r="J109">
        <f t="shared" si="28"/>
        <v>16.799999999999997</v>
      </c>
      <c r="K109">
        <f t="shared" si="23"/>
        <v>10.900000000000006</v>
      </c>
      <c r="L109">
        <f t="shared" si="24"/>
        <v>16799.999999999996</v>
      </c>
    </row>
    <row r="110" spans="2:13" x14ac:dyDescent="0.25">
      <c r="B110">
        <v>1100</v>
      </c>
      <c r="C110">
        <v>15681</v>
      </c>
      <c r="D110">
        <f t="shared" si="21"/>
        <v>223.16249999999999</v>
      </c>
      <c r="E110">
        <f t="shared" si="25"/>
        <v>2.649737786364891</v>
      </c>
      <c r="F110">
        <f t="shared" si="26"/>
        <v>1324.8688931824454</v>
      </c>
      <c r="G110">
        <f>'Pump Cost Models'!$H$21*2*60+F110</f>
        <v>1573.3688931824454</v>
      </c>
      <c r="H110">
        <f t="shared" si="22"/>
        <v>0.11456739960349756</v>
      </c>
      <c r="I110">
        <f t="shared" si="27"/>
        <v>1145.6739960349755</v>
      </c>
      <c r="J110">
        <f t="shared" si="28"/>
        <v>16.799999999999997</v>
      </c>
      <c r="K110">
        <f t="shared" si="23"/>
        <v>10.900000000000006</v>
      </c>
      <c r="L110">
        <f t="shared" si="24"/>
        <v>16799.999999999996</v>
      </c>
    </row>
    <row r="111" spans="2:13" x14ac:dyDescent="0.25">
      <c r="B111">
        <v>1200</v>
      </c>
      <c r="C111">
        <v>16089</v>
      </c>
      <c r="D111">
        <f t="shared" si="21"/>
        <v>269.274</v>
      </c>
      <c r="E111">
        <f t="shared" si="25"/>
        <v>2.649737786364891</v>
      </c>
      <c r="F111">
        <f t="shared" si="26"/>
        <v>1324.8688931824454</v>
      </c>
      <c r="G111">
        <f>'Pump Cost Models'!$H$21*2*60+F111</f>
        <v>1573.3688931824454</v>
      </c>
      <c r="H111">
        <f t="shared" si="22"/>
        <v>0.11452811816660111</v>
      </c>
      <c r="I111">
        <f t="shared" si="27"/>
        <v>1145.281181666011</v>
      </c>
      <c r="J111">
        <f t="shared" si="28"/>
        <v>16.799999999999997</v>
      </c>
      <c r="K111">
        <f t="shared" si="23"/>
        <v>10.900000000000006</v>
      </c>
      <c r="L111">
        <f t="shared" si="24"/>
        <v>16799.999999999996</v>
      </c>
    </row>
    <row r="112" spans="2:13" x14ac:dyDescent="0.25">
      <c r="B112">
        <v>1300</v>
      </c>
      <c r="C112">
        <v>16461</v>
      </c>
      <c r="D112">
        <f t="shared" si="21"/>
        <v>319.68950000000001</v>
      </c>
      <c r="E112">
        <f t="shared" si="25"/>
        <v>2.649737786364891</v>
      </c>
      <c r="F112">
        <f t="shared" si="26"/>
        <v>1324.8688931824454</v>
      </c>
      <c r="G112">
        <f>'Pump Cost Models'!$H$21*2*60+F112</f>
        <v>1573.3688931824454</v>
      </c>
      <c r="H112">
        <f t="shared" si="22"/>
        <v>0.11500263612067586</v>
      </c>
      <c r="I112">
        <f t="shared" si="27"/>
        <v>1150.0263612067586</v>
      </c>
      <c r="J112">
        <f t="shared" si="28"/>
        <v>16.799999999999997</v>
      </c>
      <c r="K112">
        <f t="shared" si="23"/>
        <v>10.900000000000006</v>
      </c>
      <c r="L112">
        <f t="shared" si="24"/>
        <v>16799.999999999996</v>
      </c>
    </row>
    <row r="113" spans="2:12" x14ac:dyDescent="0.25">
      <c r="B113">
        <v>1400</v>
      </c>
      <c r="C113">
        <v>16801</v>
      </c>
      <c r="D113">
        <f t="shared" si="21"/>
        <v>374.40899999999999</v>
      </c>
      <c r="E113">
        <f t="shared" si="25"/>
        <v>2.649737786364891</v>
      </c>
      <c r="F113">
        <f t="shared" si="26"/>
        <v>1324.8688931824454</v>
      </c>
      <c r="G113">
        <f>'Pump Cost Models'!$H$21*2*60+F113</f>
        <v>1573.3688931824454</v>
      </c>
      <c r="H113">
        <f t="shared" si="22"/>
        <v>0.11593225957874206</v>
      </c>
      <c r="I113">
        <f t="shared" si="27"/>
        <v>1159.3225957874206</v>
      </c>
      <c r="J113">
        <f t="shared" si="28"/>
        <v>16.799999999999997</v>
      </c>
      <c r="K113">
        <f t="shared" si="23"/>
        <v>10.900000000000006</v>
      </c>
      <c r="L113">
        <f t="shared" si="24"/>
        <v>16799.999999999996</v>
      </c>
    </row>
    <row r="114" spans="2:12" x14ac:dyDescent="0.25">
      <c r="B114">
        <v>1500</v>
      </c>
      <c r="C114">
        <v>17115</v>
      </c>
      <c r="D114">
        <f t="shared" si="21"/>
        <v>433.4325</v>
      </c>
      <c r="E114">
        <f t="shared" si="25"/>
        <v>2.649737786364891</v>
      </c>
      <c r="F114">
        <f t="shared" si="26"/>
        <v>1324.8688931824454</v>
      </c>
      <c r="G114">
        <f>'Pump Cost Models'!$H$21*2*60+F114</f>
        <v>1573.3688931824454</v>
      </c>
      <c r="H114">
        <f t="shared" si="22"/>
        <v>0.11725395227475578</v>
      </c>
      <c r="I114">
        <f t="shared" si="27"/>
        <v>1172.5395227475578</v>
      </c>
      <c r="J114">
        <f t="shared" si="28"/>
        <v>16.799999999999997</v>
      </c>
      <c r="K114">
        <f t="shared" si="23"/>
        <v>10.900000000000006</v>
      </c>
      <c r="L114">
        <f t="shared" si="24"/>
        <v>16799.999999999996</v>
      </c>
    </row>
    <row r="115" spans="2:12" x14ac:dyDescent="0.25">
      <c r="B115">
        <v>1600</v>
      </c>
      <c r="C115">
        <v>17404</v>
      </c>
      <c r="D115">
        <f t="shared" si="21"/>
        <v>496.76000000000005</v>
      </c>
      <c r="E115">
        <f t="shared" si="25"/>
        <v>2.649737786364891</v>
      </c>
      <c r="F115">
        <f t="shared" si="26"/>
        <v>1324.8688931824454</v>
      </c>
      <c r="G115">
        <f>'Pump Cost Models'!$H$21*2*60+F115</f>
        <v>1573.3688931824454</v>
      </c>
      <c r="H115">
        <f t="shared" si="22"/>
        <v>0.11894558108379945</v>
      </c>
      <c r="I115">
        <f t="shared" si="27"/>
        <v>1189.4558108379945</v>
      </c>
      <c r="J115">
        <f t="shared" si="28"/>
        <v>16.799999999999997</v>
      </c>
      <c r="K115">
        <f t="shared" si="23"/>
        <v>10.900000000000006</v>
      </c>
      <c r="L115">
        <f t="shared" si="24"/>
        <v>16799.999999999996</v>
      </c>
    </row>
    <row r="116" spans="2:12" x14ac:dyDescent="0.25">
      <c r="B116">
        <v>1700</v>
      </c>
      <c r="C116">
        <v>17672</v>
      </c>
      <c r="D116">
        <f t="shared" si="21"/>
        <v>564.39149999999995</v>
      </c>
      <c r="E116">
        <f t="shared" si="25"/>
        <v>2.649737786364891</v>
      </c>
      <c r="F116">
        <f t="shared" si="26"/>
        <v>1324.8688931824454</v>
      </c>
      <c r="G116">
        <f>'Pump Cost Models'!$H$21*2*60+F116</f>
        <v>1573.3688931824454</v>
      </c>
      <c r="H116">
        <f t="shared" si="22"/>
        <v>0.12096878639556616</v>
      </c>
      <c r="I116">
        <f t="shared" si="27"/>
        <v>1209.6878639556617</v>
      </c>
      <c r="J116">
        <f t="shared" si="28"/>
        <v>16.799999999999997</v>
      </c>
      <c r="K116">
        <f t="shared" si="23"/>
        <v>10.900000000000006</v>
      </c>
      <c r="L116">
        <f t="shared" si="24"/>
        <v>16799.999999999996</v>
      </c>
    </row>
    <row r="117" spans="2:12" x14ac:dyDescent="0.25">
      <c r="B117">
        <v>1800</v>
      </c>
      <c r="C117">
        <v>17930</v>
      </c>
      <c r="D117">
        <f t="shared" si="21"/>
        <v>636.327</v>
      </c>
      <c r="E117">
        <f t="shared" si="25"/>
        <v>2.649737786364891</v>
      </c>
      <c r="F117">
        <f t="shared" si="26"/>
        <v>1324.8688931824454</v>
      </c>
      <c r="G117">
        <f>'Pump Cost Models'!$H$21*2*60+F117</f>
        <v>1573.3688931824454</v>
      </c>
      <c r="H117">
        <f t="shared" si="22"/>
        <v>0.12324015020537901</v>
      </c>
      <c r="I117">
        <f t="shared" si="27"/>
        <v>1232.4015020537902</v>
      </c>
      <c r="J117">
        <f t="shared" si="28"/>
        <v>16.799999999999997</v>
      </c>
      <c r="K117">
        <f t="shared" si="23"/>
        <v>10.900000000000006</v>
      </c>
      <c r="L117">
        <f t="shared" si="24"/>
        <v>16799.999999999996</v>
      </c>
    </row>
    <row r="118" spans="2:12" x14ac:dyDescent="0.25">
      <c r="B118">
        <v>1900</v>
      </c>
      <c r="C118">
        <v>18158</v>
      </c>
      <c r="D118">
        <f t="shared" si="21"/>
        <v>712.56649999999991</v>
      </c>
      <c r="E118">
        <f t="shared" si="25"/>
        <v>2.649737786364891</v>
      </c>
      <c r="F118">
        <f t="shared" si="26"/>
        <v>1324.8688931824454</v>
      </c>
      <c r="G118">
        <f>'Pump Cost Models'!$H$21*2*60+F118</f>
        <v>1573.3688931824454</v>
      </c>
      <c r="H118">
        <f t="shared" si="22"/>
        <v>0.12589136431228359</v>
      </c>
      <c r="I118">
        <f t="shared" si="27"/>
        <v>1258.913643122836</v>
      </c>
      <c r="J118">
        <f t="shared" si="28"/>
        <v>16.799999999999997</v>
      </c>
      <c r="K118">
        <f t="shared" si="23"/>
        <v>10.900000000000006</v>
      </c>
      <c r="L118">
        <f t="shared" si="24"/>
        <v>16799.999999999996</v>
      </c>
    </row>
    <row r="119" spans="2:12" x14ac:dyDescent="0.25">
      <c r="B119">
        <v>2000</v>
      </c>
      <c r="C119">
        <v>18369</v>
      </c>
      <c r="D119">
        <f t="shared" si="21"/>
        <v>793.1099999999999</v>
      </c>
      <c r="E119">
        <f t="shared" si="25"/>
        <v>2.649737786364891</v>
      </c>
      <c r="F119">
        <f t="shared" si="26"/>
        <v>1324.8688931824454</v>
      </c>
      <c r="G119">
        <f>'Pump Cost Models'!$H$21*2*60+F119</f>
        <v>1573.3688931824454</v>
      </c>
      <c r="H119">
        <f t="shared" si="22"/>
        <v>0.12883003392576869</v>
      </c>
      <c r="I119">
        <f t="shared" si="27"/>
        <v>1288.300339257687</v>
      </c>
      <c r="J119">
        <f t="shared" si="28"/>
        <v>16.799999999999997</v>
      </c>
      <c r="K119">
        <f t="shared" si="23"/>
        <v>10.900000000000006</v>
      </c>
      <c r="L119">
        <f t="shared" si="24"/>
        <v>16799.999999999996</v>
      </c>
    </row>
    <row r="137" spans="2:17" x14ac:dyDescent="0.25">
      <c r="B137" s="3"/>
    </row>
    <row r="138" spans="2:17" x14ac:dyDescent="0.25">
      <c r="B138" t="s">
        <v>106</v>
      </c>
    </row>
    <row r="140" spans="2:17" x14ac:dyDescent="0.25">
      <c r="B140" s="3" t="s">
        <v>33</v>
      </c>
      <c r="G140" t="s">
        <v>105</v>
      </c>
      <c r="H140">
        <v>1400</v>
      </c>
    </row>
    <row r="141" spans="2:17" x14ac:dyDescent="0.25">
      <c r="L141" t="s">
        <v>29</v>
      </c>
    </row>
    <row r="142" spans="2:17" x14ac:dyDescent="0.25">
      <c r="B142" t="s">
        <v>9</v>
      </c>
      <c r="C142" t="s">
        <v>16</v>
      </c>
      <c r="D142" t="s">
        <v>25</v>
      </c>
      <c r="E142" t="s">
        <v>26</v>
      </c>
      <c r="F142" t="s">
        <v>34</v>
      </c>
      <c r="G142" t="s">
        <v>27</v>
      </c>
      <c r="H142" t="s">
        <v>28</v>
      </c>
      <c r="I142" t="s">
        <v>34</v>
      </c>
      <c r="J142" t="s">
        <v>30</v>
      </c>
      <c r="K142" t="s">
        <v>31</v>
      </c>
      <c r="L142" t="s">
        <v>32</v>
      </c>
      <c r="M142" t="s">
        <v>35</v>
      </c>
      <c r="N142" t="s">
        <v>38</v>
      </c>
      <c r="O142" s="4" t="s">
        <v>103</v>
      </c>
      <c r="P142" s="4" t="s">
        <v>104</v>
      </c>
    </row>
    <row r="143" spans="2:17" x14ac:dyDescent="0.25">
      <c r="B143">
        <v>5</v>
      </c>
      <c r="C143" s="10">
        <f>B143*60</f>
        <v>300</v>
      </c>
      <c r="D143">
        <v>80</v>
      </c>
      <c r="E143">
        <v>64.3</v>
      </c>
      <c r="F143">
        <f>E143-D143</f>
        <v>-15.700000000000003</v>
      </c>
      <c r="G143">
        <v>52</v>
      </c>
      <c r="H143">
        <v>61.8</v>
      </c>
      <c r="I143">
        <f>H143-G143</f>
        <v>9.7999999999999972</v>
      </c>
      <c r="J143" s="7">
        <v>24453</v>
      </c>
      <c r="K143">
        <f>'BAC Data'!B143*60*'Pump Cost Models'!$H$21</f>
        <v>621.25</v>
      </c>
      <c r="L143">
        <f>0.0002152*$H$140^2 -  0.033845*$H$140</f>
        <v>374.40899999999999</v>
      </c>
      <c r="M143">
        <f>L143+K143</f>
        <v>995.65899999999999</v>
      </c>
      <c r="N143">
        <f>M143/J143</f>
        <v>4.071725350672719E-2</v>
      </c>
      <c r="O143">
        <f>8.35*B143*60*I143</f>
        <v>24548.999999999993</v>
      </c>
      <c r="P143">
        <f>1.085*$H$140*F143</f>
        <v>-23848.300000000003</v>
      </c>
      <c r="Q143" t="s">
        <v>29</v>
      </c>
    </row>
    <row r="144" spans="2:17" x14ac:dyDescent="0.25">
      <c r="B144">
        <v>4</v>
      </c>
      <c r="C144" s="10">
        <f>B144*60</f>
        <v>240</v>
      </c>
      <c r="D144">
        <v>80</v>
      </c>
      <c r="E144">
        <v>66.8</v>
      </c>
      <c r="F144">
        <f>E144-D144</f>
        <v>-13.200000000000003</v>
      </c>
      <c r="G144">
        <v>52</v>
      </c>
      <c r="H144">
        <v>62.9</v>
      </c>
      <c r="I144">
        <f>H144-G144</f>
        <v>10.899999999999999</v>
      </c>
      <c r="J144" s="7">
        <v>21806</v>
      </c>
      <c r="K144">
        <f>'BAC Data'!B144*60*'Pump Cost Models'!$H$21</f>
        <v>497</v>
      </c>
      <c r="L144">
        <f>0.0002152*$H$140^2 -  0.033845*$H$140</f>
        <v>374.40899999999999</v>
      </c>
      <c r="M144">
        <f>L144+K144</f>
        <v>871.40899999999999</v>
      </c>
      <c r="N144">
        <f>M144/J144</f>
        <v>3.9961891222599286E-2</v>
      </c>
      <c r="O144">
        <f>8.35*B144*60*I144</f>
        <v>21843.599999999999</v>
      </c>
      <c r="P144">
        <f>1.085*$H$140*F144</f>
        <v>-20050.800000000003</v>
      </c>
    </row>
    <row r="145" spans="2:16" x14ac:dyDescent="0.25">
      <c r="B145">
        <v>3</v>
      </c>
      <c r="C145" s="10">
        <f>B145*60</f>
        <v>180</v>
      </c>
      <c r="D145">
        <v>80</v>
      </c>
      <c r="E145">
        <v>67.599999999999994</v>
      </c>
      <c r="F145">
        <f>E145-D145</f>
        <v>-12.400000000000006</v>
      </c>
      <c r="G145">
        <v>52</v>
      </c>
      <c r="H145">
        <v>65.2</v>
      </c>
      <c r="I145">
        <f>H145-G145</f>
        <v>13.200000000000003</v>
      </c>
      <c r="J145" s="7">
        <v>19763</v>
      </c>
      <c r="K145">
        <f>'BAC Data'!B145*60*'Pump Cost Models'!$H$21</f>
        <v>372.75</v>
      </c>
      <c r="L145">
        <f>0.0002152*$H$140^2 -  0.033845*$H$140</f>
        <v>374.40899999999999</v>
      </c>
      <c r="M145">
        <f>L145+K145</f>
        <v>747.15899999999999</v>
      </c>
      <c r="N145">
        <f>M145/J145</f>
        <v>3.7805950513585991E-2</v>
      </c>
      <c r="O145">
        <f>8.35*B145*60*I145</f>
        <v>19839.600000000002</v>
      </c>
      <c r="P145">
        <f>1.085*$H$140*F145</f>
        <v>-18835.600000000009</v>
      </c>
    </row>
    <row r="146" spans="2:16" x14ac:dyDescent="0.25">
      <c r="B146">
        <v>2</v>
      </c>
      <c r="C146" s="10">
        <f>B146*60</f>
        <v>120</v>
      </c>
      <c r="D146">
        <v>80</v>
      </c>
      <c r="E146">
        <v>69.099999999999994</v>
      </c>
      <c r="F146">
        <f>E146-D146</f>
        <v>-10.900000000000006</v>
      </c>
      <c r="G146">
        <v>52</v>
      </c>
      <c r="H146">
        <v>68.8</v>
      </c>
      <c r="I146">
        <f>H146-G146</f>
        <v>16.799999999999997</v>
      </c>
      <c r="J146" s="7">
        <v>16801</v>
      </c>
      <c r="K146">
        <f>'BAC Data'!B146*60*'Pump Cost Models'!$H$21</f>
        <v>248.5</v>
      </c>
      <c r="L146">
        <f>0.0002152*$H$140^2 -  0.033845*$H$140</f>
        <v>374.40899999999999</v>
      </c>
      <c r="M146">
        <f>L146+K146</f>
        <v>622.90899999999999</v>
      </c>
      <c r="N146">
        <f>M146/J146</f>
        <v>3.7075709779179809E-2</v>
      </c>
      <c r="O146">
        <f>8.35*B146*60*I146</f>
        <v>16833.599999999999</v>
      </c>
      <c r="P146">
        <f>1.085*$H$140*F146</f>
        <v>-16557.100000000009</v>
      </c>
    </row>
    <row r="147" spans="2:16" x14ac:dyDescent="0.25">
      <c r="B147" s="8">
        <v>1</v>
      </c>
      <c r="C147" s="27" t="s">
        <v>117</v>
      </c>
      <c r="E147" s="8"/>
      <c r="F147" s="8"/>
      <c r="G147" s="8"/>
      <c r="H147" s="8"/>
      <c r="I147" s="8"/>
      <c r="J147" s="9">
        <v>24000</v>
      </c>
      <c r="K147" s="8">
        <f>'BAC Data'!B147*60*'Pump Cost Models'!$H$21</f>
        <v>124.25</v>
      </c>
      <c r="L147" s="8">
        <f>0.0002152*$H$140^2 -  0.033845*$H$140</f>
        <v>374.40899999999999</v>
      </c>
      <c r="M147" s="8">
        <f>SUM(K147:L147)</f>
        <v>498.65899999999999</v>
      </c>
      <c r="N147" s="8">
        <f>M147/J147</f>
        <v>2.0777458333333332E-2</v>
      </c>
    </row>
    <row r="181" spans="24:25" x14ac:dyDescent="0.25">
      <c r="Y181" t="s">
        <v>29</v>
      </c>
    </row>
    <row r="182" spans="24:25" x14ac:dyDescent="0.25">
      <c r="X182" t="s">
        <v>29</v>
      </c>
    </row>
  </sheetData>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B7F59-E5CA-4F7D-9CE3-E6C3E17CF188}">
  <dimension ref="B2:L64"/>
  <sheetViews>
    <sheetView workbookViewId="0"/>
  </sheetViews>
  <sheetFormatPr defaultRowHeight="15" x14ac:dyDescent="0.25"/>
  <sheetData>
    <row r="2" spans="2:12" ht="28.5" x14ac:dyDescent="0.45">
      <c r="B2" s="25" t="s">
        <v>71</v>
      </c>
      <c r="L2" t="s">
        <v>72</v>
      </c>
    </row>
    <row r="3" spans="2:12" ht="21" x14ac:dyDescent="0.35">
      <c r="B3" s="24" t="s">
        <v>74</v>
      </c>
      <c r="L3" t="s">
        <v>73</v>
      </c>
    </row>
    <row r="5" spans="2:12" ht="18.75" x14ac:dyDescent="0.3">
      <c r="B5" s="26" t="s">
        <v>96</v>
      </c>
    </row>
    <row r="12" spans="2:12" x14ac:dyDescent="0.25">
      <c r="C12" t="s">
        <v>97</v>
      </c>
      <c r="I12" t="s">
        <v>98</v>
      </c>
    </row>
    <row r="14" spans="2:12" x14ac:dyDescent="0.25">
      <c r="C14" t="s">
        <v>9</v>
      </c>
      <c r="D14" t="s">
        <v>66</v>
      </c>
      <c r="E14" t="s">
        <v>38</v>
      </c>
      <c r="F14" t="s">
        <v>24</v>
      </c>
      <c r="I14" t="s">
        <v>9</v>
      </c>
      <c r="J14" t="s">
        <v>0</v>
      </c>
    </row>
    <row r="15" spans="2:12" x14ac:dyDescent="0.25">
      <c r="C15">
        <v>5</v>
      </c>
      <c r="D15">
        <v>700</v>
      </c>
      <c r="E15">
        <v>0.1539165313646873</v>
      </c>
      <c r="F15">
        <v>18017</v>
      </c>
      <c r="I15">
        <f t="shared" ref="I15:I61" si="0">(C15-$C$63)/$C$64</f>
        <v>1.4773850402432809</v>
      </c>
      <c r="J15">
        <f t="shared" ref="J15:J61" si="1">(D15-$D$63)/$D$64</f>
        <v>-1.7824817495747549</v>
      </c>
    </row>
    <row r="16" spans="2:12" x14ac:dyDescent="0.25">
      <c r="C16">
        <v>5</v>
      </c>
      <c r="D16">
        <v>900</v>
      </c>
      <c r="E16">
        <v>0.14232977638542024</v>
      </c>
      <c r="F16">
        <v>19920</v>
      </c>
      <c r="I16">
        <f t="shared" si="0"/>
        <v>1.4773850402432809</v>
      </c>
      <c r="J16">
        <f t="shared" si="1"/>
        <v>-1.2313196296404556</v>
      </c>
    </row>
    <row r="17" spans="3:10" x14ac:dyDescent="0.25">
      <c r="C17">
        <v>5</v>
      </c>
      <c r="D17">
        <v>1000</v>
      </c>
      <c r="E17">
        <v>0.13859760918596861</v>
      </c>
      <c r="F17">
        <v>20727</v>
      </c>
      <c r="I17">
        <f t="shared" si="0"/>
        <v>1.4773850402432809</v>
      </c>
      <c r="J17">
        <f t="shared" si="1"/>
        <v>-0.95573856967330595</v>
      </c>
    </row>
    <row r="18" spans="3:10" x14ac:dyDescent="0.25">
      <c r="C18">
        <v>5</v>
      </c>
      <c r="D18">
        <v>1100</v>
      </c>
      <c r="E18">
        <v>0.13578643988061737</v>
      </c>
      <c r="F18">
        <v>21464</v>
      </c>
      <c r="I18">
        <f t="shared" si="0"/>
        <v>1.4773850402432809</v>
      </c>
      <c r="J18">
        <f t="shared" si="1"/>
        <v>-0.68015750970615629</v>
      </c>
    </row>
    <row r="19" spans="3:10" x14ac:dyDescent="0.25">
      <c r="C19">
        <v>5</v>
      </c>
      <c r="D19">
        <v>1200</v>
      </c>
      <c r="E19">
        <v>0.13369904468919666</v>
      </c>
      <c r="F19">
        <v>22144</v>
      </c>
      <c r="I19">
        <f t="shared" si="0"/>
        <v>1.4773850402432809</v>
      </c>
      <c r="J19">
        <f t="shared" si="1"/>
        <v>-0.40457644973900664</v>
      </c>
    </row>
    <row r="20" spans="3:10" x14ac:dyDescent="0.25">
      <c r="C20">
        <v>5</v>
      </c>
      <c r="D20">
        <v>1300</v>
      </c>
      <c r="E20">
        <v>0.13219682774718231</v>
      </c>
      <c r="F20">
        <v>22777</v>
      </c>
      <c r="I20">
        <f t="shared" si="0"/>
        <v>1.4773850402432809</v>
      </c>
      <c r="J20">
        <f t="shared" si="1"/>
        <v>-0.12899538977185701</v>
      </c>
    </row>
    <row r="21" spans="3:10" x14ac:dyDescent="0.25">
      <c r="C21">
        <v>5</v>
      </c>
      <c r="D21">
        <v>1400</v>
      </c>
      <c r="E21">
        <v>0.13118946662662379</v>
      </c>
      <c r="F21">
        <v>23369</v>
      </c>
      <c r="I21">
        <f t="shared" si="0"/>
        <v>1.4773850402432809</v>
      </c>
      <c r="J21">
        <f t="shared" si="1"/>
        <v>0.14658567019529262</v>
      </c>
    </row>
    <row r="22" spans="3:10" x14ac:dyDescent="0.25">
      <c r="C22">
        <v>5</v>
      </c>
      <c r="D22">
        <v>1500</v>
      </c>
      <c r="E22">
        <v>0.13060227976249983</v>
      </c>
      <c r="F22">
        <v>23926</v>
      </c>
      <c r="I22">
        <f t="shared" si="0"/>
        <v>1.4773850402432809</v>
      </c>
      <c r="J22">
        <f t="shared" si="1"/>
        <v>0.42216673016244227</v>
      </c>
    </row>
    <row r="23" spans="3:10" x14ac:dyDescent="0.25">
      <c r="C23">
        <v>5</v>
      </c>
      <c r="D23">
        <v>1600</v>
      </c>
      <c r="E23">
        <v>0.13037736251574741</v>
      </c>
      <c r="F23">
        <v>24453</v>
      </c>
      <c r="I23">
        <f t="shared" si="0"/>
        <v>1.4773850402432809</v>
      </c>
      <c r="J23">
        <f t="shared" si="1"/>
        <v>0.69774779012959187</v>
      </c>
    </row>
    <row r="24" spans="3:10" x14ac:dyDescent="0.25">
      <c r="C24">
        <v>4</v>
      </c>
      <c r="D24">
        <v>800</v>
      </c>
      <c r="E24">
        <v>0.1452129457064168</v>
      </c>
      <c r="F24">
        <v>17870</v>
      </c>
      <c r="I24">
        <f t="shared" si="0"/>
        <v>0.56373902851388358</v>
      </c>
      <c r="J24">
        <f t="shared" si="1"/>
        <v>-1.5069006896076051</v>
      </c>
    </row>
    <row r="25" spans="3:10" x14ac:dyDescent="0.25">
      <c r="C25">
        <v>4</v>
      </c>
      <c r="D25">
        <v>900</v>
      </c>
      <c r="E25">
        <v>0.14070104608242776</v>
      </c>
      <c r="F25">
        <v>18679</v>
      </c>
      <c r="I25">
        <f t="shared" si="0"/>
        <v>0.56373902851388358</v>
      </c>
      <c r="J25">
        <f t="shared" si="1"/>
        <v>-1.2313196296404556</v>
      </c>
    </row>
    <row r="26" spans="3:10" x14ac:dyDescent="0.25">
      <c r="C26">
        <v>4</v>
      </c>
      <c r="D26">
        <v>1000</v>
      </c>
      <c r="E26">
        <v>0.13733427819544916</v>
      </c>
      <c r="F26">
        <v>19410</v>
      </c>
      <c r="I26">
        <f t="shared" si="0"/>
        <v>0.56373902851388358</v>
      </c>
      <c r="J26">
        <f t="shared" si="1"/>
        <v>-0.95573856967330595</v>
      </c>
    </row>
    <row r="27" spans="3:10" x14ac:dyDescent="0.25">
      <c r="C27">
        <v>4</v>
      </c>
      <c r="D27">
        <v>1100</v>
      </c>
      <c r="E27">
        <v>0.13484067133690264</v>
      </c>
      <c r="F27">
        <v>20079</v>
      </c>
      <c r="I27">
        <f t="shared" si="0"/>
        <v>0.56373902851388358</v>
      </c>
      <c r="J27">
        <f t="shared" si="1"/>
        <v>-0.68015750970615629</v>
      </c>
    </row>
    <row r="28" spans="3:10" x14ac:dyDescent="0.25">
      <c r="C28">
        <v>4</v>
      </c>
      <c r="D28">
        <v>1200</v>
      </c>
      <c r="E28">
        <v>0.13304876979965538</v>
      </c>
      <c r="F28">
        <v>20696</v>
      </c>
      <c r="I28">
        <f t="shared" si="0"/>
        <v>0.56373902851388358</v>
      </c>
      <c r="J28">
        <f t="shared" si="1"/>
        <v>-0.40457644973900664</v>
      </c>
    </row>
    <row r="29" spans="3:10" x14ac:dyDescent="0.25">
      <c r="C29">
        <v>4</v>
      </c>
      <c r="D29">
        <v>1300</v>
      </c>
      <c r="E29">
        <v>0.13183472846742528</v>
      </c>
      <c r="F29">
        <v>21269</v>
      </c>
      <c r="I29">
        <f t="shared" si="0"/>
        <v>0.56373902851388358</v>
      </c>
      <c r="J29">
        <f t="shared" si="1"/>
        <v>-0.12899538977185701</v>
      </c>
    </row>
    <row r="30" spans="3:10" x14ac:dyDescent="0.25">
      <c r="C30">
        <v>4</v>
      </c>
      <c r="D30">
        <v>1400</v>
      </c>
      <c r="E30">
        <v>0.13109751168364983</v>
      </c>
      <c r="F30">
        <v>21806</v>
      </c>
      <c r="I30">
        <f t="shared" si="0"/>
        <v>0.56373902851388358</v>
      </c>
      <c r="J30">
        <f t="shared" si="1"/>
        <v>0.14658567019529262</v>
      </c>
    </row>
    <row r="31" spans="3:10" x14ac:dyDescent="0.25">
      <c r="C31">
        <v>4</v>
      </c>
      <c r="D31">
        <v>1500</v>
      </c>
      <c r="E31">
        <v>0.13078152576305102</v>
      </c>
      <c r="F31">
        <v>22310</v>
      </c>
      <c r="I31">
        <f t="shared" si="0"/>
        <v>0.56373902851388358</v>
      </c>
      <c r="J31">
        <f t="shared" si="1"/>
        <v>0.42216673016244227</v>
      </c>
    </row>
    <row r="32" spans="3:10" x14ac:dyDescent="0.25">
      <c r="C32">
        <v>4</v>
      </c>
      <c r="D32">
        <v>1600</v>
      </c>
      <c r="E32">
        <v>0.13083446740283819</v>
      </c>
      <c r="F32">
        <v>22785</v>
      </c>
      <c r="I32">
        <f t="shared" si="0"/>
        <v>0.56373902851388358</v>
      </c>
      <c r="J32">
        <f t="shared" si="1"/>
        <v>0.69774779012959187</v>
      </c>
    </row>
    <row r="33" spans="3:10" x14ac:dyDescent="0.25">
      <c r="C33">
        <v>4</v>
      </c>
      <c r="D33">
        <v>1700</v>
      </c>
      <c r="E33">
        <v>0.1312113122347178</v>
      </c>
      <c r="F33">
        <v>23235</v>
      </c>
      <c r="I33">
        <f t="shared" si="0"/>
        <v>0.56373902851388358</v>
      </c>
      <c r="J33">
        <f t="shared" si="1"/>
        <v>0.97332885009674153</v>
      </c>
    </row>
    <row r="34" spans="3:10" x14ac:dyDescent="0.25">
      <c r="C34">
        <v>4</v>
      </c>
      <c r="D34">
        <v>1800</v>
      </c>
      <c r="E34">
        <v>0.13188362521230954</v>
      </c>
      <c r="F34">
        <v>23662</v>
      </c>
      <c r="I34">
        <f t="shared" si="0"/>
        <v>0.56373902851388358</v>
      </c>
      <c r="J34">
        <f t="shared" si="1"/>
        <v>1.2489099100638912</v>
      </c>
    </row>
    <row r="35" spans="3:10" x14ac:dyDescent="0.25">
      <c r="C35">
        <v>4</v>
      </c>
      <c r="D35">
        <v>1900</v>
      </c>
      <c r="E35">
        <v>0.13282656804776749</v>
      </c>
      <c r="F35">
        <v>24068</v>
      </c>
      <c r="I35">
        <f t="shared" si="0"/>
        <v>0.56373902851388358</v>
      </c>
      <c r="J35">
        <f t="shared" si="1"/>
        <v>1.5244909700310409</v>
      </c>
    </row>
    <row r="36" spans="3:10" x14ac:dyDescent="0.25">
      <c r="C36">
        <v>4</v>
      </c>
      <c r="D36">
        <v>2000</v>
      </c>
      <c r="E36">
        <v>0.13401812879875968</v>
      </c>
      <c r="F36">
        <v>24455</v>
      </c>
      <c r="I36">
        <f t="shared" si="0"/>
        <v>0.56373902851388358</v>
      </c>
      <c r="J36">
        <f t="shared" si="1"/>
        <v>1.8000720299981905</v>
      </c>
    </row>
    <row r="37" spans="3:10" x14ac:dyDescent="0.25">
      <c r="C37">
        <v>3</v>
      </c>
      <c r="D37">
        <v>800</v>
      </c>
      <c r="E37">
        <v>0.13590340155956213</v>
      </c>
      <c r="F37">
        <v>16352</v>
      </c>
      <c r="I37">
        <f t="shared" si="0"/>
        <v>-0.34990698321551378</v>
      </c>
      <c r="J37">
        <f t="shared" si="1"/>
        <v>-1.5069006896076051</v>
      </c>
    </row>
    <row r="38" spans="3:10" x14ac:dyDescent="0.25">
      <c r="C38">
        <v>3</v>
      </c>
      <c r="D38">
        <v>900</v>
      </c>
      <c r="E38">
        <v>0.13224038005991792</v>
      </c>
      <c r="F38">
        <v>17056</v>
      </c>
      <c r="I38">
        <f t="shared" si="0"/>
        <v>-0.34990698321551378</v>
      </c>
      <c r="J38">
        <f t="shared" si="1"/>
        <v>-1.2313196296404556</v>
      </c>
    </row>
    <row r="39" spans="3:10" x14ac:dyDescent="0.25">
      <c r="C39">
        <v>3</v>
      </c>
      <c r="D39">
        <v>1000</v>
      </c>
      <c r="E39">
        <v>0.12959901782071778</v>
      </c>
      <c r="F39">
        <v>17693</v>
      </c>
      <c r="I39">
        <f t="shared" si="0"/>
        <v>-0.34990698321551378</v>
      </c>
      <c r="J39">
        <f t="shared" si="1"/>
        <v>-0.95573856967330595</v>
      </c>
    </row>
    <row r="40" spans="3:10" x14ac:dyDescent="0.25">
      <c r="C40">
        <v>3</v>
      </c>
      <c r="D40">
        <v>1100</v>
      </c>
      <c r="E40">
        <v>0.12777337723975044</v>
      </c>
      <c r="F40">
        <v>18273</v>
      </c>
      <c r="I40">
        <f t="shared" si="0"/>
        <v>-0.34990698321551378</v>
      </c>
      <c r="J40">
        <f t="shared" si="1"/>
        <v>-0.68015750970615629</v>
      </c>
    </row>
    <row r="41" spans="3:10" x14ac:dyDescent="0.25">
      <c r="C41">
        <v>3</v>
      </c>
      <c r="D41">
        <v>1200</v>
      </c>
      <c r="E41">
        <v>0.12659051586037642</v>
      </c>
      <c r="F41">
        <v>18808</v>
      </c>
      <c r="I41">
        <f t="shared" si="0"/>
        <v>-0.34990698321551378</v>
      </c>
      <c r="J41">
        <f t="shared" si="1"/>
        <v>-0.40457644973900664</v>
      </c>
    </row>
    <row r="42" spans="3:10" x14ac:dyDescent="0.25">
      <c r="C42">
        <v>3</v>
      </c>
      <c r="D42">
        <v>1300</v>
      </c>
      <c r="E42">
        <v>0.12596259052439954</v>
      </c>
      <c r="F42">
        <v>19302</v>
      </c>
      <c r="I42">
        <f t="shared" si="0"/>
        <v>-0.34990698321551378</v>
      </c>
      <c r="J42">
        <f t="shared" si="1"/>
        <v>-0.12899538977185701</v>
      </c>
    </row>
    <row r="43" spans="3:10" x14ac:dyDescent="0.25">
      <c r="C43">
        <v>3</v>
      </c>
      <c r="D43">
        <v>1400</v>
      </c>
      <c r="E43">
        <v>0.12579311958214642</v>
      </c>
      <c r="F43">
        <v>19763</v>
      </c>
      <c r="I43">
        <f t="shared" si="0"/>
        <v>-0.34990698321551378</v>
      </c>
      <c r="J43">
        <f t="shared" si="1"/>
        <v>0.14658567019529262</v>
      </c>
    </row>
    <row r="44" spans="3:10" x14ac:dyDescent="0.25">
      <c r="C44">
        <v>3</v>
      </c>
      <c r="D44">
        <v>1500</v>
      </c>
      <c r="E44">
        <v>0.12603738534650422</v>
      </c>
      <c r="F44">
        <v>20193</v>
      </c>
      <c r="I44">
        <f t="shared" si="0"/>
        <v>-0.34990698321551378</v>
      </c>
      <c r="J44">
        <f t="shared" si="1"/>
        <v>0.42216673016244227</v>
      </c>
    </row>
    <row r="45" spans="3:10" x14ac:dyDescent="0.25">
      <c r="C45">
        <v>3</v>
      </c>
      <c r="D45">
        <v>1600</v>
      </c>
      <c r="E45">
        <v>0.12664597117410956</v>
      </c>
      <c r="F45">
        <v>20596</v>
      </c>
      <c r="I45">
        <f t="shared" si="0"/>
        <v>-0.34990698321551378</v>
      </c>
      <c r="J45">
        <f t="shared" si="1"/>
        <v>0.69774779012959187</v>
      </c>
    </row>
    <row r="46" spans="3:10" x14ac:dyDescent="0.25">
      <c r="C46">
        <v>3</v>
      </c>
      <c r="D46">
        <v>1700</v>
      </c>
      <c r="E46">
        <v>0.12758197484157138</v>
      </c>
      <c r="F46">
        <v>20975</v>
      </c>
      <c r="I46">
        <f t="shared" si="0"/>
        <v>-0.34990698321551378</v>
      </c>
      <c r="J46">
        <f t="shared" si="1"/>
        <v>0.97332885009674153</v>
      </c>
    </row>
    <row r="47" spans="3:10" x14ac:dyDescent="0.25">
      <c r="C47">
        <v>3</v>
      </c>
      <c r="D47">
        <v>1800</v>
      </c>
      <c r="E47">
        <v>0.12881902410941121</v>
      </c>
      <c r="F47">
        <v>21332</v>
      </c>
      <c r="I47">
        <f t="shared" si="0"/>
        <v>-0.34990698321551378</v>
      </c>
      <c r="J47">
        <f t="shared" si="1"/>
        <v>1.2489099100638912</v>
      </c>
    </row>
    <row r="48" spans="3:10" x14ac:dyDescent="0.25">
      <c r="C48">
        <v>3</v>
      </c>
      <c r="D48">
        <v>1900</v>
      </c>
      <c r="E48">
        <v>0.13033397583192394</v>
      </c>
      <c r="F48">
        <v>21669</v>
      </c>
      <c r="I48">
        <f t="shared" si="0"/>
        <v>-0.34990698321551378</v>
      </c>
      <c r="J48">
        <f t="shared" si="1"/>
        <v>1.5244909700310409</v>
      </c>
    </row>
    <row r="49" spans="2:10" x14ac:dyDescent="0.25">
      <c r="C49">
        <v>2</v>
      </c>
      <c r="D49">
        <v>800</v>
      </c>
      <c r="E49">
        <v>0.1187937988983102</v>
      </c>
      <c r="F49">
        <v>14176</v>
      </c>
      <c r="I49">
        <f t="shared" si="0"/>
        <v>-1.2635529949449111</v>
      </c>
      <c r="J49">
        <f t="shared" si="1"/>
        <v>-1.5069006896076051</v>
      </c>
    </row>
    <row r="50" spans="2:10" x14ac:dyDescent="0.25">
      <c r="C50">
        <v>2</v>
      </c>
      <c r="D50">
        <v>900</v>
      </c>
      <c r="E50">
        <v>0.11654814667995421</v>
      </c>
      <c r="F50">
        <v>14734</v>
      </c>
      <c r="I50">
        <f t="shared" si="0"/>
        <v>-1.2635529949449111</v>
      </c>
      <c r="J50">
        <f t="shared" si="1"/>
        <v>-1.2313196296404556</v>
      </c>
    </row>
    <row r="51" spans="2:10" x14ac:dyDescent="0.25">
      <c r="C51">
        <v>2</v>
      </c>
      <c r="D51">
        <v>1000</v>
      </c>
      <c r="E51">
        <v>0.11519983542426769</v>
      </c>
      <c r="F51">
        <v>15232</v>
      </c>
      <c r="I51">
        <f t="shared" si="0"/>
        <v>-1.2635529949449111</v>
      </c>
      <c r="J51">
        <f t="shared" si="1"/>
        <v>-0.95573856967330595</v>
      </c>
    </row>
    <row r="52" spans="2:10" x14ac:dyDescent="0.25">
      <c r="C52">
        <v>2</v>
      </c>
      <c r="D52">
        <v>1100</v>
      </c>
      <c r="E52">
        <v>0.11456739960349756</v>
      </c>
      <c r="F52">
        <v>15681</v>
      </c>
      <c r="I52">
        <f t="shared" si="0"/>
        <v>-1.2635529949449111</v>
      </c>
      <c r="J52">
        <f t="shared" si="1"/>
        <v>-0.68015750970615629</v>
      </c>
    </row>
    <row r="53" spans="2:10" x14ac:dyDescent="0.25">
      <c r="C53">
        <v>2</v>
      </c>
      <c r="D53">
        <v>1200</v>
      </c>
      <c r="E53">
        <v>0.11452811816660111</v>
      </c>
      <c r="F53">
        <v>16089</v>
      </c>
      <c r="I53">
        <f t="shared" si="0"/>
        <v>-1.2635529949449111</v>
      </c>
      <c r="J53">
        <f t="shared" si="1"/>
        <v>-0.40457644973900664</v>
      </c>
    </row>
    <row r="54" spans="2:10" x14ac:dyDescent="0.25">
      <c r="C54">
        <v>2</v>
      </c>
      <c r="D54">
        <v>1300</v>
      </c>
      <c r="E54">
        <v>0.11500263612067586</v>
      </c>
      <c r="F54">
        <v>16461</v>
      </c>
      <c r="I54">
        <f t="shared" si="0"/>
        <v>-1.2635529949449111</v>
      </c>
      <c r="J54">
        <f t="shared" si="1"/>
        <v>-0.12899538977185701</v>
      </c>
    </row>
    <row r="55" spans="2:10" x14ac:dyDescent="0.25">
      <c r="C55">
        <v>2</v>
      </c>
      <c r="D55">
        <v>1400</v>
      </c>
      <c r="E55">
        <v>0.11593225957874206</v>
      </c>
      <c r="F55">
        <v>16801</v>
      </c>
      <c r="I55">
        <f t="shared" si="0"/>
        <v>-1.2635529949449111</v>
      </c>
      <c r="J55">
        <f t="shared" si="1"/>
        <v>0.14658567019529262</v>
      </c>
    </row>
    <row r="56" spans="2:10" x14ac:dyDescent="0.25">
      <c r="C56">
        <v>2</v>
      </c>
      <c r="D56">
        <v>1500</v>
      </c>
      <c r="E56">
        <v>0.11725395227475578</v>
      </c>
      <c r="F56">
        <v>17115</v>
      </c>
      <c r="I56">
        <f t="shared" si="0"/>
        <v>-1.2635529949449111</v>
      </c>
      <c r="J56">
        <f t="shared" si="1"/>
        <v>0.42216673016244227</v>
      </c>
    </row>
    <row r="57" spans="2:10" x14ac:dyDescent="0.25">
      <c r="C57">
        <v>2</v>
      </c>
      <c r="D57">
        <v>1600</v>
      </c>
      <c r="E57">
        <v>0.11894558108379945</v>
      </c>
      <c r="F57">
        <v>17404</v>
      </c>
      <c r="I57">
        <f t="shared" si="0"/>
        <v>-1.2635529949449111</v>
      </c>
      <c r="J57">
        <f t="shared" si="1"/>
        <v>0.69774779012959187</v>
      </c>
    </row>
    <row r="58" spans="2:10" x14ac:dyDescent="0.25">
      <c r="C58">
        <v>2</v>
      </c>
      <c r="D58">
        <v>1700</v>
      </c>
      <c r="E58">
        <v>0.12096878639556616</v>
      </c>
      <c r="F58">
        <v>17672</v>
      </c>
      <c r="I58">
        <f t="shared" si="0"/>
        <v>-1.2635529949449111</v>
      </c>
      <c r="J58">
        <f t="shared" si="1"/>
        <v>0.97332885009674153</v>
      </c>
    </row>
    <row r="59" spans="2:10" x14ac:dyDescent="0.25">
      <c r="C59">
        <v>2</v>
      </c>
      <c r="D59">
        <v>1800</v>
      </c>
      <c r="E59">
        <v>0.12324015020537901</v>
      </c>
      <c r="F59">
        <v>17930</v>
      </c>
      <c r="I59">
        <f t="shared" si="0"/>
        <v>-1.2635529949449111</v>
      </c>
      <c r="J59">
        <f t="shared" si="1"/>
        <v>1.2489099100638912</v>
      </c>
    </row>
    <row r="60" spans="2:10" x14ac:dyDescent="0.25">
      <c r="C60">
        <v>2</v>
      </c>
      <c r="D60">
        <v>1900</v>
      </c>
      <c r="E60">
        <v>0.12589136431228359</v>
      </c>
      <c r="F60">
        <v>18158</v>
      </c>
      <c r="I60">
        <f t="shared" si="0"/>
        <v>-1.2635529949449111</v>
      </c>
      <c r="J60">
        <f t="shared" si="1"/>
        <v>1.5244909700310409</v>
      </c>
    </row>
    <row r="61" spans="2:10" x14ac:dyDescent="0.25">
      <c r="C61">
        <v>2</v>
      </c>
      <c r="D61">
        <v>2000</v>
      </c>
      <c r="E61">
        <v>0.12883003392576869</v>
      </c>
      <c r="F61">
        <v>18369</v>
      </c>
      <c r="I61">
        <f t="shared" si="0"/>
        <v>-1.2635529949449111</v>
      </c>
      <c r="J61">
        <f t="shared" si="1"/>
        <v>1.8000720299981905</v>
      </c>
    </row>
    <row r="63" spans="2:10" x14ac:dyDescent="0.25">
      <c r="B63" t="s">
        <v>67</v>
      </c>
      <c r="C63">
        <f>AVERAGE(C15:C61)</f>
        <v>3.3829787234042552</v>
      </c>
      <c r="D63">
        <f>AVERAGE(D15:D61)</f>
        <v>1346.8085106382978</v>
      </c>
    </row>
    <row r="64" spans="2:10" x14ac:dyDescent="0.25">
      <c r="B64" t="s">
        <v>68</v>
      </c>
      <c r="C64">
        <f>_xlfn.STDEV.S(C15:C61)</f>
        <v>1.0945158049857266</v>
      </c>
      <c r="D64">
        <f>_xlfn.STDEV.S(D15:D61)</f>
        <v>362.86963992344175</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788A3-539E-49F2-A56A-41CA153E5982}">
  <dimension ref="B2:L29"/>
  <sheetViews>
    <sheetView workbookViewId="0"/>
  </sheetViews>
  <sheetFormatPr defaultRowHeight="15" x14ac:dyDescent="0.25"/>
  <cols>
    <col min="4" max="4" width="12.7109375" bestFit="1" customWidth="1"/>
    <col min="7" max="7" width="12" customWidth="1"/>
    <col min="8" max="8" width="12.7109375" bestFit="1" customWidth="1"/>
  </cols>
  <sheetData>
    <row r="2" spans="2:12" ht="28.5" x14ac:dyDescent="0.45">
      <c r="B2" s="25" t="s">
        <v>71</v>
      </c>
      <c r="L2" t="s">
        <v>72</v>
      </c>
    </row>
    <row r="3" spans="2:12" ht="21" x14ac:dyDescent="0.35">
      <c r="B3" s="24" t="s">
        <v>74</v>
      </c>
      <c r="L3" t="s">
        <v>73</v>
      </c>
    </row>
    <row r="5" spans="2:12" ht="18.75" x14ac:dyDescent="0.3">
      <c r="B5" s="26" t="s">
        <v>85</v>
      </c>
    </row>
    <row r="16" spans="2:12" x14ac:dyDescent="0.25">
      <c r="B16" s="3" t="s">
        <v>88</v>
      </c>
    </row>
    <row r="17" spans="2:8" x14ac:dyDescent="0.25">
      <c r="B17" s="4" t="s">
        <v>87</v>
      </c>
      <c r="C17">
        <f>(G21+G22)/G20</f>
        <v>0.11976870488935161</v>
      </c>
    </row>
    <row r="19" spans="2:8" x14ac:dyDescent="0.25">
      <c r="D19" t="s">
        <v>70</v>
      </c>
    </row>
    <row r="20" spans="2:8" ht="18" x14ac:dyDescent="0.35">
      <c r="B20" s="4" t="s">
        <v>66</v>
      </c>
      <c r="C20">
        <v>1487.99977131286</v>
      </c>
      <c r="D20">
        <f>(C20-D27)/D28</f>
        <v>0.38909637274794001</v>
      </c>
      <c r="F20" s="4" t="s">
        <v>89</v>
      </c>
      <c r="G20">
        <f>20384.29 + 1861.18*D20 + 2297.13*D21 -240.55*D20^2 + 353.65*D20*D21 -443.28*D21^2 -44.41*D20^2*D21 -73.12*D20*D21^2 + 80.54*D21^3</f>
        <v>17999.999999366635</v>
      </c>
      <c r="H20" t="s">
        <v>24</v>
      </c>
    </row>
    <row r="21" spans="2:8" ht="18" x14ac:dyDescent="0.35">
      <c r="B21" s="4" t="s">
        <v>9</v>
      </c>
      <c r="C21">
        <v>2.2608017262532907</v>
      </c>
      <c r="D21">
        <f>(C21-C27)/C28</f>
        <v>-1.02527253790145</v>
      </c>
      <c r="F21" s="4" t="s">
        <v>90</v>
      </c>
      <c r="G21" s="6">
        <f>(0.0002152*$C$20^2-0.033845*$C$20)</f>
        <v>426.12229008063332</v>
      </c>
      <c r="H21" t="s">
        <v>44</v>
      </c>
    </row>
    <row r="22" spans="2:8" ht="18" x14ac:dyDescent="0.35">
      <c r="F22" s="4" t="s">
        <v>91</v>
      </c>
      <c r="G22" s="6">
        <f>((2*60*($C$21*(10-$C$21))/724.6)*500+60*'Pump Cost Models'!H21*$C$21)</f>
        <v>1729.7143978518384</v>
      </c>
      <c r="H22" t="s">
        <v>44</v>
      </c>
    </row>
    <row r="24" spans="2:8" x14ac:dyDescent="0.25">
      <c r="B24" t="s">
        <v>86</v>
      </c>
      <c r="G24" s="22"/>
    </row>
    <row r="26" spans="2:8" x14ac:dyDescent="0.25">
      <c r="C26" s="4" t="s">
        <v>9</v>
      </c>
      <c r="D26" s="29" t="s">
        <v>0</v>
      </c>
    </row>
    <row r="27" spans="2:8" x14ac:dyDescent="0.25">
      <c r="B27" s="4" t="s">
        <v>67</v>
      </c>
      <c r="C27">
        <v>3.3829787234042552</v>
      </c>
      <c r="D27" s="22">
        <v>1346.8085106382978</v>
      </c>
    </row>
    <row r="28" spans="2:8" x14ac:dyDescent="0.25">
      <c r="B28" s="4" t="s">
        <v>69</v>
      </c>
      <c r="C28">
        <v>1.0945158049857266</v>
      </c>
      <c r="D28">
        <v>362.86963992344175</v>
      </c>
    </row>
    <row r="29" spans="2:8" x14ac:dyDescent="0.25">
      <c r="G29" s="22"/>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C16DC-FE59-4D32-8F9A-119953DC13BD}">
  <dimension ref="B2:L28"/>
  <sheetViews>
    <sheetView workbookViewId="0"/>
  </sheetViews>
  <sheetFormatPr defaultRowHeight="15" x14ac:dyDescent="0.25"/>
  <sheetData>
    <row r="2" spans="2:12" ht="28.5" x14ac:dyDescent="0.45">
      <c r="B2" s="25" t="s">
        <v>71</v>
      </c>
      <c r="L2" t="s">
        <v>120</v>
      </c>
    </row>
    <row r="3" spans="2:12" ht="21" x14ac:dyDescent="0.35">
      <c r="B3" s="24" t="s">
        <v>74</v>
      </c>
      <c r="L3" t="s">
        <v>73</v>
      </c>
    </row>
    <row r="5" spans="2:12" ht="18.75" x14ac:dyDescent="0.3">
      <c r="B5" s="26" t="s">
        <v>92</v>
      </c>
    </row>
    <row r="11" spans="2:12" x14ac:dyDescent="0.25">
      <c r="B11" t="s">
        <v>93</v>
      </c>
      <c r="D11">
        <v>80</v>
      </c>
    </row>
    <row r="12" spans="2:12" x14ac:dyDescent="0.25">
      <c r="B12" t="s">
        <v>94</v>
      </c>
      <c r="D12">
        <v>87</v>
      </c>
    </row>
    <row r="14" spans="2:12" x14ac:dyDescent="0.25">
      <c r="B14" t="s">
        <v>111</v>
      </c>
    </row>
    <row r="16" spans="2:12" x14ac:dyDescent="0.25">
      <c r="B16" t="s">
        <v>42</v>
      </c>
      <c r="D16">
        <v>8.67</v>
      </c>
      <c r="E16" t="s">
        <v>46</v>
      </c>
    </row>
    <row r="17" spans="2:5" x14ac:dyDescent="0.25">
      <c r="B17" t="s">
        <v>43</v>
      </c>
      <c r="D17">
        <v>0.45</v>
      </c>
      <c r="E17" t="s">
        <v>45</v>
      </c>
    </row>
    <row r="18" spans="2:5" x14ac:dyDescent="0.25">
      <c r="B18" t="s">
        <v>118</v>
      </c>
      <c r="D18">
        <v>33</v>
      </c>
      <c r="E18" t="s">
        <v>119</v>
      </c>
    </row>
    <row r="20" spans="2:5" x14ac:dyDescent="0.25">
      <c r="B20" t="s">
        <v>95</v>
      </c>
      <c r="D20">
        <f>D17/D16</f>
        <v>5.1903114186851215E-2</v>
      </c>
      <c r="E20" t="s">
        <v>38</v>
      </c>
    </row>
    <row r="22" spans="2:5" x14ac:dyDescent="0.25">
      <c r="B22" t="s">
        <v>121</v>
      </c>
    </row>
    <row r="24" spans="2:5" x14ac:dyDescent="0.25">
      <c r="B24" t="s">
        <v>118</v>
      </c>
      <c r="D24">
        <v>14.5</v>
      </c>
      <c r="E24" t="s">
        <v>119</v>
      </c>
    </row>
    <row r="26" spans="2:5" x14ac:dyDescent="0.25">
      <c r="B26" t="s">
        <v>123</v>
      </c>
      <c r="D26">
        <f>D20*D18/D24</f>
        <v>0.11812432883904068</v>
      </c>
      <c r="E26" t="s">
        <v>38</v>
      </c>
    </row>
    <row r="28" spans="2:5" x14ac:dyDescent="0.25">
      <c r="B28" s="22" t="s">
        <v>122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B4FC6-65CD-4FD0-BCAE-05B7FA1AACCB}">
  <dimension ref="B2:L34"/>
  <sheetViews>
    <sheetView workbookViewId="0"/>
  </sheetViews>
  <sheetFormatPr defaultRowHeight="15" x14ac:dyDescent="0.25"/>
  <cols>
    <col min="6" max="6" width="10.28515625" customWidth="1"/>
  </cols>
  <sheetData>
    <row r="2" spans="2:12" ht="28.5" x14ac:dyDescent="0.45">
      <c r="B2" s="25" t="s">
        <v>71</v>
      </c>
      <c r="L2" t="s">
        <v>120</v>
      </c>
    </row>
    <row r="3" spans="2:12" ht="21" x14ac:dyDescent="0.35">
      <c r="B3" s="24" t="s">
        <v>74</v>
      </c>
      <c r="L3" t="s">
        <v>73</v>
      </c>
    </row>
    <row r="5" spans="2:12" ht="18.75" x14ac:dyDescent="0.3">
      <c r="B5" s="26" t="s">
        <v>100</v>
      </c>
    </row>
    <row r="10" spans="2:12" x14ac:dyDescent="0.25">
      <c r="B10" t="s">
        <v>101</v>
      </c>
    </row>
    <row r="12" spans="2:12" x14ac:dyDescent="0.25">
      <c r="B12" s="12" t="s">
        <v>23</v>
      </c>
      <c r="C12" s="13"/>
      <c r="D12" s="13"/>
      <c r="E12" s="13"/>
      <c r="F12" s="14"/>
    </row>
    <row r="13" spans="2:12" x14ac:dyDescent="0.25">
      <c r="B13" s="18"/>
      <c r="C13" s="19"/>
      <c r="D13" s="19"/>
      <c r="E13" s="19"/>
      <c r="F13" s="20"/>
    </row>
    <row r="14" spans="2:12" x14ac:dyDescent="0.25">
      <c r="B14" s="15"/>
      <c r="C14" s="16"/>
      <c r="D14" s="16"/>
      <c r="E14" s="16"/>
      <c r="F14" s="17"/>
    </row>
    <row r="16" spans="2:12" x14ac:dyDescent="0.25">
      <c r="B16" s="12" t="s">
        <v>59</v>
      </c>
      <c r="C16" s="13"/>
      <c r="D16" s="13"/>
      <c r="E16" s="13"/>
      <c r="F16" s="14"/>
    </row>
    <row r="17" spans="2:9" x14ac:dyDescent="0.25">
      <c r="B17" s="18"/>
      <c r="C17" s="19"/>
      <c r="D17" s="19"/>
      <c r="E17" s="19"/>
      <c r="F17" s="20"/>
    </row>
    <row r="18" spans="2:9" x14ac:dyDescent="0.25">
      <c r="B18" s="15"/>
      <c r="C18" s="16"/>
      <c r="D18" s="16"/>
      <c r="E18" s="16"/>
      <c r="F18" s="17"/>
    </row>
    <row r="20" spans="2:9" ht="18" x14ac:dyDescent="0.35">
      <c r="B20" t="s">
        <v>108</v>
      </c>
    </row>
    <row r="22" spans="2:9" x14ac:dyDescent="0.25">
      <c r="B22" s="3" t="s">
        <v>88</v>
      </c>
    </row>
    <row r="23" spans="2:9" x14ac:dyDescent="0.25">
      <c r="B23" s="4" t="s">
        <v>87</v>
      </c>
      <c r="C23">
        <f>(H27+H28)/H26</f>
        <v>3.1964539153918774E-2</v>
      </c>
    </row>
    <row r="25" spans="2:9" x14ac:dyDescent="0.25">
      <c r="D25" t="s">
        <v>70</v>
      </c>
    </row>
    <row r="26" spans="2:9" ht="18" x14ac:dyDescent="0.35">
      <c r="B26" s="4" t="s">
        <v>66</v>
      </c>
      <c r="C26">
        <v>1004.5141672437383</v>
      </c>
      <c r="D26">
        <f>(C26-D33)/D34</f>
        <v>-0.94329837973432218</v>
      </c>
      <c r="G26" s="4" t="s">
        <v>89</v>
      </c>
      <c r="H26">
        <f>20384.29 + 1861.18*D26 + 2297.13*D27 -240.55*D26^2 + 353.65*D26*D27 -443.28*D27^2 -44.41*D26^2*D27 -73.12*D26*D27^2 + 80.54*D27^3</f>
        <v>18000.000000013584</v>
      </c>
      <c r="I26" t="s">
        <v>24</v>
      </c>
    </row>
    <row r="27" spans="2:9" ht="18" x14ac:dyDescent="0.35">
      <c r="B27" s="4" t="s">
        <v>9</v>
      </c>
      <c r="C27">
        <v>3.1566374559140513</v>
      </c>
      <c r="D27">
        <f>(C27-C33)/C34</f>
        <v>-0.20679579633220149</v>
      </c>
      <c r="G27" s="4" t="s">
        <v>90</v>
      </c>
      <c r="H27" s="6">
        <f>(0.0002152*$C$26^2-0.033845*$C$26)</f>
        <v>183.14950087365125</v>
      </c>
      <c r="I27" t="s">
        <v>44</v>
      </c>
    </row>
    <row r="28" spans="2:9" ht="18" x14ac:dyDescent="0.35">
      <c r="G28" s="4" t="s">
        <v>91</v>
      </c>
      <c r="H28" s="6">
        <f>60*'Pump Cost Models'!H21*$C$27</f>
        <v>392.21220389732088</v>
      </c>
      <c r="I28" t="s">
        <v>44</v>
      </c>
    </row>
    <row r="30" spans="2:9" x14ac:dyDescent="0.25">
      <c r="B30" t="s">
        <v>86</v>
      </c>
      <c r="H30" s="22"/>
    </row>
    <row r="32" spans="2:9" x14ac:dyDescent="0.25">
      <c r="C32" s="4" t="s">
        <v>9</v>
      </c>
      <c r="D32" s="29" t="s">
        <v>0</v>
      </c>
      <c r="E32" s="29"/>
    </row>
    <row r="33" spans="2:5" x14ac:dyDescent="0.25">
      <c r="B33" s="4" t="s">
        <v>67</v>
      </c>
      <c r="C33">
        <v>3.3829787234042552</v>
      </c>
      <c r="D33" s="22">
        <v>1346.8085106382978</v>
      </c>
      <c r="E33" s="22"/>
    </row>
    <row r="34" spans="2:5" x14ac:dyDescent="0.25">
      <c r="B34" s="4" t="s">
        <v>69</v>
      </c>
      <c r="C34">
        <v>1.0945158049857266</v>
      </c>
      <c r="D34">
        <v>362.86963992344175</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8988F-5857-457E-97F5-5F0C404CDF3C}">
  <dimension ref="B2:M41"/>
  <sheetViews>
    <sheetView tabSelected="1" workbookViewId="0"/>
  </sheetViews>
  <sheetFormatPr defaultRowHeight="15" x14ac:dyDescent="0.25"/>
  <cols>
    <col min="4" max="6" width="9.5703125" customWidth="1"/>
    <col min="7" max="7" width="9.7109375" customWidth="1"/>
  </cols>
  <sheetData>
    <row r="2" spans="2:13" ht="28.5" x14ac:dyDescent="0.45">
      <c r="B2" s="25" t="s">
        <v>71</v>
      </c>
      <c r="M2" t="s">
        <v>120</v>
      </c>
    </row>
    <row r="3" spans="2:13" ht="21" x14ac:dyDescent="0.35">
      <c r="B3" s="24" t="s">
        <v>74</v>
      </c>
      <c r="M3" t="s">
        <v>73</v>
      </c>
    </row>
    <row r="5" spans="2:13" ht="18.75" x14ac:dyDescent="0.3">
      <c r="B5" s="26" t="s">
        <v>100</v>
      </c>
    </row>
    <row r="10" spans="2:13" x14ac:dyDescent="0.25">
      <c r="B10" t="s">
        <v>101</v>
      </c>
    </row>
    <row r="12" spans="2:13" x14ac:dyDescent="0.25">
      <c r="B12" s="12" t="s">
        <v>23</v>
      </c>
      <c r="C12" s="13"/>
      <c r="D12" s="13"/>
      <c r="E12" s="13"/>
      <c r="F12" s="14"/>
    </row>
    <row r="13" spans="2:13" x14ac:dyDescent="0.25">
      <c r="B13" s="18"/>
      <c r="C13" s="19"/>
      <c r="D13" s="19"/>
      <c r="E13" s="19"/>
      <c r="F13" s="20"/>
    </row>
    <row r="14" spans="2:13" x14ac:dyDescent="0.25">
      <c r="B14" s="15"/>
      <c r="C14" s="16"/>
      <c r="D14" s="16"/>
      <c r="E14" s="16"/>
      <c r="F14" s="17"/>
    </row>
    <row r="16" spans="2:13" x14ac:dyDescent="0.25">
      <c r="B16" s="12" t="s">
        <v>59</v>
      </c>
      <c r="C16" s="13"/>
      <c r="D16" s="13"/>
      <c r="E16" s="13"/>
      <c r="F16" s="13"/>
      <c r="G16" s="14"/>
    </row>
    <row r="17" spans="2:9" x14ac:dyDescent="0.25">
      <c r="B17" s="18"/>
      <c r="C17" s="19"/>
      <c r="D17" s="19"/>
      <c r="E17" s="19"/>
      <c r="F17" s="19"/>
      <c r="G17" s="20"/>
    </row>
    <row r="18" spans="2:9" x14ac:dyDescent="0.25">
      <c r="B18" s="18"/>
      <c r="C18" s="19"/>
      <c r="D18" s="19"/>
      <c r="E18" s="19"/>
      <c r="F18" s="19"/>
      <c r="G18" s="20"/>
    </row>
    <row r="19" spans="2:9" x14ac:dyDescent="0.25">
      <c r="B19" s="18"/>
      <c r="C19" s="19"/>
      <c r="D19" s="19"/>
      <c r="E19" s="19"/>
      <c r="F19" s="19"/>
      <c r="G19" s="20"/>
    </row>
    <row r="20" spans="2:9" ht="18" x14ac:dyDescent="0.35">
      <c r="B20" s="30" t="s">
        <v>109</v>
      </c>
      <c r="C20" s="16"/>
      <c r="D20" s="16"/>
      <c r="E20" s="16"/>
      <c r="F20" s="16"/>
      <c r="G20" s="17"/>
    </row>
    <row r="22" spans="2:9" ht="18" x14ac:dyDescent="0.35">
      <c r="B22" t="s">
        <v>108</v>
      </c>
    </row>
    <row r="24" spans="2:9" ht="18" x14ac:dyDescent="0.35">
      <c r="B24" t="s">
        <v>110</v>
      </c>
    </row>
    <row r="25" spans="2:9" x14ac:dyDescent="0.25">
      <c r="B25" t="s">
        <v>114</v>
      </c>
    </row>
    <row r="27" spans="2:9" x14ac:dyDescent="0.25">
      <c r="B27" s="3" t="s">
        <v>88</v>
      </c>
    </row>
    <row r="28" spans="2:9" x14ac:dyDescent="0.25">
      <c r="B28" s="4" t="s">
        <v>87</v>
      </c>
      <c r="C28">
        <f>(H32+H33)/H31</f>
        <v>5.1903114185176083E-2</v>
      </c>
      <c r="D28" t="s">
        <v>113</v>
      </c>
      <c r="E28">
        <v>5.1903114186851215E-2</v>
      </c>
    </row>
    <row r="30" spans="2:9" x14ac:dyDescent="0.25">
      <c r="D30" t="s">
        <v>70</v>
      </c>
    </row>
    <row r="31" spans="2:9" ht="18" x14ac:dyDescent="0.35">
      <c r="B31" s="4" t="s">
        <v>66</v>
      </c>
      <c r="C31">
        <v>1487.9998606471288</v>
      </c>
      <c r="D31">
        <f>(C31-D38)/D39</f>
        <v>0.38909661893626474</v>
      </c>
      <c r="G31" s="4" t="s">
        <v>89</v>
      </c>
      <c r="H31">
        <f>20384.29 + 1861.18*D31 + 2297.13*D32 -240.55*D31^2 + 353.65*D31*D32 -443.28*D32^2 -44.41*D31^2*D32 -73.12*D31*D32^2 + 80.54*D32^3</f>
        <v>17999.999999999989</v>
      </c>
      <c r="I31" t="s">
        <v>24</v>
      </c>
    </row>
    <row r="32" spans="2:9" ht="18" x14ac:dyDescent="0.35">
      <c r="B32" s="4" t="s">
        <v>9</v>
      </c>
      <c r="C32">
        <v>2.2608016326713916</v>
      </c>
      <c r="D32">
        <f>(C32-C38)/C39</f>
        <v>-1.025272623402179</v>
      </c>
      <c r="G32" s="4" t="s">
        <v>90</v>
      </c>
      <c r="H32" s="6">
        <f>(0.0002152*$C$31^2-0.033845*$C$31)</f>
        <v>426.12234426991813</v>
      </c>
      <c r="I32" t="s">
        <v>44</v>
      </c>
    </row>
    <row r="33" spans="2:9" ht="18" x14ac:dyDescent="0.35">
      <c r="B33" s="4" t="s">
        <v>112</v>
      </c>
      <c r="C33">
        <v>78.419236766264078</v>
      </c>
      <c r="D33" t="s">
        <v>115</v>
      </c>
      <c r="G33" s="4" t="s">
        <v>91</v>
      </c>
      <c r="H33" s="6">
        <f>((2*60*($C$32*(10-$C$32))/724.6)*C33+60*'Pump Cost Models'!H21*$C$32)</f>
        <v>508.1337110632507</v>
      </c>
      <c r="I33" t="s">
        <v>44</v>
      </c>
    </row>
    <row r="35" spans="2:9" x14ac:dyDescent="0.25">
      <c r="B35" t="s">
        <v>86</v>
      </c>
      <c r="H35" s="22"/>
    </row>
    <row r="37" spans="2:9" x14ac:dyDescent="0.25">
      <c r="C37" s="4" t="s">
        <v>9</v>
      </c>
      <c r="D37" s="29" t="s">
        <v>0</v>
      </c>
      <c r="E37" s="29"/>
    </row>
    <row r="38" spans="2:9" x14ac:dyDescent="0.25">
      <c r="B38" s="4" t="s">
        <v>67</v>
      </c>
      <c r="C38">
        <v>3.3829787234042552</v>
      </c>
      <c r="D38" s="22">
        <v>1346.8085106382978</v>
      </c>
      <c r="E38" s="22"/>
    </row>
    <row r="39" spans="2:9" x14ac:dyDescent="0.25">
      <c r="B39" s="4" t="s">
        <v>69</v>
      </c>
      <c r="C39">
        <v>1.0945158049857266</v>
      </c>
      <c r="D39">
        <v>362.86963992344175</v>
      </c>
    </row>
    <row r="41" spans="2:9" x14ac:dyDescent="0.25">
      <c r="B41" t="s">
        <v>116</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Fan Cost Model</vt:lpstr>
      <vt:lpstr>Pump Cost Models</vt:lpstr>
      <vt:lpstr>BAC Data</vt:lpstr>
      <vt:lpstr>Surface Fitting</vt:lpstr>
      <vt:lpstr>GRG Minimization</vt:lpstr>
      <vt:lpstr>Economic Evaluation</vt:lpstr>
      <vt:lpstr>No Startup Cost Minimization</vt:lpstr>
      <vt:lpstr>Break-Even Point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2020-05-12T22:26:44Z</dcterms:created>
  <dcterms:modified xsi:type="dcterms:W3CDTF">2020-06-02T17:05:58Z</dcterms:modified>
</cp:coreProperties>
</file>