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fronchettl\Documents\GitHub\two-armed-robots\"/>
    </mc:Choice>
  </mc:AlternateContent>
  <xr:revisionPtr revIDLastSave="0" documentId="13_ncr:1_{DB9A4B8F-8DB1-4CEE-8FC2-42102AA39E5C}" xr6:coauthVersionLast="36" xr6:coauthVersionMax="36" xr10:uidLastSave="{00000000-0000-0000-0000-000000000000}"/>
  <bookViews>
    <workbookView xWindow="0" yWindow="0" windowWidth="28800" windowHeight="11960" activeTab="2" xr2:uid="{00000000-000D-0000-FFFF-FFFF00000000}"/>
  </bookViews>
  <sheets>
    <sheet name="Duplo (Raw)" sheetId="1" r:id="rId1"/>
    <sheet name="RSOY (Raw)" sheetId="2" r:id="rId2"/>
    <sheet name="Programming Issues" sheetId="26" r:id="rId3"/>
    <sheet name="Performance" sheetId="8" r:id="rId4"/>
    <sheet name="CVS" sheetId="5" state="hidden" r:id="rId5"/>
    <sheet name="Analysis_duplo_vs_ORS_Total_Con" sheetId="6" state="hidden" r:id="rId6"/>
    <sheet name="Copy Analysis_duplo_vs_ORS_Tota" sheetId="7" state="hidden" r:id="rId7"/>
  </sheets>
  <calcPr calcId="191029"/>
</workbook>
</file>

<file path=xl/calcChain.xml><?xml version="1.0" encoding="utf-8"?>
<calcChain xmlns="http://schemas.openxmlformats.org/spreadsheetml/2006/main">
  <c r="B5" i="26" l="1"/>
  <c r="C43" i="26" s="1"/>
  <c r="C36" i="26" s="1"/>
  <c r="B6" i="26"/>
  <c r="B7" i="26"/>
  <c r="B8" i="26"/>
  <c r="B9" i="26"/>
  <c r="B10" i="26"/>
  <c r="B11" i="26"/>
  <c r="B12" i="26"/>
  <c r="B13" i="26"/>
  <c r="B14" i="26"/>
  <c r="B15" i="26"/>
  <c r="B16" i="26"/>
  <c r="B17" i="26"/>
  <c r="B18" i="26"/>
  <c r="B19" i="26"/>
  <c r="B20" i="26"/>
  <c r="B21" i="26"/>
  <c r="B22" i="26"/>
  <c r="B23" i="26"/>
  <c r="B24" i="26"/>
  <c r="B25" i="26"/>
  <c r="B26" i="26"/>
  <c r="B27" i="26"/>
  <c r="B28" i="26"/>
  <c r="B4" i="26"/>
  <c r="C5" i="26"/>
  <c r="C6" i="26"/>
  <c r="C7" i="26"/>
  <c r="C8" i="26"/>
  <c r="C9" i="26"/>
  <c r="C10" i="26"/>
  <c r="C11" i="26"/>
  <c r="C12" i="26"/>
  <c r="C13" i="26"/>
  <c r="C14" i="26"/>
  <c r="C15" i="26"/>
  <c r="C16" i="26"/>
  <c r="C17" i="26"/>
  <c r="C18" i="26"/>
  <c r="C19" i="26"/>
  <c r="C20" i="26"/>
  <c r="C21" i="26"/>
  <c r="C22" i="26"/>
  <c r="C23" i="26"/>
  <c r="C24" i="26"/>
  <c r="C25" i="26"/>
  <c r="C26" i="26"/>
  <c r="C27" i="26"/>
  <c r="C28" i="26"/>
  <c r="C4" i="26"/>
  <c r="D5" i="26"/>
  <c r="C66" i="26" s="1"/>
  <c r="D6" i="26"/>
  <c r="D7" i="26"/>
  <c r="D8" i="26"/>
  <c r="D9" i="26"/>
  <c r="D10" i="26"/>
  <c r="D11" i="26"/>
  <c r="D12" i="26"/>
  <c r="D13" i="26"/>
  <c r="D14" i="26"/>
  <c r="D15" i="26"/>
  <c r="D16" i="26"/>
  <c r="D17" i="26"/>
  <c r="D18" i="26"/>
  <c r="D19" i="26"/>
  <c r="D20" i="26"/>
  <c r="D21" i="26"/>
  <c r="D22" i="26"/>
  <c r="C72" i="26" s="1"/>
  <c r="D23" i="26"/>
  <c r="D24" i="26"/>
  <c r="D25" i="26"/>
  <c r="D26" i="26"/>
  <c r="D27" i="26"/>
  <c r="D28" i="26"/>
  <c r="D4" i="26"/>
  <c r="E6" i="26"/>
  <c r="E7" i="26"/>
  <c r="E8" i="26"/>
  <c r="E9" i="26"/>
  <c r="D64" i="26" s="1"/>
  <c r="E10" i="26"/>
  <c r="E11" i="26"/>
  <c r="E12" i="26"/>
  <c r="E13" i="26"/>
  <c r="E14" i="26"/>
  <c r="E15" i="26"/>
  <c r="E16" i="26"/>
  <c r="E17" i="26"/>
  <c r="E18" i="26"/>
  <c r="E19" i="26"/>
  <c r="E20" i="26"/>
  <c r="E21" i="26"/>
  <c r="E22" i="26"/>
  <c r="E23" i="26"/>
  <c r="E24" i="26"/>
  <c r="E25" i="26"/>
  <c r="E26" i="26"/>
  <c r="E27" i="26"/>
  <c r="E28" i="26"/>
  <c r="E5" i="26"/>
  <c r="E4" i="26"/>
  <c r="F5" i="26"/>
  <c r="F6" i="26"/>
  <c r="F7" i="26"/>
  <c r="F8" i="26"/>
  <c r="F9" i="26"/>
  <c r="F10" i="26"/>
  <c r="F11" i="26"/>
  <c r="F12" i="26"/>
  <c r="F13" i="26"/>
  <c r="F14" i="26"/>
  <c r="F15" i="26"/>
  <c r="F16" i="26"/>
  <c r="F17" i="26"/>
  <c r="F18" i="26"/>
  <c r="F19" i="26"/>
  <c r="F20" i="26"/>
  <c r="F21" i="26"/>
  <c r="F22" i="26"/>
  <c r="F23" i="26"/>
  <c r="F24" i="26"/>
  <c r="F25" i="26"/>
  <c r="F26" i="26"/>
  <c r="F27" i="26"/>
  <c r="F28" i="26"/>
  <c r="F4" i="26"/>
  <c r="J42" i="26" s="1"/>
  <c r="G5" i="26"/>
  <c r="G6" i="26"/>
  <c r="G7" i="26"/>
  <c r="G8" i="26"/>
  <c r="G9" i="26"/>
  <c r="G10" i="26"/>
  <c r="G11" i="26"/>
  <c r="G12" i="26"/>
  <c r="G13" i="26"/>
  <c r="G14" i="26"/>
  <c r="G15" i="26"/>
  <c r="G16" i="26"/>
  <c r="G17" i="26"/>
  <c r="G18" i="26"/>
  <c r="G19" i="26"/>
  <c r="G20" i="26"/>
  <c r="G21" i="26"/>
  <c r="K42" i="26" s="1"/>
  <c r="G22" i="26"/>
  <c r="G23" i="26"/>
  <c r="G24" i="26"/>
  <c r="G25" i="26"/>
  <c r="G26" i="26"/>
  <c r="G27" i="26"/>
  <c r="G28" i="26"/>
  <c r="G4" i="26"/>
  <c r="I4" i="26"/>
  <c r="I5" i="26"/>
  <c r="K68" i="26"/>
  <c r="J58" i="26"/>
  <c r="J59" i="26"/>
  <c r="J60" i="26"/>
  <c r="J57" i="26"/>
  <c r="J68" i="26"/>
  <c r="J67" i="26" a="1"/>
  <c r="J67" i="26" s="1"/>
  <c r="J66" i="26"/>
  <c r="J65" i="26"/>
  <c r="J64" i="26"/>
  <c r="J63" i="26" a="1"/>
  <c r="J63" i="26" s="1"/>
  <c r="K55" i="26"/>
  <c r="J55" i="26"/>
  <c r="K46" i="26"/>
  <c r="K33" i="26"/>
  <c r="J33" i="26"/>
  <c r="D55" i="26"/>
  <c r="C55" i="26"/>
  <c r="D42" i="26"/>
  <c r="C42" i="26"/>
  <c r="D33" i="26"/>
  <c r="C33" i="26"/>
  <c r="C29" i="8"/>
  <c r="C43" i="8"/>
  <c r="C36" i="8"/>
  <c r="C37" i="8"/>
  <c r="C24" i="8"/>
  <c r="C31" i="8"/>
  <c r="C32" i="8"/>
  <c r="C45" i="8"/>
  <c r="C38" i="8"/>
  <c r="C39" i="8"/>
  <c r="C46" i="8"/>
  <c r="C47" i="8"/>
  <c r="C27" i="8"/>
  <c r="C48" i="8"/>
  <c r="C44" i="8"/>
  <c r="C34" i="8"/>
  <c r="C26" i="8"/>
  <c r="C28" i="8"/>
  <c r="C25" i="8"/>
  <c r="C40" i="8"/>
  <c r="C41" i="8"/>
  <c r="C42" i="8"/>
  <c r="C33" i="8"/>
  <c r="C30" i="8"/>
  <c r="C49" i="8"/>
  <c r="C35" i="8"/>
  <c r="B42" i="8"/>
  <c r="B48" i="8"/>
  <c r="B34" i="8"/>
  <c r="B31" i="8"/>
  <c r="B49" i="8"/>
  <c r="B27" i="8"/>
  <c r="B36" i="8"/>
  <c r="B45" i="8"/>
  <c r="B38" i="8"/>
  <c r="B46" i="8"/>
  <c r="B41" i="8"/>
  <c r="B29" i="8"/>
  <c r="B35" i="8"/>
  <c r="B37" i="8"/>
  <c r="B25" i="8"/>
  <c r="B32" i="8"/>
  <c r="B24" i="8"/>
  <c r="B43" i="8"/>
  <c r="B47" i="8"/>
  <c r="B30" i="8"/>
  <c r="B40" i="8"/>
  <c r="B44" i="8"/>
  <c r="B33" i="8"/>
  <c r="B26" i="8"/>
  <c r="B28" i="8"/>
  <c r="B39" i="8"/>
  <c r="C41" i="26" l="1" a="1"/>
  <c r="C41" i="26" s="1"/>
  <c r="C35" i="26" s="1"/>
  <c r="C44" i="26"/>
  <c r="C37" i="26" s="1"/>
  <c r="C46" i="26"/>
  <c r="C45" i="26" a="1"/>
  <c r="C45" i="26" s="1"/>
  <c r="C38" i="26" s="1"/>
  <c r="D43" i="26"/>
  <c r="D36" i="26" s="1"/>
  <c r="D41" i="26" a="1"/>
  <c r="D41" i="26" s="1"/>
  <c r="D44" i="26"/>
  <c r="D46" i="26"/>
  <c r="C68" i="26"/>
  <c r="C65" i="26"/>
  <c r="C59" i="26" s="1"/>
  <c r="C64" i="26"/>
  <c r="D65" i="26"/>
  <c r="D58" i="26" s="1"/>
  <c r="D68" i="26"/>
  <c r="D66" i="26"/>
  <c r="J43" i="26"/>
  <c r="J36" i="26" s="1"/>
  <c r="J46" i="26"/>
  <c r="J44" i="26"/>
  <c r="K41" i="26" a="1"/>
  <c r="K41" i="26" s="1"/>
  <c r="K43" i="26"/>
  <c r="K36" i="26" s="1"/>
  <c r="K44" i="26"/>
  <c r="K65" i="26"/>
  <c r="K66" i="26"/>
  <c r="K64" i="26"/>
  <c r="C48" i="26" l="1"/>
  <c r="C34" i="26" s="1"/>
  <c r="D35" i="26"/>
  <c r="D45" i="26" a="1"/>
  <c r="D45" i="26" s="1"/>
  <c r="D38" i="26" s="1"/>
  <c r="D37" i="26"/>
  <c r="C67" i="26" a="1"/>
  <c r="C67" i="26" s="1"/>
  <c r="C60" i="26" s="1"/>
  <c r="C63" i="26" a="1"/>
  <c r="C63" i="26" s="1"/>
  <c r="C57" i="26" s="1"/>
  <c r="C58" i="26"/>
  <c r="D63" i="26" a="1"/>
  <c r="D63" i="26" s="1"/>
  <c r="D67" i="26" a="1"/>
  <c r="D67" i="26" s="1"/>
  <c r="D60" i="26" s="1"/>
  <c r="D59" i="26"/>
  <c r="J45" i="26" a="1"/>
  <c r="J45" i="26" s="1"/>
  <c r="J38" i="26" s="1"/>
  <c r="J37" i="26"/>
  <c r="J41" i="26" a="1"/>
  <c r="J41" i="26" s="1"/>
  <c r="J35" i="26" s="1"/>
  <c r="K35" i="26"/>
  <c r="K37" i="26"/>
  <c r="K45" i="26" a="1"/>
  <c r="K45" i="26" s="1"/>
  <c r="K38" i="26" s="1"/>
  <c r="K63" i="26" a="1"/>
  <c r="K63" i="26" s="1"/>
  <c r="K58" i="26"/>
  <c r="K67" i="26" a="1"/>
  <c r="K67" i="26" s="1"/>
  <c r="K60" i="26" s="1"/>
  <c r="K59" i="26"/>
  <c r="D34" i="26" l="1"/>
  <c r="D39" i="26"/>
  <c r="C39" i="26"/>
  <c r="D57" i="26"/>
  <c r="C70" i="26"/>
  <c r="J48" i="26"/>
  <c r="J34" i="26" s="1"/>
  <c r="J70" i="26"/>
  <c r="K57" i="26"/>
  <c r="C56" i="26" l="1"/>
  <c r="C61" i="26"/>
  <c r="D61" i="26"/>
  <c r="D56" i="26"/>
  <c r="K34" i="26"/>
  <c r="K39" i="26"/>
  <c r="J39" i="26"/>
  <c r="J56" i="26"/>
  <c r="J61" i="26"/>
  <c r="K61" i="26"/>
  <c r="K56" i="26"/>
  <c r="I6" i="26" l="1"/>
  <c r="I7" i="26"/>
  <c r="I8" i="26"/>
  <c r="I9" i="26"/>
  <c r="I10" i="26"/>
  <c r="I11" i="26"/>
  <c r="I12" i="26"/>
  <c r="I13" i="26"/>
  <c r="I14" i="26"/>
  <c r="I15" i="26"/>
  <c r="I16" i="26"/>
  <c r="I17" i="26"/>
  <c r="I18" i="26"/>
  <c r="I19" i="26"/>
  <c r="I20" i="26"/>
  <c r="I21" i="26"/>
  <c r="I22" i="26"/>
  <c r="I23" i="26"/>
  <c r="I24" i="26"/>
  <c r="I25" i="26"/>
  <c r="I26" i="26"/>
  <c r="I27" i="26"/>
  <c r="I28" i="26"/>
  <c r="H5" i="26"/>
  <c r="H6" i="26"/>
  <c r="H7" i="26"/>
  <c r="H8" i="26"/>
  <c r="H9" i="26"/>
  <c r="H10" i="26"/>
  <c r="H11" i="26"/>
  <c r="H12" i="26"/>
  <c r="H13" i="26"/>
  <c r="H14" i="26"/>
  <c r="H15" i="26"/>
  <c r="H16" i="26"/>
  <c r="H17" i="26"/>
  <c r="H18" i="26"/>
  <c r="H19" i="26"/>
  <c r="H20" i="26"/>
  <c r="H21" i="26"/>
  <c r="H22" i="26"/>
  <c r="H23" i="26"/>
  <c r="H24" i="26"/>
  <c r="H25" i="26"/>
  <c r="H26" i="26"/>
  <c r="H27" i="26"/>
  <c r="H28" i="26"/>
  <c r="H4" i="26"/>
  <c r="AP36" i="1"/>
  <c r="AP35" i="1"/>
  <c r="AP34" i="1"/>
  <c r="AP33" i="1"/>
  <c r="AP32" i="1"/>
  <c r="AP31" i="1"/>
  <c r="AP30" i="1"/>
  <c r="AP36" i="2" l="1"/>
  <c r="AP35" i="2"/>
  <c r="AP34" i="2"/>
  <c r="AP33" i="2"/>
  <c r="AP32" i="2"/>
  <c r="AP31" i="2"/>
  <c r="AP29" i="2"/>
  <c r="AP28" i="2"/>
  <c r="AP27" i="2"/>
  <c r="AP26" i="2"/>
  <c r="AP25" i="2"/>
  <c r="AP24" i="2"/>
  <c r="AP23" i="2"/>
  <c r="AP22" i="2"/>
  <c r="AP21" i="2"/>
  <c r="AP20" i="2"/>
  <c r="AP19" i="2"/>
  <c r="AP18" i="2"/>
  <c r="AP17" i="2"/>
  <c r="AP16" i="2"/>
  <c r="AP15" i="2"/>
  <c r="AP14" i="2"/>
  <c r="AP13" i="2"/>
  <c r="AP12" i="2"/>
  <c r="AP11" i="2"/>
  <c r="AP10" i="2"/>
  <c r="AP9" i="2"/>
  <c r="AP8" i="2"/>
  <c r="AP7" i="2"/>
  <c r="AP6" i="2"/>
  <c r="AP5" i="2"/>
  <c r="AP4" i="2"/>
  <c r="AP30" i="2" s="1"/>
  <c r="AP5" i="1"/>
  <c r="AP6" i="1"/>
  <c r="AP7" i="1"/>
  <c r="AP8" i="1"/>
  <c r="AP9" i="1"/>
  <c r="AP10" i="1"/>
  <c r="AP11" i="1"/>
  <c r="AP12" i="1"/>
  <c r="AP13" i="1"/>
  <c r="AP14" i="1"/>
  <c r="AP15" i="1"/>
  <c r="AP16" i="1"/>
  <c r="AP17" i="1"/>
  <c r="AP18" i="1"/>
  <c r="AP19" i="1"/>
  <c r="AP20" i="1"/>
  <c r="AP21" i="1"/>
  <c r="AP22" i="1"/>
  <c r="AP23" i="1"/>
  <c r="AP24" i="1"/>
  <c r="AP25" i="1"/>
  <c r="AP26" i="1"/>
  <c r="AP27" i="1"/>
  <c r="AP28" i="1"/>
  <c r="AP29" i="1"/>
  <c r="AP4" i="1"/>
  <c r="E20" i="8" l="1"/>
  <c r="H6" i="8" l="1"/>
  <c r="H10" i="8" l="1"/>
  <c r="G10" i="8"/>
  <c r="F10" i="8"/>
  <c r="E10" i="8"/>
  <c r="D10" i="8"/>
  <c r="C10" i="8"/>
  <c r="H9" i="8"/>
  <c r="G9" i="8"/>
  <c r="F9" i="8"/>
  <c r="E9" i="8"/>
  <c r="D9" i="8"/>
  <c r="C9" i="8"/>
  <c r="G6" i="8"/>
  <c r="F6" i="8"/>
  <c r="E6" i="8"/>
  <c r="D6" i="8"/>
  <c r="C6" i="8"/>
  <c r="H5" i="8"/>
  <c r="G5" i="8"/>
  <c r="F5" i="8"/>
  <c r="E5" i="8"/>
  <c r="D5" i="8"/>
  <c r="C5" i="8"/>
  <c r="Z34" i="2" l="1"/>
  <c r="AP45" i="1"/>
  <c r="AP44" i="1"/>
  <c r="AP43" i="1"/>
  <c r="AP42" i="1"/>
  <c r="AP45" i="2"/>
  <c r="AP44" i="2"/>
  <c r="AP43" i="2"/>
  <c r="AP42" i="2"/>
  <c r="AL45" i="1"/>
  <c r="AK45" i="1"/>
  <c r="AJ45" i="1"/>
  <c r="AI45" i="1"/>
  <c r="AH45" i="1"/>
  <c r="AG45" i="1"/>
  <c r="AF45" i="1"/>
  <c r="AL44" i="1"/>
  <c r="AK44" i="1"/>
  <c r="AJ44" i="1"/>
  <c r="AI44" i="1"/>
  <c r="AH44" i="1"/>
  <c r="AG44" i="1"/>
  <c r="AF44" i="1"/>
  <c r="AL43" i="1"/>
  <c r="AK43" i="1"/>
  <c r="AJ43" i="1"/>
  <c r="AI43" i="1"/>
  <c r="AH43" i="1"/>
  <c r="AG43" i="1"/>
  <c r="AF43" i="1"/>
  <c r="AL42" i="1"/>
  <c r="AK42" i="1"/>
  <c r="AJ42" i="1"/>
  <c r="AI42" i="1"/>
  <c r="AH42" i="1"/>
  <c r="AG42" i="1"/>
  <c r="AF42" i="1"/>
  <c r="AE35" i="1"/>
  <c r="AD35" i="1"/>
  <c r="AC35" i="1"/>
  <c r="AB35" i="1"/>
  <c r="AA35" i="1"/>
  <c r="Z35" i="1"/>
  <c r="AE34" i="1"/>
  <c r="AD34" i="1"/>
  <c r="AC34" i="1"/>
  <c r="AB34" i="1"/>
  <c r="AA34" i="1"/>
  <c r="Z34" i="1"/>
  <c r="Y40" i="1"/>
  <c r="X40" i="1"/>
  <c r="W40" i="1"/>
  <c r="V40" i="1"/>
  <c r="U40" i="1"/>
  <c r="T40" i="1"/>
  <c r="Y39" i="1"/>
  <c r="X39" i="1"/>
  <c r="W39" i="1"/>
  <c r="V39" i="1"/>
  <c r="U39" i="1"/>
  <c r="T39" i="1"/>
  <c r="P33" i="1"/>
  <c r="S36" i="1"/>
  <c r="R36" i="1"/>
  <c r="Q36" i="1"/>
  <c r="P36" i="1"/>
  <c r="S35" i="1"/>
  <c r="R35" i="1"/>
  <c r="Q35" i="1"/>
  <c r="P35" i="1"/>
  <c r="S34" i="1"/>
  <c r="R34" i="1"/>
  <c r="Q34" i="1"/>
  <c r="P34" i="1"/>
  <c r="S33" i="1"/>
  <c r="R33" i="1"/>
  <c r="Q33" i="1"/>
  <c r="AG45" i="2"/>
  <c r="AH45" i="2"/>
  <c r="AI45" i="2"/>
  <c r="AJ45" i="2"/>
  <c r="AK45" i="2"/>
  <c r="AL45" i="2"/>
  <c r="AF45" i="2"/>
  <c r="AG44" i="2"/>
  <c r="AH44" i="2"/>
  <c r="AI44" i="2"/>
  <c r="AJ44" i="2"/>
  <c r="AK44" i="2"/>
  <c r="AL44" i="2"/>
  <c r="AF44" i="2"/>
  <c r="AG43" i="2"/>
  <c r="AH43" i="2"/>
  <c r="AI43" i="2"/>
  <c r="AJ43" i="2"/>
  <c r="AK43" i="2"/>
  <c r="AL43" i="2"/>
  <c r="AF43" i="2"/>
  <c r="AG42" i="2"/>
  <c r="AH42" i="2"/>
  <c r="AI42" i="2"/>
  <c r="AJ42" i="2"/>
  <c r="AK42" i="2"/>
  <c r="AL42" i="2"/>
  <c r="AF42" i="2"/>
  <c r="Q36" i="2"/>
  <c r="R36" i="2"/>
  <c r="S36" i="2"/>
  <c r="P36" i="2"/>
  <c r="Q35" i="2"/>
  <c r="R35" i="2"/>
  <c r="S35" i="2"/>
  <c r="P35" i="2"/>
  <c r="Q34" i="2"/>
  <c r="R34" i="2"/>
  <c r="S34" i="2"/>
  <c r="P34" i="2"/>
  <c r="P33" i="2"/>
  <c r="Q33" i="2"/>
  <c r="R33" i="2"/>
  <c r="S33" i="2"/>
  <c r="Y40" i="2"/>
  <c r="X40" i="2"/>
  <c r="W40" i="2"/>
  <c r="V40" i="2"/>
  <c r="U40" i="2"/>
  <c r="T40" i="2"/>
  <c r="Y39" i="2"/>
  <c r="X39" i="2"/>
  <c r="W39" i="2"/>
  <c r="V39" i="2"/>
  <c r="U39" i="2"/>
  <c r="T39" i="2"/>
  <c r="AA35" i="2"/>
  <c r="AB35" i="2"/>
  <c r="AC35" i="2"/>
  <c r="AD35" i="2"/>
  <c r="AE35" i="2"/>
  <c r="Z35" i="2"/>
  <c r="AB34" i="2"/>
  <c r="AA34" i="2"/>
  <c r="AC34" i="2"/>
  <c r="AD34" i="2"/>
  <c r="AE34" i="2"/>
  <c r="A58" i="5"/>
  <c r="A42" i="5"/>
  <c r="I11" i="5"/>
  <c r="F11" i="5"/>
  <c r="M8" i="5"/>
  <c r="M7" i="5"/>
  <c r="B36" i="5"/>
  <c r="AM29" i="2"/>
  <c r="AH29" i="2"/>
  <c r="AM28" i="2"/>
  <c r="AH28" i="2"/>
  <c r="AM27" i="2"/>
  <c r="AH27" i="2"/>
  <c r="AM26" i="2"/>
  <c r="AH26" i="2"/>
  <c r="AM25" i="2"/>
  <c r="AH25" i="2"/>
  <c r="AM24" i="2"/>
  <c r="B28" i="5" s="1"/>
  <c r="AH24" i="2"/>
  <c r="AM23" i="2"/>
  <c r="B27" i="5" s="1"/>
  <c r="AH23" i="2"/>
  <c r="AM22" i="2"/>
  <c r="B26" i="5" s="1"/>
  <c r="AH22" i="2"/>
  <c r="AM21" i="2"/>
  <c r="B25" i="5" s="1"/>
  <c r="AH21" i="2"/>
  <c r="AM20" i="2"/>
  <c r="B24" i="5" s="1"/>
  <c r="AH20" i="2"/>
  <c r="AM19" i="2"/>
  <c r="B23" i="5" s="1"/>
  <c r="AH19" i="2"/>
  <c r="AM18" i="2"/>
  <c r="B22" i="5" s="1"/>
  <c r="AH18" i="2"/>
  <c r="AM17" i="2"/>
  <c r="B21" i="5" s="1"/>
  <c r="AH17" i="2"/>
  <c r="AM16" i="2"/>
  <c r="B20" i="5" s="1"/>
  <c r="AH16" i="2"/>
  <c r="AM15" i="2"/>
  <c r="B19" i="5" s="1"/>
  <c r="AH15" i="2"/>
  <c r="AM14" i="2"/>
  <c r="B18" i="5" s="1"/>
  <c r="AH14" i="2"/>
  <c r="AM13" i="2"/>
  <c r="B17" i="5" s="1"/>
  <c r="AH13" i="2"/>
  <c r="AM12" i="2"/>
  <c r="B16" i="5" s="1"/>
  <c r="AH12" i="2"/>
  <c r="AM11" i="2"/>
  <c r="B15" i="5" s="1"/>
  <c r="AH11" i="2"/>
  <c r="AM10" i="2"/>
  <c r="B14" i="5" s="1"/>
  <c r="AH10" i="2"/>
  <c r="AM9" i="2"/>
  <c r="B13" i="5" s="1"/>
  <c r="AH9" i="2"/>
  <c r="AM8" i="2"/>
  <c r="B12" i="5" s="1"/>
  <c r="AH8" i="2"/>
  <c r="AM7" i="2"/>
  <c r="B11" i="5" s="1"/>
  <c r="AH7" i="2"/>
  <c r="AM6" i="2"/>
  <c r="B10" i="5" s="1"/>
  <c r="AH6" i="2"/>
  <c r="AM5" i="2"/>
  <c r="B9" i="5" s="1"/>
  <c r="AH5" i="2"/>
  <c r="AM4" i="2"/>
  <c r="B8" i="5" s="1"/>
  <c r="AH4" i="2"/>
  <c r="AM29" i="1"/>
  <c r="AH29" i="1"/>
  <c r="AM28" i="1"/>
  <c r="AK28" i="1"/>
  <c r="AH28" i="1"/>
  <c r="AM27" i="1"/>
  <c r="A47" i="5" s="1"/>
  <c r="AH27" i="1"/>
  <c r="AM26" i="1"/>
  <c r="AK26" i="1"/>
  <c r="AH26" i="1"/>
  <c r="AM25" i="1"/>
  <c r="AK25" i="1"/>
  <c r="AH25" i="1"/>
  <c r="AM24" i="1"/>
  <c r="AK24" i="1"/>
  <c r="AH24" i="1"/>
  <c r="AM23" i="1"/>
  <c r="AH23" i="1"/>
  <c r="AM22" i="1"/>
  <c r="A26" i="5" s="1"/>
  <c r="AK22" i="1"/>
  <c r="AH22" i="1"/>
  <c r="AM21" i="1"/>
  <c r="A25" i="5" s="1"/>
  <c r="AH21" i="1"/>
  <c r="AM20" i="1"/>
  <c r="A24" i="5" s="1"/>
  <c r="AK20" i="1"/>
  <c r="AH20" i="1"/>
  <c r="AM19" i="1"/>
  <c r="A23" i="5" s="1"/>
  <c r="AM18" i="1"/>
  <c r="A22" i="5" s="1"/>
  <c r="AH18" i="1"/>
  <c r="AM17" i="1"/>
  <c r="A21" i="5" s="1"/>
  <c r="AH17" i="1"/>
  <c r="AM16" i="1"/>
  <c r="A20" i="5" s="1"/>
  <c r="AH16" i="1"/>
  <c r="AM15" i="1"/>
  <c r="A19" i="5" s="1"/>
  <c r="AH15" i="1"/>
  <c r="AM14" i="1"/>
  <c r="A18" i="5" s="1"/>
  <c r="AH14" i="1"/>
  <c r="AM13" i="1"/>
  <c r="A17" i="5" s="1"/>
  <c r="AH13" i="1"/>
  <c r="AM12" i="1"/>
  <c r="A16" i="5" s="1"/>
  <c r="AH12" i="1"/>
  <c r="AM11" i="1"/>
  <c r="A15" i="5" s="1"/>
  <c r="AH11" i="1"/>
  <c r="AM10" i="1"/>
  <c r="A14" i="5" s="1"/>
  <c r="AH10" i="1"/>
  <c r="AM9" i="1"/>
  <c r="A13" i="5" s="1"/>
  <c r="AH9" i="1"/>
  <c r="AM8" i="1"/>
  <c r="A12" i="5" s="1"/>
  <c r="AH8" i="1"/>
  <c r="AM7" i="1"/>
  <c r="A11" i="5" s="1"/>
  <c r="AH7" i="1"/>
  <c r="AM6" i="1"/>
  <c r="A10" i="5" s="1"/>
  <c r="AH6" i="1"/>
  <c r="AM5" i="1"/>
  <c r="A9" i="5" s="1"/>
  <c r="AH5" i="1"/>
  <c r="AM4" i="1"/>
  <c r="A8" i="5" s="1"/>
  <c r="AH4" i="1"/>
  <c r="B30" i="5" l="1"/>
  <c r="B45" i="5"/>
  <c r="V6" i="5"/>
  <c r="V7" i="5"/>
  <c r="Q15" i="5"/>
  <c r="Q19" i="5" s="1"/>
  <c r="Q16" i="5"/>
  <c r="Q13" i="5"/>
  <c r="Q18" i="5" s="1"/>
  <c r="Q20" i="5" s="1"/>
  <c r="Q14" i="5"/>
  <c r="A50" i="5"/>
  <c r="A34" i="5"/>
  <c r="Y6" i="5"/>
  <c r="Y7" i="5"/>
  <c r="T13" i="5"/>
  <c r="T18" i="5" s="1"/>
  <c r="T20" i="5" s="1"/>
  <c r="T14" i="5"/>
  <c r="T15" i="5"/>
  <c r="T19" i="5" s="1"/>
  <c r="T16" i="5"/>
  <c r="A56" i="5"/>
  <c r="A40" i="5"/>
  <c r="B40" i="5"/>
  <c r="B55" i="5"/>
  <c r="B33" i="5"/>
  <c r="B48" i="5"/>
  <c r="B41" i="5"/>
  <c r="B56" i="5"/>
  <c r="AB6" i="5"/>
  <c r="AB7" i="5"/>
  <c r="A48" i="5"/>
  <c r="A32" i="5"/>
  <c r="Z6" i="5"/>
  <c r="Z7" i="5"/>
  <c r="G9" i="5"/>
  <c r="G8" i="5"/>
  <c r="V13" i="5"/>
  <c r="V18" i="5" s="1"/>
  <c r="V14" i="5"/>
  <c r="V15" i="5"/>
  <c r="V19" i="5" s="1"/>
  <c r="V16" i="5"/>
  <c r="A45" i="5"/>
  <c r="A29" i="5"/>
  <c r="AC6" i="5"/>
  <c r="AC7" i="5"/>
  <c r="U6" i="5"/>
  <c r="U7" i="5"/>
  <c r="U8" i="5" s="1"/>
  <c r="U9" i="5" s="1"/>
  <c r="A44" i="5"/>
  <c r="A28" i="5"/>
  <c r="B32" i="5"/>
  <c r="B47" i="5"/>
  <c r="A51" i="5"/>
  <c r="A35" i="5"/>
  <c r="AA6" i="5"/>
  <c r="AA7" i="5"/>
  <c r="A52" i="5"/>
  <c r="A36" i="5"/>
  <c r="X13" i="5"/>
  <c r="X18" i="5" s="1"/>
  <c r="X14" i="5"/>
  <c r="X15" i="5"/>
  <c r="X19" i="5" s="1"/>
  <c r="X16" i="5"/>
  <c r="B49" i="5"/>
  <c r="B34" i="5"/>
  <c r="B57" i="5"/>
  <c r="B42" i="5"/>
  <c r="Y13" i="5"/>
  <c r="Y18" i="5" s="1"/>
  <c r="Y14" i="5"/>
  <c r="Y15" i="5"/>
  <c r="Y19" i="5" s="1"/>
  <c r="Y16" i="5"/>
  <c r="Z13" i="5"/>
  <c r="Z18" i="5" s="1"/>
  <c r="Z14" i="5"/>
  <c r="Z15" i="5"/>
  <c r="Z19" i="5" s="1"/>
  <c r="Z16" i="5"/>
  <c r="A54" i="5"/>
  <c r="A38" i="5"/>
  <c r="Q6" i="5"/>
  <c r="Q7" i="5"/>
  <c r="I9" i="5"/>
  <c r="R7" i="5"/>
  <c r="AC13" i="5"/>
  <c r="AC18" i="5" s="1"/>
  <c r="J8" i="5"/>
  <c r="AC14" i="5"/>
  <c r="AC15" i="5"/>
  <c r="AC19" i="5" s="1"/>
  <c r="AC16" i="5"/>
  <c r="J9" i="5"/>
  <c r="F9" i="5"/>
  <c r="F8" i="5"/>
  <c r="U13" i="5"/>
  <c r="U18" i="5" s="1"/>
  <c r="U14" i="5"/>
  <c r="U15" i="5"/>
  <c r="U19" i="5" s="1"/>
  <c r="U16" i="5"/>
  <c r="A53" i="5"/>
  <c r="A37" i="5"/>
  <c r="A46" i="5"/>
  <c r="A30" i="5"/>
  <c r="B35" i="5"/>
  <c r="B50" i="5"/>
  <c r="AA13" i="5"/>
  <c r="AA18" i="5" s="1"/>
  <c r="AA14" i="5"/>
  <c r="AA15" i="5"/>
  <c r="AA19" i="5" s="1"/>
  <c r="AA16" i="5"/>
  <c r="A55" i="5"/>
  <c r="A39" i="5"/>
  <c r="S7" i="5"/>
  <c r="S8" i="5" s="1"/>
  <c r="S9" i="5" s="1"/>
  <c r="S6" i="5"/>
  <c r="B29" i="5"/>
  <c r="B44" i="5"/>
  <c r="B37" i="5"/>
  <c r="B52" i="5"/>
  <c r="T7" i="5"/>
  <c r="T6" i="5"/>
  <c r="B38" i="5"/>
  <c r="B53" i="5"/>
  <c r="A43" i="5"/>
  <c r="A27" i="5"/>
  <c r="A49" i="5"/>
  <c r="A33" i="5"/>
  <c r="A57" i="5"/>
  <c r="A41" i="5"/>
  <c r="R16" i="5"/>
  <c r="R13" i="5"/>
  <c r="R18" i="5" s="1"/>
  <c r="R14" i="5"/>
  <c r="R15" i="5"/>
  <c r="R19" i="5" s="1"/>
  <c r="B31" i="5"/>
  <c r="B46" i="5"/>
  <c r="B39" i="5"/>
  <c r="B54" i="5"/>
  <c r="X6" i="5"/>
  <c r="X7" i="5"/>
  <c r="S16" i="5"/>
  <c r="S13" i="5"/>
  <c r="S18" i="5" s="1"/>
  <c r="S14" i="5"/>
  <c r="S15" i="5"/>
  <c r="S19" i="5" s="1"/>
  <c r="R6" i="5"/>
  <c r="B43" i="5"/>
  <c r="B51" i="5"/>
  <c r="AB16" i="5"/>
  <c r="AB15" i="5"/>
  <c r="AB19" i="5" s="1"/>
  <c r="A31" i="5"/>
  <c r="AB14" i="5"/>
  <c r="I8" i="5"/>
  <c r="AB13" i="5"/>
  <c r="AB18" i="5" s="1"/>
  <c r="Q8" i="5" l="1"/>
  <c r="Q9" i="5" s="1"/>
  <c r="V8" i="5"/>
  <c r="V9" i="5" s="1"/>
  <c r="AA20" i="5"/>
  <c r="AC8" i="5"/>
  <c r="AC9" i="5" s="1"/>
  <c r="Z8" i="5"/>
  <c r="Z9" i="5" s="1"/>
  <c r="Y8" i="5"/>
  <c r="Y9" i="5" s="1"/>
  <c r="X20" i="5"/>
  <c r="AA8" i="5"/>
  <c r="AA9" i="5" s="1"/>
  <c r="X8" i="5"/>
  <c r="X9" i="5" s="1"/>
  <c r="J10" i="5"/>
  <c r="J12" i="5" s="1"/>
  <c r="J13" i="5" s="1"/>
  <c r="Z20" i="5"/>
  <c r="V20" i="5"/>
  <c r="AB8" i="5"/>
  <c r="AB9" i="5" s="1"/>
  <c r="R8" i="5"/>
  <c r="R9" i="5" s="1"/>
  <c r="G10" i="5"/>
  <c r="G12" i="5" s="1"/>
  <c r="G13" i="5" s="1"/>
  <c r="Y20" i="5"/>
  <c r="U20" i="5"/>
  <c r="R20" i="5"/>
  <c r="S20" i="5"/>
  <c r="F10" i="5"/>
  <c r="F12" i="5" s="1"/>
  <c r="F13" i="5" s="1"/>
  <c r="AC20" i="5"/>
  <c r="AB20" i="5"/>
  <c r="I10" i="5"/>
  <c r="I12" i="5" s="1"/>
  <c r="I13" i="5" s="1"/>
  <c r="T8" i="5"/>
  <c r="T9" i="5" s="1"/>
</calcChain>
</file>

<file path=xl/sharedStrings.xml><?xml version="1.0" encoding="utf-8"?>
<sst xmlns="http://schemas.openxmlformats.org/spreadsheetml/2006/main" count="1788" uniqueCount="214">
  <si>
    <t xml:space="preserve"> </t>
  </si>
  <si>
    <t>During the experiment:</t>
  </si>
  <si>
    <t>After the experiment:</t>
  </si>
  <si>
    <t>Measure Time</t>
  </si>
  <si>
    <t>Count Occurrences</t>
  </si>
  <si>
    <t>Evaluate Success(Potential)</t>
  </si>
  <si>
    <t>Evaluate Success(Overall)</t>
  </si>
  <si>
    <t>Notes</t>
  </si>
  <si>
    <t>Participant Number</t>
  </si>
  <si>
    <t>Date</t>
  </si>
  <si>
    <t>Start Time</t>
  </si>
  <si>
    <t>End Time</t>
  </si>
  <si>
    <t>First Run</t>
  </si>
  <si>
    <t>Started Programming for the Spacer</t>
  </si>
  <si>
    <t>Pick Spacer</t>
  </si>
  <si>
    <t>Place Spacer</t>
  </si>
  <si>
    <t>Started Programming for the Gear</t>
  </si>
  <si>
    <t>Pick Gear</t>
  </si>
  <si>
    <t>Place Gear</t>
  </si>
  <si>
    <t>Started Porgramming for the Propeller</t>
  </si>
  <si>
    <t>Pick Propeller</t>
  </si>
  <si>
    <t>Place Propeller
 (Full Completion)</t>
  </si>
  <si>
    <t>Program Execution Time</t>
  </si>
  <si>
    <t># Program Runs</t>
  </si>
  <si>
    <t># Objects Dropped</t>
  </si>
  <si>
    <t xml:space="preserve"># Controller Errors Motion Supervison </t>
  </si>
  <si>
    <t xml:space="preserve"># Controller Errors Predicted Collision </t>
  </si>
  <si>
    <t>Place Propeller</t>
  </si>
  <si>
    <t># R Blocks Used</t>
  </si>
  <si>
    <t># L Blocks Used</t>
  </si>
  <si>
    <t>#T Blocks Used</t>
  </si>
  <si>
    <t># Blocks: 
Wait for each other</t>
  </si>
  <si>
    <t># Blocks:
 Move and follow</t>
  </si>
  <si>
    <t># Defined Locations</t>
  </si>
  <si>
    <t># Restarts Programming</t>
  </si>
  <si>
    <t>Time Taken</t>
  </si>
  <si>
    <t>Details</t>
  </si>
  <si>
    <t>001a</t>
  </si>
  <si>
    <t>y</t>
  </si>
  <si>
    <t>-Mixed up both interfaces in the beginning (thought left was right and vice versa)                            -Testing after each new line of code                              -Four of the motion supervisions where because of the spacer not being held by the gripper when program was ran                               -Had to reteach gear drop position, stopped working started missing the drop point                               -Broken Grippers x2                                       -Robot Configuration Error x2</t>
  </si>
  <si>
    <t>002a</t>
  </si>
  <si>
    <t>-Getting stuck on understanding how to use the wait functionality of Duplo.                                              -Deleted part of their code at 9:51.                       -Atleast for now, is not using move and follow to program the lifting of the propeller.                     -Getting a motion supervision on the two armed pickup of the propeller, is using move in follow, however the taught locations are slightly twisting the right arm's gripper causing the error.</t>
  </si>
  <si>
    <t>003a</t>
  </si>
  <si>
    <t>n</t>
  </si>
  <si>
    <t>-Eventhough she was moving both arms, she was only storing the movements for the right arm.                                            -Getting suck on picking up the spacer, not understanding that they need to teach a position above to stop a motion supervision.              -Teaching drop locations without the pieces in the grippers is the reason why she couldnt Successfully place the propeller.                                -Duplo delteing postions, not sure why. approx, 6:20pm                                -They werent using the reteach function.They would instead delete the whole line, then reteach -Gripper broke x2                -Joint Speed Error x2 -Touch screen was having issues and closed out the program three times</t>
  </si>
  <si>
    <t>004a</t>
  </si>
  <si>
    <t xml:space="preserve">- Started programming the gear first, then remembered to program the spacer first. This will probably throw off the time.                                       - Programming extremely well!                                        - End time will be slightly after placed time because the participant had to rearange code. </t>
  </si>
  <si>
    <t>005a</t>
  </si>
  <si>
    <t xml:space="preserve">- Bug with workspace, 3:45pm. Recreated code with particpant. Approx 5-10mins                                  - Moving the arms in the wrong position for picking up the propeller, elbows are pointing straight up </t>
  </si>
  <si>
    <t>006a</t>
  </si>
  <si>
    <t>- Moved the spacer up out of this home spot to on the base, not going to not count it because it is still on the base. Later caused a lot of times not being placed because start orientation is not exactly the same.                                - Broken grippers x4                                   - Moving in the wrong direction error x1</t>
  </si>
  <si>
    <t>007a</t>
  </si>
  <si>
    <t xml:space="preserve">-They were programming the both the spacer and gear at the same time                                    -Was having issues picking up and placing the spacer                                                                         -Was programming for the spacer and gear without them being in place                                                              - Joint speed x2                                                       -After I saw it run two perfectly, the thrid time before I was going to time the execution, the spacer wouldnt place </t>
  </si>
  <si>
    <t>008a</t>
  </si>
  <si>
    <t>- Having troubles picking up the spacer, hasnt figured out how to pick it up so that it doesnt cause a motion supervision.                      - Broken Grippers x1                         - Had to go back and fix the drop locations for both the spacer and gear afterwards</t>
  </si>
  <si>
    <t>009a</t>
  </si>
  <si>
    <t>-Was having trouble with the gear -sometimes it would place, and sometimes wouldn't- because the location that was taught wasn't precise enough                                                                         -When placing propeller, didn't use the move sycnchronesless function, and that caused MS, however they figured it out after 2 runs                -When using the move and follow function, had troubles with the right joint not rotating as well    -The screen froze x2</t>
  </si>
  <si>
    <t>010a</t>
  </si>
  <si>
    <t xml:space="preserve">- Broken grippers x1                   - Teaches lots of positions, pretty steady progress.           - Getting suck on propeller for the time being, getting a motion supervision from twisting at the wrist too much. </t>
  </si>
  <si>
    <t>011a</t>
  </si>
  <si>
    <t>- Broken grippers x1               - Hasnt figured out that they need to teach a location up above he pick/place point. This is causing a motion supervision            - Has the same position taught for two seperate movements which is throwing it off. Basically shes trying to get the same named position to make two different location moves</t>
  </si>
  <si>
    <t>012a</t>
  </si>
  <si>
    <t xml:space="preserve">- Hasnt figured out how to prevent pridicted collision                                   - Had trouble figuring out how to place the gear correctly consistently, kept dropping out of the grippers. </t>
  </si>
  <si>
    <t>013a</t>
  </si>
  <si>
    <t xml:space="preserve">- didn't run it for the first time until he had completely programmed both the spacer and the gear.
- he succesfully picked and placed both the spacer and the gear, but he accidentally retaught a position and since there is no return button, then it was allowed for him to just continue onto programming the propeller without going back and fixing the gear. </t>
  </si>
  <si>
    <t>014a</t>
  </si>
  <si>
    <t xml:space="preserve">- Started participant on duplo even though the last participant tried duplo because they only had a limited amount of time and I knew that the most likely chance of sucess early on was with duplo.               -  Also because of participants limited time, I explained the movemnt commands to participant. </t>
  </si>
  <si>
    <t>015a</t>
  </si>
  <si>
    <t xml:space="preserve">-Initally confused about which arm was the right and left                                             -If a position didnt work,they would play around with different speeds before reteaching, this techinque worked when they were placing the spacer                                                    -joint speed </t>
  </si>
  <si>
    <t>016a</t>
  </si>
  <si>
    <t>-expirment with the wait for me blocks when trying to place the gear (many people usually move the the arm with the spacer).                                  -picking up the proppeller with the wrist joint twisted 90 degrees; At first it caused a couple of MS erorrs but the used the wait for me sunction to fix it,</t>
  </si>
  <si>
    <t>017a</t>
  </si>
  <si>
    <t xml:space="preserve">- started programming the gear first 
- it crashed and it didnt save so he had to start over (he had completed spacer and gear)
- kept having the error "Error in T_ROB_L before it crashed </t>
  </si>
  <si>
    <t>018a</t>
  </si>
  <si>
    <t>019a</t>
  </si>
  <si>
    <t xml:space="preserve">- instead of using the open and close gripper buttons to pick up the spacer, she would try to physically close the gripper by pushing them together
- she started trying to pick up the propeller with one arm in the middle of the propeller, so the time 5:47pm was when she successfully picked it up wth one arm. She picked it up with both arms at 6:16pm
- left gripper broke 
- right gripper broke </t>
  </si>
  <si>
    <t>020a</t>
  </si>
  <si>
    <t xml:space="preserve">- there was a "Robot Configuration Error" (x6) - she kept getting motion supervisions because she kept trying to pick up the gear diagonally and it kept getting caught on the edge of its platform  - left gripper broke - right gripper broke </t>
  </si>
  <si>
    <t>021a</t>
  </si>
  <si>
    <t xml:space="preserve">- couldn't close out of the teach new position window
- he is doing really well. he finished placing the spacer and the gear with only 5 runs 
- gripper broke </t>
  </si>
  <si>
    <t>022a</t>
  </si>
  <si>
    <t xml:space="preserve">- when it asked if she wanted to delete a position she said no and it wouldn't allow her to select a position or delete the block or interact with it. Then the program crashed and it did not save, so she had to start over. she has 5 runs previously (4:10pm)
- the start button wouldnt work, but everything else worked, so i restarted it 
- she taught a position, then the block and the position got deleted. She just retaught the position and continued
- the right arm hit the table and it disabled lead through mode
- joint speed error: she rotated the arm too much and it was outside of its range of motion
- she keeps trying to use move and follow to place the grippers around the propeller to pick it up but they are not lined up
- left gripper broke
- right gripper broke </t>
  </si>
  <si>
    <t>023a</t>
  </si>
  <si>
    <t>- couldnt exit out of the teach new position window
- robot configuration error x2
-moving in the wrong direction error x4: rootated the hands so both the ABB logos are on the inside when picking up the propeller to fix it
- right gripper broke x2
- left gripper broke
- we ran out of grippers, and he broke the right gripper again but had nothing to replace it with. he was about to place the propeller when it broke, so I gave him creidt for completing it because he would have if the gripper did not break</t>
  </si>
  <si>
    <t>024a</t>
  </si>
  <si>
    <t>-Grippers Broke x1</t>
  </si>
  <si>
    <t>025a</t>
  </si>
  <si>
    <t xml:space="preserve">- started programming for the gear first
- couldnt exit out of the teach position window once it was opened 
- tried picking up the propeller from the side, instead of from the top </t>
  </si>
  <si>
    <t>026a</t>
  </si>
  <si>
    <t>- left griper broke x2</t>
  </si>
  <si>
    <t>Count Occurrances</t>
  </si>
  <si>
    <t># Controller Errors Motion Supervision</t>
  </si>
  <si>
    <t># Controller Errors Predicted Collisions</t>
  </si>
  <si>
    <t>#R Blocks Used</t>
  </si>
  <si>
    <t>#L Blocks Used</t>
  </si>
  <si>
    <t>001b</t>
  </si>
  <si>
    <t xml:space="preserve">-Started on gear side. Placed that side before spacer. Realized at 11:10am that he needed to place spacer first.                        -Keep deleting all their code, was having lost of issues when the code placing in the wrong spot, and not being able to move or change code efficently. (all limitations of ORS)                       -Particiapants method was to program a good portion and then test it, if it didnt work he would start again from the beginning.                              -Tightened up the right arm gripper claws, they were becoming loose. </t>
  </si>
  <si>
    <t>002b</t>
  </si>
  <si>
    <t>-Program placed a command in the wrong spot, participant did not notice that it wouldnt place where intended. Working on a fix.                          -Had to restart the whole programming process after making a mistake, got caught back up to completion of gear and spacer at 6:13pm                                  -Although the participant placed the propeller at 06:33pm, the placer position was not working at that time. Not complete yet</t>
  </si>
  <si>
    <t>003b</t>
  </si>
  <si>
    <t>-Moving the arm to new locations but forgetting to teach those locations.                                -Teaching multiple repeated positions.                                -The reason we have less motion supervision errors is because instead of getting stuck and causing an error, the spacer would give and fling out of the grippers.</t>
  </si>
  <si>
    <t>004b</t>
  </si>
  <si>
    <t xml:space="preserve">-Programming points above the move home commands, didn't realize.                                     -Not really teaching locations, only moving the robot around and adding open or closed grippers. We will see.                               -Gave up at 5pm, 30 minutes early. </t>
  </si>
  <si>
    <t>005b</t>
  </si>
  <si>
    <t xml:space="preserve">-Started programming the gear before Successfully placing the spacer                              - Was confused about the left and right arm moving syncly because they kept on getting a predicted coll.                                                         -First run didnt work because they didnt store the locaations properly                                          -When location doesn't work, they delete the whole pprogram                                                       -Before the 5th time they restarted the program,everything worked except for placing the propeller                                                           -They stopped the expirrment 16 min befoore - Was getting really frustrated because couldn't get the propeller to be picked up at the same time </t>
  </si>
  <si>
    <t>006b</t>
  </si>
  <si>
    <t xml:space="preserve">- Unfriendlyness of the program made participant teach locations in the wrong spot, no way to move locations needing to remake postitions.                               - Doing very well however, quick turn around on the spacer </t>
  </si>
  <si>
    <t>007b</t>
  </si>
  <si>
    <t>- Participant is using the programmable open and close gripper buttons instead of the functional ones. Meaning they are having to delete all those taught open and close gripper commands.                   - Broken Gripper x1</t>
  </si>
  <si>
    <t>008b</t>
  </si>
  <si>
    <t>- Broke Grippers x1                           - Wrist of robot bending too much causing motion supervisions on attempts to place propeller</t>
  </si>
  <si>
    <t>009b</t>
  </si>
  <si>
    <t xml:space="preserve">-Didn't use reteach function, world delete the would location                     -First 3 MS were caused by the position of the arm when trying to place gear                                               -At first their solution to getting around the predicted collison was by having the left arm grippers closed many times                                             -Moving outside range error x3.      -Gripper broke </t>
  </si>
  <si>
    <t>010b</t>
  </si>
  <si>
    <t xml:space="preserve">- Placed spacer very quickly, listens to directions well!                       - Stuck at the making both robots pick and place the gear and spacer without PC. </t>
  </si>
  <si>
    <t>011b</t>
  </si>
  <si>
    <t>-Initally would forget to save the positions they taught                          -When programming for the spacer , the gripper placement wasnt precise so that caused  motion supervisions                                         - They made the hand parallel with the table to grab the spacer from the side, which caused a motion supervision because it was touching the table                                                          - Deleted the home position to stop having Motion suppervision     -Broken gripper  x3</t>
  </si>
  <si>
    <t>012b</t>
  </si>
  <si>
    <t xml:space="preserve">-adding positions but not moving the arms to teach positions.                                  -they don't really understand how the buttons and teaching the robot works 
- they were really struggling to understand the objective even though we stepped in to help explain multiple times and also telling them to refer to the guiding sheet
- they also keep deleting positions once they complete one task
- they also don't understand that they have to open the grippers and place the arms in a position to grab the peices. they only place the arm  several inches above the piece                                -stopped the expirment 30 min before </t>
  </si>
  <si>
    <t>013b</t>
  </si>
  <si>
    <t>- deleted the home position when she restarted 
- she kept getting motion supervision for the propeller because she kept trying to pick and place it in one move, so i refered her back to the paper 
- part of the electrical tape was missing, so the propeller kept slipping through the grippers. Masking tape was used to rewrap the ends of the propeller</t>
  </si>
  <si>
    <t>014b</t>
  </si>
  <si>
    <t>015b</t>
  </si>
  <si>
    <t>- Not realizing they need to teach a position before the pick position to stop motion supervisions from happening, the starting home position for ORS proves to be a handicap                   - Gripper Broken x2                        - Was unable to finish</t>
  </si>
  <si>
    <t>016b</t>
  </si>
  <si>
    <t>- he started by testing the grippers and the right one wouldnt close so I losened the screws                                  - Told participant not to worry about the spacer being spotty at placement. I knew he got it to work and we were running low on time so I told him to focus on getting farther with the placement of the gear and propeller.                           - Didnt use movesync at all
- right gripper broke, had to replace it
- whenever he runs into a problem, he deletes all his work</t>
  </si>
  <si>
    <t>017b</t>
  </si>
  <si>
    <t xml:space="preserve">-Started programming for the spacer and gear before first run                                            -At first they werent teaching the positions to place the spacer and gear so would just keep run until they realize          -quickly after they tried using two arms to pick the propeller and it didnt work, they immdealty tried to pick it up just using one then tried it with both arms again                        -They aciddently deleted the Home Pos on the right arm which created a bug so had to restart </t>
  </si>
  <si>
    <t>018b</t>
  </si>
  <si>
    <t>- couldnt find where the delete button was or where the back button was located
- gripper broke x2</t>
  </si>
  <si>
    <t>019b</t>
  </si>
  <si>
    <t>- Started porgramming the whole experiment out without testing at intermentent steps.                     - Grippers Broken x1                  - Left alot of unused code on the end</t>
  </si>
  <si>
    <t>020b</t>
  </si>
  <si>
    <t>-Coding all the movements without testing                       - Got propeller placement on first try</t>
  </si>
  <si>
    <t>021b</t>
  </si>
  <si>
    <t>- Programming very slowly, taking time to try things out and get a feel for interacting with the robot.                        - Programming all at once without testing.                       - Not using movesync, working on the timing between movements by adding more commands between stations                - Program stoped working because of pointer lost.</t>
  </si>
  <si>
    <t>022b</t>
  </si>
  <si>
    <t xml:space="preserve">-In the beginnging there was a problem with the pay load which would cause the right arm to drop the spacer but those drops werent accounted for                                                 -When programming the for the propellers, the first time used move sync but there was an error with that so they program to pick up the propeller by indiviually programming each arm </t>
  </si>
  <si>
    <t>023b</t>
  </si>
  <si>
    <t xml:space="preserve">   -when programming for the spacer and gear, the taugh positions wasn't precise so when they would run it, it would be way off                        -Broken gripper </t>
  </si>
  <si>
    <t>024b</t>
  </si>
  <si>
    <t>-Used both the right and left arm to pick up the gear               -Broken grippers x2</t>
  </si>
  <si>
    <t>025b</t>
  </si>
  <si>
    <t xml:space="preserve">-Used movesycn to place the gear after the placing the spacer                                                           -There was a time when the move sync weren't moving at the same time but I fixed it                                                                           -Broken gripper </t>
  </si>
  <si>
    <t>026b</t>
  </si>
  <si>
    <t>- the arms kept moving upwards after the pause button was pressed and it had a joint speed eroor x4
- after restarting, he tried to program the entire task without running it to test
- accidentally deleted the home position
- right gripper broke
- he kept completely restarting when he ran into problems</t>
  </si>
  <si>
    <t>DUPLO</t>
  </si>
  <si>
    <t xml:space="preserve">Start -&gt; Placed Spacer </t>
  </si>
  <si>
    <t xml:space="preserve">Started Programming -&gt; Placed Spacer </t>
  </si>
  <si>
    <t>Start -&gt; Placed Gear</t>
  </si>
  <si>
    <t>Started Programming -&gt; Placed Gear</t>
  </si>
  <si>
    <t>Start -&gt; Placed Propeller</t>
  </si>
  <si>
    <t>Started Programming -&gt; Placed Propeller</t>
  </si>
  <si>
    <t>Duplo</t>
  </si>
  <si>
    <t>ORS</t>
  </si>
  <si>
    <t>None</t>
  </si>
  <si>
    <t>RSOY</t>
  </si>
  <si>
    <t>Computed Values Sheet (Very Ugly)</t>
  </si>
  <si>
    <t>Computed Average Time Taken</t>
  </si>
  <si>
    <t>One armed pickup Count</t>
  </si>
  <si>
    <t>Restart Counter</t>
  </si>
  <si>
    <t>COUNT Y</t>
  </si>
  <si>
    <t>COUNT N</t>
  </si>
  <si>
    <t>SUM</t>
  </si>
  <si>
    <t>P.S</t>
  </si>
  <si>
    <t>P.US</t>
  </si>
  <si>
    <t>language</t>
  </si>
  <si>
    <t>metric</t>
  </si>
  <si>
    <t>value</t>
  </si>
  <si>
    <t>total_controller_error</t>
  </si>
  <si>
    <t>motion_supervision</t>
  </si>
  <si>
    <t>predicted_collision</t>
  </si>
  <si>
    <t>drops_count</t>
  </si>
  <si>
    <t>taught_Locations</t>
  </si>
  <si>
    <t xml:space="preserve">total_Blocked_Used </t>
  </si>
  <si>
    <t>Success</t>
  </si>
  <si>
    <t>Failure</t>
  </si>
  <si>
    <t>Average</t>
  </si>
  <si>
    <t>Minimum</t>
  </si>
  <si>
    <t>Maximum</t>
  </si>
  <si>
    <t>Standard Deviation</t>
  </si>
  <si>
    <t>Mean</t>
  </si>
  <si>
    <t>Median</t>
  </si>
  <si>
    <t>Min</t>
  </si>
  <si>
    <t>Q1-Min</t>
  </si>
  <si>
    <t>Med-Q1</t>
  </si>
  <si>
    <t>Q3-Med</t>
  </si>
  <si>
    <t>Max-Q3</t>
  </si>
  <si>
    <t>Time Taken (Minutes)</t>
  </si>
  <si>
    <t>Completed</t>
  </si>
  <si>
    <t>Did not complete</t>
  </si>
  <si>
    <t>Pick up Spacer</t>
  </si>
  <si>
    <t>Pick up Gear</t>
  </si>
  <si>
    <t>Pick up Propeller</t>
  </si>
  <si>
    <t>Completed 6</t>
  </si>
  <si>
    <t>Completed 5</t>
  </si>
  <si>
    <t>Completed 4</t>
  </si>
  <si>
    <t>Completed 3</t>
  </si>
  <si>
    <t>Completed 1</t>
  </si>
  <si>
    <t>Completed 2</t>
  </si>
  <si>
    <t>Completed 0</t>
  </si>
  <si>
    <t>Completion Rates</t>
  </si>
  <si>
    <t>Completion Rates (%)</t>
  </si>
  <si>
    <t># Tasks completed</t>
  </si>
  <si>
    <t>Multiplier</t>
  </si>
  <si>
    <t>Grand Min</t>
  </si>
  <si>
    <t>Outliers</t>
  </si>
  <si>
    <t>Q1</t>
  </si>
  <si>
    <t>Q3</t>
  </si>
  <si>
    <t>Max</t>
  </si>
  <si>
    <t>X</t>
  </si>
  <si>
    <t>#  Robot Collisions</t>
  </si>
  <si>
    <t># Predicted Collisions</t>
  </si>
  <si>
    <t># Robot Collisions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</si>
</sst>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dd/yyyy"/>
    <numFmt numFmtId="165" formatCode="m/d/yy"/>
    <numFmt numFmtId="166" formatCode="mm/dd/yy"/>
    <numFmt numFmtId="167" formatCode="0.0"/>
    <numFmt numFmtId="168" formatCode="0.0000"/>
  </numFmts>
  <fonts count="26">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i/>
      <sz val="11"/>
      <color theme="1"/>
      <name val="Calibri"/>
      <scheme val="minor"/>
    </font>
    <font>
      <u/>
      <sz val="11"/>
      <color rgb="FF1155CC"/>
      <name val="Calibri"/>
    </font>
    <font>
      <b/>
      <i/>
      <sz val="11"/>
      <color theme="1"/>
      <name val="Calibri"/>
    </font>
    <font>
      <b/>
      <sz val="11"/>
      <color rgb="FF000000"/>
      <name val="Calibri"/>
      <scheme val="minor"/>
    </font>
    <font>
      <sz val="11"/>
      <color rgb="FF4A86E8"/>
      <name val="Calibri"/>
      <scheme val="minor"/>
    </font>
    <font>
      <sz val="11"/>
      <color theme="1"/>
      <name val="Calibri"/>
      <scheme val="minor"/>
    </font>
    <font>
      <sz val="11"/>
      <color rgb="FF3C78D8"/>
      <name val="Calibri"/>
      <scheme val="minor"/>
    </font>
    <font>
      <sz val="11"/>
      <color theme="1"/>
      <name val="Calibri"/>
    </font>
    <font>
      <u/>
      <sz val="11"/>
      <color rgb="FF1155CC"/>
      <name val="Calibri"/>
    </font>
    <font>
      <sz val="11"/>
      <color rgb="FF000000"/>
      <name val="Docs-Calibri"/>
    </font>
    <font>
      <sz val="12"/>
      <color theme="1"/>
      <name val="Calibri"/>
      <scheme val="minor"/>
    </font>
    <font>
      <b/>
      <sz val="11"/>
      <color theme="1"/>
      <name val="Calibri"/>
      <scheme val="minor"/>
    </font>
    <font>
      <b/>
      <i/>
      <sz val="11"/>
      <color theme="1"/>
      <name val="Calibri"/>
      <scheme val="minor"/>
    </font>
    <font>
      <sz val="11"/>
      <color rgb="FF000000"/>
      <name val="Calibri"/>
      <scheme val="minor"/>
    </font>
    <font>
      <sz val="11"/>
      <color rgb="FF000000"/>
      <name val="Calibri"/>
    </font>
    <font>
      <sz val="11"/>
      <color rgb="FF000000"/>
      <name val="Inconsolata"/>
    </font>
    <font>
      <sz val="11"/>
      <color rgb="FF1155CC"/>
      <name val="Inconsolata"/>
    </font>
    <font>
      <i/>
      <sz val="11"/>
      <color theme="1"/>
      <name val="Calibri"/>
      <family val="2"/>
    </font>
    <font>
      <i/>
      <sz val="11"/>
      <color theme="1"/>
      <name val="Calibri"/>
      <family val="2"/>
      <scheme val="minor"/>
    </font>
    <font>
      <b/>
      <sz val="11"/>
      <color theme="1"/>
      <name val="Calibri"/>
      <family val="2"/>
      <scheme val="minor"/>
    </font>
    <font>
      <b/>
      <sz val="11"/>
      <color rgb="FF000000"/>
      <name val="Calibri"/>
      <family val="2"/>
      <scheme val="minor"/>
    </font>
  </fonts>
  <fills count="20">
    <fill>
      <patternFill patternType="none"/>
    </fill>
    <fill>
      <patternFill patternType="gray125"/>
    </fill>
    <fill>
      <patternFill patternType="solid">
        <fgColor rgb="FFEFEFEF"/>
        <bgColor rgb="FFEFEFEF"/>
      </patternFill>
    </fill>
    <fill>
      <patternFill patternType="solid">
        <fgColor rgb="FFFFD966"/>
        <bgColor rgb="FFFFD966"/>
      </patternFill>
    </fill>
    <fill>
      <patternFill patternType="solid">
        <fgColor rgb="FF9FC5E8"/>
        <bgColor rgb="FF9FC5E8"/>
      </patternFill>
    </fill>
    <fill>
      <patternFill patternType="solid">
        <fgColor rgb="FFB4A7D6"/>
        <bgColor rgb="FFB4A7D6"/>
      </patternFill>
    </fill>
    <fill>
      <patternFill patternType="solid">
        <fgColor rgb="FF6AA84F"/>
        <bgColor rgb="FF6AA84F"/>
      </patternFill>
    </fill>
    <fill>
      <patternFill patternType="solid">
        <fgColor rgb="FFF3F3F3"/>
        <bgColor rgb="FFF3F3F3"/>
      </patternFill>
    </fill>
    <fill>
      <patternFill patternType="solid">
        <fgColor rgb="FFFFE599"/>
        <bgColor rgb="FFFFE599"/>
      </patternFill>
    </fill>
    <fill>
      <patternFill patternType="solid">
        <fgColor rgb="FFCFE2F3"/>
        <bgColor rgb="FFCFE2F3"/>
      </patternFill>
    </fill>
    <fill>
      <patternFill patternType="solid">
        <fgColor rgb="FFD9D2E9"/>
        <bgColor rgb="FFD9D2E9"/>
      </patternFill>
    </fill>
    <fill>
      <patternFill patternType="solid">
        <fgColor rgb="FF93C47D"/>
        <bgColor rgb="FF93C47D"/>
      </patternFill>
    </fill>
    <fill>
      <patternFill patternType="solid">
        <fgColor rgb="FFD9EAD3"/>
        <bgColor rgb="FFD9EAD3"/>
      </patternFill>
    </fill>
    <fill>
      <patternFill patternType="solid">
        <fgColor rgb="FFFFFFFF"/>
        <bgColor rgb="FFFFFFFF"/>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59999389629810485"/>
        <bgColor rgb="FFCFE2F3"/>
      </patternFill>
    </fill>
  </fills>
  <borders count="12">
    <border>
      <left/>
      <right/>
      <top/>
      <bottom/>
      <diagonal/>
    </border>
    <border>
      <left/>
      <right style="medium">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s>
  <cellStyleXfs count="2">
    <xf numFmtId="0" fontId="0" fillId="0" borderId="0"/>
    <xf numFmtId="9" fontId="10" fillId="0" borderId="0" applyFont="0" applyFill="0" applyBorder="0" applyAlignment="0" applyProtection="0"/>
  </cellStyleXfs>
  <cellXfs count="132">
    <xf numFmtId="0" fontId="0" fillId="0" borderId="0" xfId="0" applyFont="1" applyAlignment="1"/>
    <xf numFmtId="0" fontId="5" fillId="0" borderId="0" xfId="0" applyFont="1" applyAlignment="1"/>
    <xf numFmtId="0" fontId="5" fillId="0" borderId="0" xfId="0" applyFont="1"/>
    <xf numFmtId="19" fontId="5" fillId="0" borderId="0" xfId="0" applyNumberFormat="1" applyFont="1"/>
    <xf numFmtId="0" fontId="6" fillId="0" borderId="0" xfId="0" applyFont="1" applyAlignment="1">
      <alignment horizontal="right" vertical="center"/>
    </xf>
    <xf numFmtId="0" fontId="5" fillId="7" borderId="0" xfId="0" applyFont="1" applyFill="1" applyAlignment="1">
      <alignment horizontal="center" vertical="center" wrapText="1"/>
    </xf>
    <xf numFmtId="0" fontId="5" fillId="7" borderId="0" xfId="0" applyFont="1" applyFill="1" applyAlignment="1">
      <alignment horizontal="center" vertical="center"/>
    </xf>
    <xf numFmtId="19" fontId="5" fillId="7" borderId="0" xfId="0" applyNumberFormat="1" applyFont="1" applyFill="1" applyAlignment="1">
      <alignment horizontal="center" vertical="center"/>
    </xf>
    <xf numFmtId="19" fontId="5" fillId="8" borderId="0" xfId="0" applyNumberFormat="1" applyFont="1" applyFill="1" applyAlignment="1">
      <alignment horizontal="center" vertical="center" wrapText="1"/>
    </xf>
    <xf numFmtId="0" fontId="5" fillId="8" borderId="0" xfId="0" applyFont="1" applyFill="1" applyAlignment="1">
      <alignment horizontal="center" vertical="center" wrapText="1"/>
    </xf>
    <xf numFmtId="0" fontId="7" fillId="8" borderId="0" xfId="0" applyFont="1" applyFill="1" applyAlignment="1">
      <alignment horizontal="center" vertical="center" wrapText="1"/>
    </xf>
    <xf numFmtId="19" fontId="7" fillId="8" borderId="0" xfId="0" applyNumberFormat="1" applyFont="1" applyFill="1" applyAlignment="1">
      <alignment horizontal="center" vertical="center" wrapText="1"/>
    </xf>
    <xf numFmtId="46" fontId="5" fillId="8" borderId="0" xfId="0" applyNumberFormat="1" applyFont="1" applyFill="1" applyAlignment="1">
      <alignment horizontal="center" vertical="center" wrapText="1"/>
    </xf>
    <xf numFmtId="0" fontId="5" fillId="9" borderId="0" xfId="0" applyFont="1" applyFill="1" applyAlignment="1">
      <alignment horizontal="center" vertical="center" wrapText="1"/>
    </xf>
    <xf numFmtId="0" fontId="8" fillId="9" borderId="0" xfId="0" applyFont="1" applyFill="1" applyAlignment="1">
      <alignment horizontal="center" vertical="center" wrapText="1"/>
    </xf>
    <xf numFmtId="0" fontId="5" fillId="10" borderId="0" xfId="0" applyFont="1" applyFill="1" applyAlignment="1">
      <alignment horizontal="center" vertical="center" wrapText="1"/>
    </xf>
    <xf numFmtId="46" fontId="5" fillId="11" borderId="0" xfId="0" applyNumberFormat="1" applyFont="1" applyFill="1" applyAlignment="1">
      <alignment horizontal="center" vertical="center" wrapText="1"/>
    </xf>
    <xf numFmtId="0" fontId="5" fillId="11" borderId="0" xfId="0" applyFont="1" applyFill="1" applyAlignment="1">
      <alignment horizontal="center" vertical="center" wrapText="1"/>
    </xf>
    <xf numFmtId="0" fontId="0" fillId="0" borderId="0" xfId="0" applyFont="1" applyAlignment="1"/>
    <xf numFmtId="0" fontId="13" fillId="0" borderId="0" xfId="0" applyFont="1" applyAlignment="1">
      <alignment horizontal="right" vertical="center"/>
    </xf>
    <xf numFmtId="0" fontId="7" fillId="10" borderId="0" xfId="0" applyFont="1" applyFill="1" applyAlignment="1">
      <alignment horizontal="center" vertical="center" wrapText="1"/>
    </xf>
    <xf numFmtId="46" fontId="0" fillId="0" borderId="0" xfId="0" applyNumberFormat="1" applyFont="1" applyAlignment="1"/>
    <xf numFmtId="0" fontId="10" fillId="0" borderId="1" xfId="0" applyFont="1" applyBorder="1"/>
    <xf numFmtId="46" fontId="16" fillId="8" borderId="0" xfId="0" applyNumberFormat="1" applyFont="1" applyFill="1" applyAlignment="1">
      <alignment horizontal="center" vertical="center" wrapText="1"/>
    </xf>
    <xf numFmtId="0" fontId="16" fillId="8" borderId="0" xfId="0" applyFont="1" applyFill="1" applyAlignment="1">
      <alignment horizontal="center" vertical="center" wrapText="1"/>
    </xf>
    <xf numFmtId="0" fontId="16" fillId="8" borderId="1" xfId="0" applyFont="1" applyFill="1" applyBorder="1" applyAlignment="1">
      <alignment horizontal="center" vertical="center" wrapText="1"/>
    </xf>
    <xf numFmtId="0" fontId="10" fillId="0" borderId="1" xfId="0" applyFont="1" applyBorder="1" applyAlignment="1"/>
    <xf numFmtId="0" fontId="10" fillId="0" borderId="0" xfId="0" applyFont="1" applyAlignment="1"/>
    <xf numFmtId="46" fontId="10" fillId="0" borderId="0" xfId="0" applyNumberFormat="1" applyFont="1"/>
    <xf numFmtId="0" fontId="10" fillId="0" borderId="0" xfId="0" applyFont="1"/>
    <xf numFmtId="0" fontId="10" fillId="13" borderId="0" xfId="0" applyFont="1" applyFill="1" applyAlignment="1"/>
    <xf numFmtId="21" fontId="10" fillId="0" borderId="4" xfId="0" applyNumberFormat="1" applyFont="1" applyBorder="1" applyAlignment="1"/>
    <xf numFmtId="46" fontId="18" fillId="13" borderId="5" xfId="0" applyNumberFormat="1" applyFont="1" applyFill="1" applyBorder="1"/>
    <xf numFmtId="46" fontId="18" fillId="13" borderId="6" xfId="0" applyNumberFormat="1" applyFont="1" applyFill="1" applyBorder="1"/>
    <xf numFmtId="0" fontId="18" fillId="13" borderId="0" xfId="0" applyFont="1" applyFill="1"/>
    <xf numFmtId="168" fontId="10" fillId="0" borderId="0" xfId="0" applyNumberFormat="1" applyFont="1"/>
    <xf numFmtId="168" fontId="10" fillId="12" borderId="0" xfId="0" applyNumberFormat="1" applyFont="1" applyFill="1"/>
    <xf numFmtId="21" fontId="18" fillId="13" borderId="5" xfId="0" applyNumberFormat="1" applyFont="1" applyFill="1" applyBorder="1"/>
    <xf numFmtId="21" fontId="18" fillId="13" borderId="6" xfId="0" applyNumberFormat="1" applyFont="1" applyFill="1" applyBorder="1"/>
    <xf numFmtId="0" fontId="10" fillId="0" borderId="0" xfId="0" applyFont="1" applyAlignment="1">
      <alignment horizontal="left"/>
    </xf>
    <xf numFmtId="0" fontId="19" fillId="0" borderId="0" xfId="0" applyFont="1" applyAlignment="1"/>
    <xf numFmtId="0" fontId="20" fillId="13" borderId="2" xfId="0" applyFont="1" applyFill="1" applyBorder="1"/>
    <xf numFmtId="0" fontId="10" fillId="0" borderId="2" xfId="0" applyFont="1" applyBorder="1"/>
    <xf numFmtId="167" fontId="10" fillId="0" borderId="0" xfId="0" applyNumberFormat="1" applyFont="1"/>
    <xf numFmtId="167" fontId="10" fillId="12" borderId="0" xfId="0" applyNumberFormat="1" applyFont="1" applyFill="1"/>
    <xf numFmtId="0" fontId="10" fillId="12" borderId="0" xfId="0" applyFont="1" applyFill="1"/>
    <xf numFmtId="2" fontId="21" fillId="13" borderId="0" xfId="0" applyNumberFormat="1" applyFont="1" applyFill="1"/>
    <xf numFmtId="0" fontId="18" fillId="13" borderId="5" xfId="0" applyFont="1" applyFill="1" applyBorder="1"/>
    <xf numFmtId="0" fontId="18" fillId="13" borderId="6" xfId="0" applyFont="1" applyFill="1" applyBorder="1"/>
    <xf numFmtId="21" fontId="18" fillId="13" borderId="7" xfId="0" applyNumberFormat="1" applyFont="1" applyFill="1" applyBorder="1"/>
    <xf numFmtId="21" fontId="18" fillId="13" borderId="8" xfId="0" applyNumberFormat="1" applyFont="1" applyFill="1" applyBorder="1"/>
    <xf numFmtId="46" fontId="18" fillId="13" borderId="9" xfId="0" applyNumberFormat="1" applyFont="1" applyFill="1" applyBorder="1"/>
    <xf numFmtId="21" fontId="18" fillId="13" borderId="10" xfId="0" applyNumberFormat="1" applyFont="1" applyFill="1" applyBorder="1"/>
    <xf numFmtId="46" fontId="18" fillId="13" borderId="10" xfId="0" applyNumberFormat="1" applyFont="1" applyFill="1" applyBorder="1"/>
    <xf numFmtId="0" fontId="18" fillId="13" borderId="10" xfId="0" applyFont="1" applyFill="1" applyBorder="1"/>
    <xf numFmtId="0" fontId="18" fillId="13" borderId="9" xfId="0" applyFont="1" applyFill="1" applyBorder="1"/>
    <xf numFmtId="0" fontId="18" fillId="13" borderId="11" xfId="0" applyFont="1" applyFill="1" applyBorder="1"/>
    <xf numFmtId="0" fontId="18" fillId="13" borderId="3" xfId="0" applyFont="1" applyFill="1" applyBorder="1"/>
    <xf numFmtId="0" fontId="20" fillId="13" borderId="0" xfId="0" applyFont="1" applyFill="1"/>
    <xf numFmtId="0" fontId="9" fillId="0" borderId="0" xfId="0" applyFont="1" applyFill="1" applyAlignment="1">
      <alignment horizontal="right"/>
    </xf>
    <xf numFmtId="0" fontId="0" fillId="0" borderId="0" xfId="0" applyFont="1" applyFill="1" applyAlignment="1"/>
    <xf numFmtId="164" fontId="0" fillId="0" borderId="0" xfId="0" applyNumberFormat="1" applyFont="1" applyFill="1" applyAlignment="1"/>
    <xf numFmtId="19" fontId="0" fillId="0" borderId="0" xfId="0" applyNumberFormat="1" applyFont="1" applyFill="1" applyAlignment="1"/>
    <xf numFmtId="46" fontId="0" fillId="0" borderId="0" xfId="0" applyNumberFormat="1" applyFont="1" applyFill="1"/>
    <xf numFmtId="0" fontId="0" fillId="0" borderId="0" xfId="0" applyFont="1" applyFill="1"/>
    <xf numFmtId="46" fontId="0" fillId="0" borderId="0" xfId="0" applyNumberFormat="1" applyFont="1" applyFill="1" applyAlignment="1">
      <alignment wrapText="1"/>
    </xf>
    <xf numFmtId="0" fontId="10" fillId="0" borderId="0" xfId="0" applyFont="1" applyFill="1" applyAlignment="1">
      <alignment wrapText="1"/>
    </xf>
    <xf numFmtId="46" fontId="0" fillId="0" borderId="0" xfId="0" applyNumberFormat="1" applyFont="1" applyFill="1" applyAlignment="1"/>
    <xf numFmtId="19" fontId="0" fillId="0" borderId="0" xfId="0" applyNumberFormat="1" applyFont="1" applyFill="1"/>
    <xf numFmtId="14" fontId="0" fillId="0" borderId="0" xfId="0" applyNumberFormat="1" applyFont="1" applyFill="1" applyAlignment="1"/>
    <xf numFmtId="165" fontId="0" fillId="0" borderId="0" xfId="0" applyNumberFormat="1" applyFont="1" applyFill="1" applyAlignment="1"/>
    <xf numFmtId="19" fontId="14" fillId="0" borderId="0" xfId="0" applyNumberFormat="1" applyFont="1" applyFill="1" applyAlignment="1">
      <alignment horizontal="right"/>
    </xf>
    <xf numFmtId="0" fontId="15" fillId="0" borderId="0" xfId="0" applyFont="1" applyFill="1" applyAlignment="1"/>
    <xf numFmtId="0" fontId="15" fillId="0" borderId="0" xfId="0" applyFont="1" applyFill="1" applyAlignment="1">
      <alignment wrapText="1"/>
    </xf>
    <xf numFmtId="18" fontId="0" fillId="0" borderId="0" xfId="0" applyNumberFormat="1" applyFont="1" applyFill="1" applyAlignment="1"/>
    <xf numFmtId="166" fontId="0" fillId="0" borderId="0" xfId="0" applyNumberFormat="1" applyFont="1" applyFill="1" applyAlignment="1"/>
    <xf numFmtId="21" fontId="0" fillId="0" borderId="0" xfId="0" applyNumberFormat="1" applyFont="1" applyFill="1" applyAlignment="1"/>
    <xf numFmtId="0" fontId="11" fillId="0" borderId="0" xfId="0" applyFont="1" applyFill="1" applyAlignment="1">
      <alignment horizontal="right"/>
    </xf>
    <xf numFmtId="19" fontId="12" fillId="0" borderId="0" xfId="0" applyNumberFormat="1" applyFont="1" applyFill="1" applyAlignment="1">
      <alignment horizontal="right"/>
    </xf>
    <xf numFmtId="46" fontId="12" fillId="0" borderId="0" xfId="0" applyNumberFormat="1" applyFont="1" applyFill="1" applyAlignment="1">
      <alignment horizontal="right"/>
    </xf>
    <xf numFmtId="0" fontId="12" fillId="0" borderId="0" xfId="0" applyFont="1" applyFill="1" applyAlignment="1">
      <alignment horizontal="right"/>
    </xf>
    <xf numFmtId="0" fontId="12" fillId="0" borderId="0" xfId="0" applyFont="1" applyFill="1" applyAlignment="1"/>
    <xf numFmtId="0" fontId="0" fillId="0" borderId="0" xfId="0" applyFont="1" applyAlignment="1">
      <alignment horizontal="center"/>
    </xf>
    <xf numFmtId="0" fontId="22" fillId="10" borderId="0" xfId="0" applyFont="1" applyFill="1" applyAlignment="1">
      <alignment horizontal="center" vertical="center" wrapText="1"/>
    </xf>
    <xf numFmtId="0" fontId="23" fillId="10" borderId="0" xfId="0" applyFont="1" applyFill="1" applyAlignment="1">
      <alignment horizontal="center" vertical="center" wrapText="1"/>
    </xf>
    <xf numFmtId="0" fontId="23" fillId="8" borderId="0" xfId="0" applyFont="1" applyFill="1" applyAlignment="1">
      <alignment horizontal="center" vertical="center" wrapText="1"/>
    </xf>
    <xf numFmtId="0" fontId="23" fillId="14" borderId="0" xfId="0" applyFont="1" applyFill="1" applyAlignment="1"/>
    <xf numFmtId="0" fontId="23" fillId="9" borderId="0" xfId="0" applyFont="1" applyFill="1" applyAlignment="1">
      <alignment horizontal="center" vertical="center" wrapText="1"/>
    </xf>
    <xf numFmtId="167" fontId="0" fillId="0" borderId="0" xfId="0" applyNumberFormat="1" applyFont="1" applyAlignment="1"/>
    <xf numFmtId="1" fontId="0" fillId="0" borderId="0" xfId="0" applyNumberFormat="1" applyFont="1" applyAlignment="1"/>
    <xf numFmtId="167" fontId="4" fillId="0" borderId="0" xfId="0" applyNumberFormat="1" applyFont="1" applyAlignment="1"/>
    <xf numFmtId="1" fontId="4" fillId="0" borderId="0" xfId="0" applyNumberFormat="1" applyFont="1" applyAlignment="1"/>
    <xf numFmtId="167" fontId="0" fillId="0" borderId="0" xfId="1" applyNumberFormat="1" applyFont="1" applyAlignment="1"/>
    <xf numFmtId="0" fontId="3" fillId="15" borderId="0" xfId="0" applyFont="1" applyFill="1" applyAlignment="1">
      <alignment horizontal="center"/>
    </xf>
    <xf numFmtId="0" fontId="0" fillId="15" borderId="0" xfId="0" applyFont="1" applyFill="1" applyAlignment="1">
      <alignment horizontal="center"/>
    </xf>
    <xf numFmtId="0" fontId="0" fillId="16" borderId="0" xfId="0" applyFont="1" applyFill="1" applyAlignment="1">
      <alignment horizontal="center"/>
    </xf>
    <xf numFmtId="9" fontId="0" fillId="0" borderId="0" xfId="1" applyFont="1" applyAlignment="1">
      <alignment horizontal="center"/>
    </xf>
    <xf numFmtId="9" fontId="3" fillId="0" borderId="0" xfId="1" applyFont="1" applyAlignment="1">
      <alignment horizontal="center"/>
    </xf>
    <xf numFmtId="1" fontId="0" fillId="0" borderId="0" xfId="0" applyNumberFormat="1" applyFont="1" applyAlignment="1">
      <alignment horizontal="center"/>
    </xf>
    <xf numFmtId="0" fontId="0" fillId="0" borderId="0" xfId="0" applyFont="1" applyAlignment="1"/>
    <xf numFmtId="2" fontId="3" fillId="15" borderId="0" xfId="0" applyNumberFormat="1" applyFont="1" applyFill="1" applyAlignment="1">
      <alignment horizontal="center"/>
    </xf>
    <xf numFmtId="2" fontId="0" fillId="15" borderId="0" xfId="0" applyNumberFormat="1" applyFont="1" applyFill="1" applyAlignment="1">
      <alignment horizontal="center"/>
    </xf>
    <xf numFmtId="1" fontId="3" fillId="0" borderId="0" xfId="1" applyNumberFormat="1" applyFont="1" applyAlignment="1">
      <alignment horizontal="center"/>
    </xf>
    <xf numFmtId="1" fontId="0" fillId="0" borderId="0" xfId="1" applyNumberFormat="1" applyFont="1" applyAlignment="1">
      <alignment horizontal="center"/>
    </xf>
    <xf numFmtId="1" fontId="0" fillId="16" borderId="0" xfId="0" applyNumberFormat="1" applyFont="1" applyFill="1" applyAlignment="1">
      <alignment horizontal="center"/>
    </xf>
    <xf numFmtId="0" fontId="0" fillId="0" borderId="0" xfId="0" applyFont="1" applyAlignment="1"/>
    <xf numFmtId="19" fontId="5" fillId="2" borderId="0" xfId="0" applyNumberFormat="1"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19" fontId="5" fillId="3" borderId="0" xfId="0" applyNumberFormat="1" applyFont="1" applyFill="1" applyAlignment="1">
      <alignment horizontal="center" wrapText="1"/>
    </xf>
    <xf numFmtId="0" fontId="5" fillId="4" borderId="0" xfId="0" applyFont="1" applyFill="1" applyAlignment="1">
      <alignment horizontal="center" wrapText="1"/>
    </xf>
    <xf numFmtId="0" fontId="5" fillId="3" borderId="0" xfId="0" applyFont="1" applyFill="1" applyAlignment="1">
      <alignment horizontal="center" wrapText="1"/>
    </xf>
    <xf numFmtId="0" fontId="5" fillId="5" borderId="0" xfId="0" applyFont="1" applyFill="1" applyAlignment="1">
      <alignment horizontal="center" wrapText="1"/>
    </xf>
    <xf numFmtId="0" fontId="5" fillId="6" borderId="0" xfId="0" applyFont="1" applyFill="1" applyAlignment="1">
      <alignment horizontal="center" wrapText="1"/>
    </xf>
    <xf numFmtId="0" fontId="24" fillId="14" borderId="0" xfId="0" applyFont="1" applyFill="1" applyAlignment="1">
      <alignment horizontal="center"/>
    </xf>
    <xf numFmtId="0" fontId="24" fillId="17" borderId="0" xfId="0" applyFont="1" applyFill="1" applyAlignment="1">
      <alignment horizontal="center"/>
    </xf>
    <xf numFmtId="2" fontId="24" fillId="17" borderId="0" xfId="0" applyNumberFormat="1" applyFont="1" applyFill="1" applyAlignment="1">
      <alignment horizontal="center"/>
    </xf>
    <xf numFmtId="0" fontId="24" fillId="19" borderId="0" xfId="0" applyFont="1" applyFill="1" applyAlignment="1">
      <alignment horizontal="center" vertical="center" wrapText="1"/>
    </xf>
    <xf numFmtId="0" fontId="25" fillId="19" borderId="0" xfId="0" applyFont="1" applyFill="1" applyAlignment="1">
      <alignment horizontal="center" vertical="center" wrapText="1"/>
    </xf>
    <xf numFmtId="0" fontId="24" fillId="18" borderId="0" xfId="0" applyFont="1" applyFill="1" applyAlignment="1">
      <alignment horizontal="center" vertical="center"/>
    </xf>
    <xf numFmtId="0" fontId="17" fillId="0" borderId="0" xfId="0" applyFont="1" applyAlignment="1">
      <alignment horizontal="center"/>
    </xf>
    <xf numFmtId="0" fontId="17" fillId="0" borderId="0" xfId="0" applyFont="1" applyAlignment="1">
      <alignment horizontal="center" vertical="center"/>
    </xf>
    <xf numFmtId="0" fontId="24" fillId="14" borderId="0" xfId="0" applyFont="1" applyFill="1" applyAlignment="1">
      <alignment horizontal="center" vertical="center"/>
    </xf>
    <xf numFmtId="0" fontId="23" fillId="0" borderId="0" xfId="0" applyFont="1" applyAlignment="1"/>
    <xf numFmtId="0" fontId="2" fillId="17" borderId="0" xfId="0" applyFont="1" applyFill="1" applyAlignment="1">
      <alignment horizontal="center"/>
    </xf>
    <xf numFmtId="2" fontId="1" fillId="14" borderId="0" xfId="0" applyNumberFormat="1" applyFont="1" applyFill="1" applyAlignment="1">
      <alignment horizontal="center"/>
    </xf>
    <xf numFmtId="1" fontId="1" fillId="14" borderId="0" xfId="0" applyNumberFormat="1" applyFont="1" applyFill="1" applyAlignment="1">
      <alignment horizontal="center"/>
    </xf>
    <xf numFmtId="0" fontId="1" fillId="14" borderId="0" xfId="0" applyFont="1" applyFill="1" applyAlignment="1">
      <alignment horizontal="center"/>
    </xf>
    <xf numFmtId="0" fontId="1" fillId="0" borderId="0" xfId="0" applyFont="1" applyAlignment="1"/>
    <xf numFmtId="0" fontId="0" fillId="14" borderId="0" xfId="0" applyFont="1" applyFill="1" applyBorder="1" applyAlignment="1"/>
    <xf numFmtId="0" fontId="23" fillId="14" borderId="0" xfId="0" applyFont="1" applyFill="1" applyBorder="1" applyAlignment="1">
      <alignment horizontal="center"/>
    </xf>
    <xf numFmtId="0" fontId="24" fillId="14" borderId="0"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008E40"/>
      <color rgb="FF00823B"/>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 Objects Dropped</a:t>
            </a:r>
          </a:p>
        </c:rich>
      </c:tx>
      <c:overlay val="0"/>
    </c:title>
    <c:autoTitleDeleted val="0"/>
    <c:plotArea>
      <c:layout/>
      <c:barChart>
        <c:barDir val="col"/>
        <c:grouping val="stacked"/>
        <c:varyColors val="0"/>
        <c:ser>
          <c:idx val="0"/>
          <c:order val="0"/>
          <c:tx>
            <c:strRef>
              <c:f>'Programming Issues'!$B$34</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Issues'!$C$33:$D$33</c:f>
              <c:strCache>
                <c:ptCount val="2"/>
                <c:pt idx="0">
                  <c:v>Duplo</c:v>
                </c:pt>
                <c:pt idx="1">
                  <c:v>RSOY</c:v>
                </c:pt>
              </c:strCache>
            </c:strRef>
          </c:cat>
          <c:val>
            <c:numRef>
              <c:f>'Programming Issues'!$C$34:$D$34</c:f>
              <c:numCache>
                <c:formatCode>General</c:formatCode>
                <c:ptCount val="2"/>
                <c:pt idx="0">
                  <c:v>0</c:v>
                </c:pt>
                <c:pt idx="1">
                  <c:v>1</c:v>
                </c:pt>
              </c:numCache>
            </c:numRef>
          </c:val>
          <c:extLst>
            <c:ext xmlns:c16="http://schemas.microsoft.com/office/drawing/2014/chart" uri="{C3380CC4-5D6E-409C-BE32-E72D297353CC}">
              <c16:uniqueId val="{00000000-5FED-4BF4-9426-34B6F71A3FC9}"/>
            </c:ext>
          </c:extLst>
        </c:ser>
        <c:ser>
          <c:idx val="1"/>
          <c:order val="1"/>
          <c:tx>
            <c:strRef>
              <c:f>'Programming Issues'!$B$35</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'Programming Issues'!$C$33:$D$33</c:f>
              <c:strCache>
                <c:ptCount val="2"/>
                <c:pt idx="0">
                  <c:v>Duplo</c:v>
                </c:pt>
                <c:pt idx="1">
                  <c:v>RSOY</c:v>
                </c:pt>
              </c:strCache>
            </c:strRef>
          </c:cat>
          <c:val>
            <c:numRef>
              <c:f>'Programming Issues'!$C$35:$D$35</c:f>
              <c:numCache>
                <c:formatCode>General</c:formatCode>
                <c:ptCount val="2"/>
                <c:pt idx="0">
                  <c:v>2</c:v>
                </c:pt>
                <c:pt idx="1">
                  <c:v>2</c:v>
                </c:pt>
              </c:numCache>
            </c:numRef>
          </c:val>
          <c:extLst>
            <c:ext xmlns:c16="http://schemas.microsoft.com/office/drawing/2014/chart" uri="{C3380CC4-5D6E-409C-BE32-E72D297353CC}">
              <c16:uniqueId val="{00000001-5FED-4BF4-9426-34B6F71A3FC9}"/>
            </c:ext>
          </c:extLst>
        </c:ser>
        <c:ser>
          <c:idx val="2"/>
          <c:order val="2"/>
          <c:tx>
            <c:strRef>
              <c:f>'Programming Issues'!$B$36</c:f>
              <c:strCache>
                <c:ptCount val="1"/>
                <c:pt idx="0">
                  <c:v>Med-Q1</c:v>
                </c:pt>
              </c:strCache>
            </c:strRef>
          </c:tx>
          <c:invertIfNegative val="0"/>
          <c:cat>
            <c:strRef>
              <c:f>'Programming Issues'!$C$33:$D$33</c:f>
              <c:strCache>
                <c:ptCount val="2"/>
                <c:pt idx="0">
                  <c:v>Duplo</c:v>
                </c:pt>
                <c:pt idx="1">
                  <c:v>RSOY</c:v>
                </c:pt>
              </c:strCache>
            </c:strRef>
          </c:cat>
          <c:val>
            <c:numRef>
              <c:f>'Programming Issues'!$C$36:$D$36</c:f>
              <c:numCache>
                <c:formatCode>General</c:formatCode>
                <c:ptCount val="2"/>
                <c:pt idx="0">
                  <c:v>1</c:v>
                </c:pt>
                <c:pt idx="1">
                  <c:v>3</c:v>
                </c:pt>
              </c:numCache>
            </c:numRef>
          </c:val>
          <c:extLst>
            <c:ext xmlns:c16="http://schemas.microsoft.com/office/drawing/2014/chart" uri="{C3380CC4-5D6E-409C-BE32-E72D297353CC}">
              <c16:uniqueId val="{00000002-5FED-4BF4-9426-34B6F71A3FC9}"/>
            </c:ext>
          </c:extLst>
        </c:ser>
        <c:ser>
          <c:idx val="3"/>
          <c:order val="3"/>
          <c:tx>
            <c:strRef>
              <c:f>'Programming Issues'!$B$37</c:f>
              <c:strCache>
                <c:ptCount val="1"/>
                <c:pt idx="0">
                  <c:v>Q3-Med</c:v>
                </c:pt>
              </c:strCache>
            </c:strRef>
          </c:tx>
          <c:invertIfNegative val="0"/>
          <c:errBars>
            <c:errBarType val="plus"/>
            <c:errValType val="cust"/>
            <c:noEndCap val="0"/>
            <c:plus>
              <c:numRef>
                <c:f>'Programming Issues'!$C$38:$D$38</c:f>
                <c:numCache>
                  <c:formatCode>General</c:formatCode>
                  <c:ptCount val="2"/>
                  <c:pt idx="0">
                    <c:v>8</c:v>
                  </c:pt>
                  <c:pt idx="1">
                    <c:v>12</c:v>
                  </c:pt>
                </c:numCache>
              </c:numRef>
            </c:plus>
          </c:errBars>
          <c:cat>
            <c:strRef>
              <c:f>'Programming Issues'!$C$33:$D$33</c:f>
              <c:strCache>
                <c:ptCount val="2"/>
                <c:pt idx="0">
                  <c:v>Duplo</c:v>
                </c:pt>
                <c:pt idx="1">
                  <c:v>RSOY</c:v>
                </c:pt>
              </c:strCache>
            </c:strRef>
          </c:cat>
          <c:val>
            <c:numRef>
              <c:f>'Programming Issues'!$C$37:$D$37</c:f>
              <c:numCache>
                <c:formatCode>General</c:formatCode>
                <c:ptCount val="2"/>
                <c:pt idx="0">
                  <c:v>4</c:v>
                </c:pt>
                <c:pt idx="1">
                  <c:v>3</c:v>
                </c:pt>
              </c:numCache>
            </c:numRef>
          </c:val>
          <c:extLst>
            <c:ext xmlns:c16="http://schemas.microsoft.com/office/drawing/2014/chart" uri="{C3380CC4-5D6E-409C-BE32-E72D297353CC}">
              <c16:uniqueId val="{00000003-5FED-4BF4-9426-34B6F71A3FC9}"/>
            </c:ext>
          </c:extLst>
        </c:ser>
        <c:dLbls>
          <c:showLegendKey val="0"/>
          <c:showVal val="0"/>
          <c:showCatName val="0"/>
          <c:showSerName val="0"/>
          <c:showPercent val="0"/>
          <c:showBubbleSize val="0"/>
        </c:dLbls>
        <c:gapWidth val="150"/>
        <c:overlap val="100"/>
        <c:axId val="1198167040"/>
        <c:axId val="1176041392"/>
      </c:barChart>
      <c:scatterChart>
        <c:scatterStyle val="lineMarker"/>
        <c:varyColors val="0"/>
        <c:ser>
          <c:idx val="4"/>
          <c:order val="4"/>
          <c:tx>
            <c:v>m</c:v>
          </c:tx>
          <c:spPr>
            <a:ln w="19050">
              <a:noFill/>
            </a:ln>
          </c:spPr>
          <c:marker>
            <c:symbol val="x"/>
            <c:size val="5"/>
            <c:spPr>
              <a:ln>
                <a:solidFill>
                  <a:srgbClr val="000000"/>
                </a:solidFill>
                <a:prstDash val="solid"/>
              </a:ln>
            </c:spPr>
          </c:marker>
          <c:yVal>
            <c:numRef>
              <c:f>'Programming Issues'!$C$39:$D$39</c:f>
              <c:numCache>
                <c:formatCode>General</c:formatCode>
                <c:ptCount val="2"/>
                <c:pt idx="0">
                  <c:v>4.72</c:v>
                </c:pt>
                <c:pt idx="1">
                  <c:v>6.92</c:v>
                </c:pt>
              </c:numCache>
            </c:numRef>
          </c:yVal>
          <c:smooth val="0"/>
          <c:extLst>
            <c:ext xmlns:c16="http://schemas.microsoft.com/office/drawing/2014/chart" uri="{C3380CC4-5D6E-409C-BE32-E72D297353CC}">
              <c16:uniqueId val="{00000004-5FED-4BF4-9426-34B6F71A3FC9}"/>
            </c:ext>
          </c:extLst>
        </c:ser>
        <c:dLbls>
          <c:showLegendKey val="0"/>
          <c:showVal val="0"/>
          <c:showCatName val="0"/>
          <c:showSerName val="0"/>
          <c:showPercent val="0"/>
          <c:showBubbleSize val="0"/>
        </c:dLbls>
        <c:axId val="1198167040"/>
        <c:axId val="1176041392"/>
      </c:scatterChart>
      <c:catAx>
        <c:axId val="1198167040"/>
        <c:scaling>
          <c:orientation val="minMax"/>
        </c:scaling>
        <c:delete val="0"/>
        <c:axPos val="b"/>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scaling>
        <c:delete val="0"/>
        <c:axPos val="l"/>
        <c:majorGridlines/>
        <c:numFmt formatCode="General" sourceLinked="1"/>
        <c:majorTickMark val="out"/>
        <c:minorTickMark val="none"/>
        <c:tickLblPos val="nextTo"/>
        <c:crossAx val="1198167040"/>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 Robot</a:t>
            </a:r>
            <a:r>
              <a:rPr lang="en-US" baseline="0"/>
              <a:t> Collisions</a:t>
            </a:r>
            <a:endParaRPr lang="en-US"/>
          </a:p>
        </c:rich>
      </c:tx>
      <c:overlay val="0"/>
    </c:title>
    <c:autoTitleDeleted val="0"/>
    <c:plotArea>
      <c:layout/>
      <c:barChart>
        <c:barDir val="col"/>
        <c:grouping val="stacked"/>
        <c:varyColors val="0"/>
        <c:ser>
          <c:idx val="0"/>
          <c:order val="0"/>
          <c:tx>
            <c:strRef>
              <c:f>'Programming Issues'!$B$56</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Issues'!$C$55:$D$55</c:f>
              <c:strCache>
                <c:ptCount val="2"/>
                <c:pt idx="0">
                  <c:v>Duplo</c:v>
                </c:pt>
                <c:pt idx="1">
                  <c:v>RSOY</c:v>
                </c:pt>
              </c:strCache>
            </c:strRef>
          </c:cat>
          <c:val>
            <c:numRef>
              <c:f>'Programming Issues'!$C$56:$D$56</c:f>
              <c:numCache>
                <c:formatCode>General</c:formatCode>
                <c:ptCount val="2"/>
                <c:pt idx="0">
                  <c:v>1</c:v>
                </c:pt>
                <c:pt idx="1">
                  <c:v>7</c:v>
                </c:pt>
              </c:numCache>
            </c:numRef>
          </c:val>
          <c:extLst>
            <c:ext xmlns:c16="http://schemas.microsoft.com/office/drawing/2014/chart" uri="{C3380CC4-5D6E-409C-BE32-E72D297353CC}">
              <c16:uniqueId val="{00000000-0090-454A-850D-00E0E4E5D107}"/>
            </c:ext>
          </c:extLst>
        </c:ser>
        <c:ser>
          <c:idx val="1"/>
          <c:order val="1"/>
          <c:tx>
            <c:strRef>
              <c:f>'Programming Issues'!$B$57</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'Programming Issues'!$C$55:$D$55</c:f>
              <c:strCache>
                <c:ptCount val="2"/>
                <c:pt idx="0">
                  <c:v>Duplo</c:v>
                </c:pt>
                <c:pt idx="1">
                  <c:v>RSOY</c:v>
                </c:pt>
              </c:strCache>
            </c:strRef>
          </c:cat>
          <c:val>
            <c:numRef>
              <c:f>'Programming Issues'!$C$57:$D$57</c:f>
              <c:numCache>
                <c:formatCode>General</c:formatCode>
                <c:ptCount val="2"/>
                <c:pt idx="0">
                  <c:v>3</c:v>
                </c:pt>
                <c:pt idx="1">
                  <c:v>4</c:v>
                </c:pt>
              </c:numCache>
            </c:numRef>
          </c:val>
          <c:extLst>
            <c:ext xmlns:c16="http://schemas.microsoft.com/office/drawing/2014/chart" uri="{C3380CC4-5D6E-409C-BE32-E72D297353CC}">
              <c16:uniqueId val="{00000001-0090-454A-850D-00E0E4E5D107}"/>
            </c:ext>
          </c:extLst>
        </c:ser>
        <c:ser>
          <c:idx val="2"/>
          <c:order val="2"/>
          <c:tx>
            <c:strRef>
              <c:f>'Programming Issues'!$B$58</c:f>
              <c:strCache>
                <c:ptCount val="1"/>
                <c:pt idx="0">
                  <c:v>Med-Q1</c:v>
                </c:pt>
              </c:strCache>
            </c:strRef>
          </c:tx>
          <c:invertIfNegative val="0"/>
          <c:cat>
            <c:strRef>
              <c:f>'Programming Issues'!$C$55:$D$55</c:f>
              <c:strCache>
                <c:ptCount val="2"/>
                <c:pt idx="0">
                  <c:v>Duplo</c:v>
                </c:pt>
                <c:pt idx="1">
                  <c:v>RSOY</c:v>
                </c:pt>
              </c:strCache>
            </c:strRef>
          </c:cat>
          <c:val>
            <c:numRef>
              <c:f>'Programming Issues'!$C$58:$D$58</c:f>
              <c:numCache>
                <c:formatCode>General</c:formatCode>
                <c:ptCount val="2"/>
                <c:pt idx="0">
                  <c:v>5</c:v>
                </c:pt>
                <c:pt idx="1">
                  <c:v>4</c:v>
                </c:pt>
              </c:numCache>
            </c:numRef>
          </c:val>
          <c:extLst>
            <c:ext xmlns:c16="http://schemas.microsoft.com/office/drawing/2014/chart" uri="{C3380CC4-5D6E-409C-BE32-E72D297353CC}">
              <c16:uniqueId val="{00000002-0090-454A-850D-00E0E4E5D107}"/>
            </c:ext>
          </c:extLst>
        </c:ser>
        <c:ser>
          <c:idx val="3"/>
          <c:order val="3"/>
          <c:tx>
            <c:strRef>
              <c:f>'Programming Issues'!$B$59</c:f>
              <c:strCache>
                <c:ptCount val="1"/>
                <c:pt idx="0">
                  <c:v>Q3-Med</c:v>
                </c:pt>
              </c:strCache>
            </c:strRef>
          </c:tx>
          <c:invertIfNegative val="0"/>
          <c:errBars>
            <c:errBarType val="plus"/>
            <c:errValType val="cust"/>
            <c:noEndCap val="0"/>
            <c:plus>
              <c:numRef>
                <c:f>'Programming Issues'!$C$60:$D$60</c:f>
                <c:numCache>
                  <c:formatCode>General</c:formatCode>
                  <c:ptCount val="2"/>
                  <c:pt idx="0">
                    <c:v>15</c:v>
                  </c:pt>
                  <c:pt idx="1">
                    <c:v>14</c:v>
                  </c:pt>
                </c:numCache>
              </c:numRef>
            </c:plus>
          </c:errBars>
          <c:cat>
            <c:strRef>
              <c:f>'Programming Issues'!$C$55:$D$55</c:f>
              <c:strCache>
                <c:ptCount val="2"/>
                <c:pt idx="0">
                  <c:v>Duplo</c:v>
                </c:pt>
                <c:pt idx="1">
                  <c:v>RSOY</c:v>
                </c:pt>
              </c:strCache>
            </c:strRef>
          </c:cat>
          <c:val>
            <c:numRef>
              <c:f>'Programming Issues'!$C$59:$D$59</c:f>
              <c:numCache>
                <c:formatCode>General</c:formatCode>
                <c:ptCount val="2"/>
                <c:pt idx="0">
                  <c:v>3</c:v>
                </c:pt>
                <c:pt idx="1">
                  <c:v>4</c:v>
                </c:pt>
              </c:numCache>
            </c:numRef>
          </c:val>
          <c:extLst>
            <c:ext xmlns:c16="http://schemas.microsoft.com/office/drawing/2014/chart" uri="{C3380CC4-5D6E-409C-BE32-E72D297353CC}">
              <c16:uniqueId val="{00000003-0090-454A-850D-00E0E4E5D107}"/>
            </c:ext>
          </c:extLst>
        </c:ser>
        <c:dLbls>
          <c:showLegendKey val="0"/>
          <c:showVal val="0"/>
          <c:showCatName val="0"/>
          <c:showSerName val="0"/>
          <c:showPercent val="0"/>
          <c:showBubbleSize val="0"/>
        </c:dLbls>
        <c:gapWidth val="150"/>
        <c:overlap val="100"/>
        <c:axId val="1198111440"/>
        <c:axId val="1176066352"/>
      </c:barChart>
      <c:scatterChart>
        <c:scatterStyle val="lineMarker"/>
        <c:varyColors val="0"/>
        <c:ser>
          <c:idx val="4"/>
          <c:order val="4"/>
          <c:tx>
            <c:v>m</c:v>
          </c:tx>
          <c:spPr>
            <a:ln w="19050">
              <a:noFill/>
            </a:ln>
          </c:spPr>
          <c:marker>
            <c:symbol val="x"/>
            <c:size val="5"/>
            <c:spPr>
              <a:ln>
                <a:solidFill>
                  <a:srgbClr val="000000"/>
                </a:solidFill>
                <a:prstDash val="solid"/>
              </a:ln>
            </c:spPr>
          </c:marker>
          <c:yVal>
            <c:numRef>
              <c:f>'Programming Issues'!$C$61:$D$61</c:f>
              <c:numCache>
                <c:formatCode>General</c:formatCode>
                <c:ptCount val="2"/>
                <c:pt idx="0">
                  <c:v>10.72</c:v>
                </c:pt>
                <c:pt idx="1">
                  <c:v>15.12</c:v>
                </c:pt>
              </c:numCache>
            </c:numRef>
          </c:yVal>
          <c:smooth val="0"/>
          <c:extLst>
            <c:ext xmlns:c16="http://schemas.microsoft.com/office/drawing/2014/chart" uri="{C3380CC4-5D6E-409C-BE32-E72D297353CC}">
              <c16:uniqueId val="{00000004-0090-454A-850D-00E0E4E5D107}"/>
            </c:ext>
          </c:extLst>
        </c:ser>
        <c:ser>
          <c:idx val="5"/>
          <c:order val="5"/>
          <c:tx>
            <c:v>x</c:v>
          </c:tx>
          <c:spPr>
            <a:ln w="19050">
              <a:noFill/>
            </a:ln>
          </c:spPr>
          <c:marker>
            <c:symbol val="circle"/>
            <c:size val="5"/>
            <c:spPr>
              <a:solidFill>
                <a:srgbClr val="FFFFFF"/>
              </a:solidFill>
              <a:ln>
                <a:noFill/>
                <a:prstDash val="solid"/>
              </a:ln>
            </c:spPr>
          </c:marker>
          <c:xVal>
            <c:numLit>
              <c:formatCode>General</c:formatCode>
              <c:ptCount val="1"/>
              <c:pt idx="0">
                <c:v>1</c:v>
              </c:pt>
            </c:numLit>
          </c:xVal>
          <c:yVal>
            <c:numRef>
              <c:f>'Programming Issues'!$C$72</c:f>
              <c:numCache>
                <c:formatCode>General</c:formatCode>
                <c:ptCount val="1"/>
                <c:pt idx="0">
                  <c:v>37</c:v>
                </c:pt>
              </c:numCache>
            </c:numRef>
          </c:yVal>
          <c:smooth val="0"/>
          <c:extLst>
            <c:ext xmlns:c16="http://schemas.microsoft.com/office/drawing/2014/chart" uri="{C3380CC4-5D6E-409C-BE32-E72D297353CC}">
              <c16:uniqueId val="{00000005-0090-454A-850D-00E0E4E5D107}"/>
            </c:ext>
          </c:extLst>
        </c:ser>
        <c:dLbls>
          <c:showLegendKey val="0"/>
          <c:showVal val="0"/>
          <c:showCatName val="0"/>
          <c:showSerName val="0"/>
          <c:showPercent val="0"/>
          <c:showBubbleSize val="0"/>
        </c:dLbls>
        <c:axId val="1198111440"/>
        <c:axId val="1176066352"/>
      </c:scatterChart>
      <c:catAx>
        <c:axId val="1198111440"/>
        <c:scaling>
          <c:orientation val="minMax"/>
        </c:scaling>
        <c:delete val="0"/>
        <c:axPos val="b"/>
        <c:numFmt formatCode="General" sourceLinked="1"/>
        <c:majorTickMark val="out"/>
        <c:minorTickMark val="none"/>
        <c:tickLblPos val="nextTo"/>
        <c:crossAx val="1176066352"/>
        <c:crosses val="autoZero"/>
        <c:auto val="1"/>
        <c:lblAlgn val="ctr"/>
        <c:lblOffset val="100"/>
        <c:noMultiLvlLbl val="0"/>
      </c:catAx>
      <c:valAx>
        <c:axId val="1176066352"/>
        <c:scaling>
          <c:orientation val="minMax"/>
        </c:scaling>
        <c:delete val="0"/>
        <c:axPos val="l"/>
        <c:majorGridlines/>
        <c:numFmt formatCode="General" sourceLinked="1"/>
        <c:majorTickMark val="out"/>
        <c:minorTickMark val="none"/>
        <c:tickLblPos val="nextTo"/>
        <c:crossAx val="1198111440"/>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 Predicted Collisions</a:t>
            </a:r>
          </a:p>
        </c:rich>
      </c:tx>
      <c:overlay val="0"/>
    </c:title>
    <c:autoTitleDeleted val="0"/>
    <c:plotArea>
      <c:layout/>
      <c:barChart>
        <c:barDir val="col"/>
        <c:grouping val="stacked"/>
        <c:varyColors val="0"/>
        <c:ser>
          <c:idx val="0"/>
          <c:order val="0"/>
          <c:tx>
            <c:strRef>
              <c:f>'Programming Issues'!$I$34</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Issues'!$J$33:$K$33</c:f>
              <c:strCache>
                <c:ptCount val="2"/>
                <c:pt idx="0">
                  <c:v>Duplo</c:v>
                </c:pt>
                <c:pt idx="1">
                  <c:v>RSOY</c:v>
                </c:pt>
              </c:strCache>
            </c:strRef>
          </c:cat>
          <c:val>
            <c:numRef>
              <c:f>'Programming Issues'!$J$34:$K$34</c:f>
              <c:numCache>
                <c:formatCode>General</c:formatCode>
                <c:ptCount val="2"/>
                <c:pt idx="0">
                  <c:v>0</c:v>
                </c:pt>
                <c:pt idx="1">
                  <c:v>0</c:v>
                </c:pt>
              </c:numCache>
            </c:numRef>
          </c:val>
          <c:extLst>
            <c:ext xmlns:c16="http://schemas.microsoft.com/office/drawing/2014/chart" uri="{C3380CC4-5D6E-409C-BE32-E72D297353CC}">
              <c16:uniqueId val="{00000000-F3B4-4A09-A66C-0D0B4C5FC692}"/>
            </c:ext>
          </c:extLst>
        </c:ser>
        <c:ser>
          <c:idx val="1"/>
          <c:order val="1"/>
          <c:tx>
            <c:strRef>
              <c:f>'Programming Issues'!$I$35</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'Programming Issues'!$J$33:$K$33</c:f>
              <c:strCache>
                <c:ptCount val="2"/>
                <c:pt idx="0">
                  <c:v>Duplo</c:v>
                </c:pt>
                <c:pt idx="1">
                  <c:v>RSOY</c:v>
                </c:pt>
              </c:strCache>
            </c:strRef>
          </c:cat>
          <c:val>
            <c:numRef>
              <c:f>'Programming Issues'!$J$35:$K$35</c:f>
              <c:numCache>
                <c:formatCode>General</c:formatCode>
                <c:ptCount val="2"/>
                <c:pt idx="0">
                  <c:v>0</c:v>
                </c:pt>
                <c:pt idx="1">
                  <c:v>0</c:v>
                </c:pt>
              </c:numCache>
            </c:numRef>
          </c:val>
          <c:extLst>
            <c:ext xmlns:c16="http://schemas.microsoft.com/office/drawing/2014/chart" uri="{C3380CC4-5D6E-409C-BE32-E72D297353CC}">
              <c16:uniqueId val="{00000001-F3B4-4A09-A66C-0D0B4C5FC692}"/>
            </c:ext>
          </c:extLst>
        </c:ser>
        <c:ser>
          <c:idx val="2"/>
          <c:order val="2"/>
          <c:tx>
            <c:strRef>
              <c:f>'Programming Issues'!$I$36</c:f>
              <c:strCache>
                <c:ptCount val="1"/>
                <c:pt idx="0">
                  <c:v>Med-Q1</c:v>
                </c:pt>
              </c:strCache>
            </c:strRef>
          </c:tx>
          <c:invertIfNegative val="0"/>
          <c:cat>
            <c:strRef>
              <c:f>'Programming Issues'!$J$33:$K$33</c:f>
              <c:strCache>
                <c:ptCount val="2"/>
                <c:pt idx="0">
                  <c:v>Duplo</c:v>
                </c:pt>
                <c:pt idx="1">
                  <c:v>RSOY</c:v>
                </c:pt>
              </c:strCache>
            </c:strRef>
          </c:cat>
          <c:val>
            <c:numRef>
              <c:f>'Programming Issues'!$J$36:$K$36</c:f>
              <c:numCache>
                <c:formatCode>General</c:formatCode>
                <c:ptCount val="2"/>
                <c:pt idx="0">
                  <c:v>0</c:v>
                </c:pt>
                <c:pt idx="1">
                  <c:v>1</c:v>
                </c:pt>
              </c:numCache>
            </c:numRef>
          </c:val>
          <c:extLst>
            <c:ext xmlns:c16="http://schemas.microsoft.com/office/drawing/2014/chart" uri="{C3380CC4-5D6E-409C-BE32-E72D297353CC}">
              <c16:uniqueId val="{00000002-F3B4-4A09-A66C-0D0B4C5FC692}"/>
            </c:ext>
          </c:extLst>
        </c:ser>
        <c:ser>
          <c:idx val="3"/>
          <c:order val="3"/>
          <c:tx>
            <c:strRef>
              <c:f>'Programming Issues'!$I$37</c:f>
              <c:strCache>
                <c:ptCount val="1"/>
                <c:pt idx="0">
                  <c:v>Q3-Med</c:v>
                </c:pt>
              </c:strCache>
            </c:strRef>
          </c:tx>
          <c:invertIfNegative val="0"/>
          <c:errBars>
            <c:errBarType val="plus"/>
            <c:errValType val="cust"/>
            <c:noEndCap val="0"/>
            <c:plus>
              <c:numRef>
                <c:f>'Programming Issues'!$J$38:$K$38</c:f>
                <c:numCache>
                  <c:formatCode>General</c:formatCode>
                  <c:ptCount val="2"/>
                  <c:pt idx="0">
                    <c:v>3</c:v>
                  </c:pt>
                  <c:pt idx="1">
                    <c:v>6</c:v>
                  </c:pt>
                </c:numCache>
              </c:numRef>
            </c:plus>
          </c:errBars>
          <c:cat>
            <c:strRef>
              <c:f>'Programming Issues'!$J$33:$K$33</c:f>
              <c:strCache>
                <c:ptCount val="2"/>
                <c:pt idx="0">
                  <c:v>Duplo</c:v>
                </c:pt>
                <c:pt idx="1">
                  <c:v>RSOY</c:v>
                </c:pt>
              </c:strCache>
            </c:strRef>
          </c:cat>
          <c:val>
            <c:numRef>
              <c:f>'Programming Issues'!$J$37:$K$37</c:f>
              <c:numCache>
                <c:formatCode>General</c:formatCode>
                <c:ptCount val="2"/>
                <c:pt idx="0">
                  <c:v>5</c:v>
                </c:pt>
                <c:pt idx="1">
                  <c:v>2</c:v>
                </c:pt>
              </c:numCache>
            </c:numRef>
          </c:val>
          <c:extLst>
            <c:ext xmlns:c16="http://schemas.microsoft.com/office/drawing/2014/chart" uri="{C3380CC4-5D6E-409C-BE32-E72D297353CC}">
              <c16:uniqueId val="{00000003-F3B4-4A09-A66C-0D0B4C5FC692}"/>
            </c:ext>
          </c:extLst>
        </c:ser>
        <c:dLbls>
          <c:showLegendKey val="0"/>
          <c:showVal val="0"/>
          <c:showCatName val="0"/>
          <c:showSerName val="0"/>
          <c:showPercent val="0"/>
          <c:showBubbleSize val="0"/>
        </c:dLbls>
        <c:gapWidth val="150"/>
        <c:overlap val="100"/>
        <c:axId val="1198172640"/>
        <c:axId val="1176025584"/>
      </c:barChart>
      <c:scatterChart>
        <c:scatterStyle val="lineMarker"/>
        <c:varyColors val="0"/>
        <c:ser>
          <c:idx val="4"/>
          <c:order val="4"/>
          <c:tx>
            <c:v>m</c:v>
          </c:tx>
          <c:spPr>
            <a:ln w="19050">
              <a:noFill/>
            </a:ln>
          </c:spPr>
          <c:marker>
            <c:symbol val="x"/>
            <c:size val="5"/>
            <c:spPr>
              <a:ln>
                <a:solidFill>
                  <a:srgbClr val="000000"/>
                </a:solidFill>
                <a:prstDash val="solid"/>
              </a:ln>
            </c:spPr>
          </c:marker>
          <c:yVal>
            <c:numRef>
              <c:f>'Programming Issues'!$J$39:$K$39</c:f>
              <c:numCache>
                <c:formatCode>General</c:formatCode>
                <c:ptCount val="2"/>
                <c:pt idx="0">
                  <c:v>2.3199999999999998</c:v>
                </c:pt>
                <c:pt idx="1">
                  <c:v>1.96</c:v>
                </c:pt>
              </c:numCache>
            </c:numRef>
          </c:yVal>
          <c:smooth val="0"/>
          <c:extLst>
            <c:ext xmlns:c16="http://schemas.microsoft.com/office/drawing/2014/chart" uri="{C3380CC4-5D6E-409C-BE32-E72D297353CC}">
              <c16:uniqueId val="{00000004-F3B4-4A09-A66C-0D0B4C5FC692}"/>
            </c:ext>
          </c:extLst>
        </c:ser>
        <c:dLbls>
          <c:showLegendKey val="0"/>
          <c:showVal val="0"/>
          <c:showCatName val="0"/>
          <c:showSerName val="0"/>
          <c:showPercent val="0"/>
          <c:showBubbleSize val="0"/>
        </c:dLbls>
        <c:axId val="1198172640"/>
        <c:axId val="1176025584"/>
      </c:scatterChart>
      <c:catAx>
        <c:axId val="1198172640"/>
        <c:scaling>
          <c:orientation val="minMax"/>
        </c:scaling>
        <c:delete val="0"/>
        <c:axPos val="b"/>
        <c:numFmt formatCode="General" sourceLinked="1"/>
        <c:majorTickMark val="out"/>
        <c:minorTickMark val="none"/>
        <c:tickLblPos val="nextTo"/>
        <c:crossAx val="1176025584"/>
        <c:crosses val="autoZero"/>
        <c:auto val="1"/>
        <c:lblAlgn val="ctr"/>
        <c:lblOffset val="100"/>
        <c:noMultiLvlLbl val="0"/>
      </c:catAx>
      <c:valAx>
        <c:axId val="1176025584"/>
        <c:scaling>
          <c:orientation val="minMax"/>
        </c:scaling>
        <c:delete val="0"/>
        <c:axPos val="l"/>
        <c:majorGridlines/>
        <c:numFmt formatCode="General" sourceLinked="1"/>
        <c:majorTickMark val="out"/>
        <c:minorTickMark val="none"/>
        <c:tickLblPos val="nextTo"/>
        <c:crossAx val="1198172640"/>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 Program</a:t>
            </a:r>
            <a:r>
              <a:rPr lang="en-US" baseline="0"/>
              <a:t> Runs</a:t>
            </a:r>
            <a:endParaRPr lang="en-US"/>
          </a:p>
        </c:rich>
      </c:tx>
      <c:overlay val="0"/>
    </c:title>
    <c:autoTitleDeleted val="0"/>
    <c:plotArea>
      <c:layout/>
      <c:barChart>
        <c:barDir val="col"/>
        <c:grouping val="stacked"/>
        <c:varyColors val="0"/>
        <c:ser>
          <c:idx val="0"/>
          <c:order val="0"/>
          <c:tx>
            <c:strRef>
              <c:f>'Programming Issues'!$I$56</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Issues'!$J$55:$K$55</c:f>
              <c:strCache>
                <c:ptCount val="2"/>
                <c:pt idx="0">
                  <c:v>Duplo</c:v>
                </c:pt>
                <c:pt idx="1">
                  <c:v>RSOY</c:v>
                </c:pt>
              </c:strCache>
            </c:strRef>
          </c:cat>
          <c:val>
            <c:numRef>
              <c:f>'Programming Issues'!$J$56:$K$56</c:f>
              <c:numCache>
                <c:formatCode>General</c:formatCode>
                <c:ptCount val="2"/>
                <c:pt idx="0">
                  <c:v>9</c:v>
                </c:pt>
                <c:pt idx="1">
                  <c:v>19</c:v>
                </c:pt>
              </c:numCache>
            </c:numRef>
          </c:val>
          <c:extLst>
            <c:ext xmlns:c16="http://schemas.microsoft.com/office/drawing/2014/chart" uri="{C3380CC4-5D6E-409C-BE32-E72D297353CC}">
              <c16:uniqueId val="{00000000-626A-4D88-AEC0-9483BAB03F45}"/>
            </c:ext>
          </c:extLst>
        </c:ser>
        <c:ser>
          <c:idx val="1"/>
          <c:order val="1"/>
          <c:tx>
            <c:strRef>
              <c:f>'Programming Issues'!$I$57</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'Programming Issues'!$J$55:$K$55</c:f>
              <c:strCache>
                <c:ptCount val="2"/>
                <c:pt idx="0">
                  <c:v>Duplo</c:v>
                </c:pt>
                <c:pt idx="1">
                  <c:v>RSOY</c:v>
                </c:pt>
              </c:strCache>
            </c:strRef>
          </c:cat>
          <c:val>
            <c:numRef>
              <c:f>'Programming Issues'!$J$57:$K$57</c:f>
              <c:numCache>
                <c:formatCode>General</c:formatCode>
                <c:ptCount val="2"/>
                <c:pt idx="0">
                  <c:v>15</c:v>
                </c:pt>
                <c:pt idx="1">
                  <c:v>6</c:v>
                </c:pt>
              </c:numCache>
            </c:numRef>
          </c:val>
          <c:extLst>
            <c:ext xmlns:c16="http://schemas.microsoft.com/office/drawing/2014/chart" uri="{C3380CC4-5D6E-409C-BE32-E72D297353CC}">
              <c16:uniqueId val="{00000001-626A-4D88-AEC0-9483BAB03F45}"/>
            </c:ext>
          </c:extLst>
        </c:ser>
        <c:ser>
          <c:idx val="2"/>
          <c:order val="2"/>
          <c:tx>
            <c:strRef>
              <c:f>'Programming Issues'!$I$58</c:f>
              <c:strCache>
                <c:ptCount val="1"/>
                <c:pt idx="0">
                  <c:v>Med-Q1</c:v>
                </c:pt>
              </c:strCache>
            </c:strRef>
          </c:tx>
          <c:invertIfNegative val="0"/>
          <c:cat>
            <c:strRef>
              <c:f>'Programming Issues'!$J$55:$K$55</c:f>
              <c:strCache>
                <c:ptCount val="2"/>
                <c:pt idx="0">
                  <c:v>Duplo</c:v>
                </c:pt>
                <c:pt idx="1">
                  <c:v>RSOY</c:v>
                </c:pt>
              </c:strCache>
            </c:strRef>
          </c:cat>
          <c:val>
            <c:numRef>
              <c:f>'Programming Issues'!$J$58:$K$58</c:f>
              <c:numCache>
                <c:formatCode>General</c:formatCode>
                <c:ptCount val="2"/>
                <c:pt idx="0">
                  <c:v>11</c:v>
                </c:pt>
                <c:pt idx="1">
                  <c:v>9</c:v>
                </c:pt>
              </c:numCache>
            </c:numRef>
          </c:val>
          <c:extLst>
            <c:ext xmlns:c16="http://schemas.microsoft.com/office/drawing/2014/chart" uri="{C3380CC4-5D6E-409C-BE32-E72D297353CC}">
              <c16:uniqueId val="{00000002-626A-4D88-AEC0-9483BAB03F45}"/>
            </c:ext>
          </c:extLst>
        </c:ser>
        <c:ser>
          <c:idx val="3"/>
          <c:order val="3"/>
          <c:tx>
            <c:strRef>
              <c:f>'Programming Issues'!$I$59</c:f>
              <c:strCache>
                <c:ptCount val="1"/>
                <c:pt idx="0">
                  <c:v>Q3-Med</c:v>
                </c:pt>
              </c:strCache>
            </c:strRef>
          </c:tx>
          <c:invertIfNegative val="0"/>
          <c:errBars>
            <c:errBarType val="plus"/>
            <c:errValType val="cust"/>
            <c:noEndCap val="0"/>
            <c:plus>
              <c:numRef>
                <c:f>'Programming Issues'!$J$60:$K$60</c:f>
                <c:numCache>
                  <c:formatCode>General</c:formatCode>
                  <c:ptCount val="2"/>
                  <c:pt idx="0">
                    <c:v>39</c:v>
                  </c:pt>
                  <c:pt idx="1">
                    <c:v>17</c:v>
                  </c:pt>
                </c:numCache>
              </c:numRef>
            </c:plus>
          </c:errBars>
          <c:cat>
            <c:strRef>
              <c:f>'Programming Issues'!$J$55:$K$55</c:f>
              <c:strCache>
                <c:ptCount val="2"/>
                <c:pt idx="0">
                  <c:v>Duplo</c:v>
                </c:pt>
                <c:pt idx="1">
                  <c:v>RSOY</c:v>
                </c:pt>
              </c:strCache>
            </c:strRef>
          </c:cat>
          <c:val>
            <c:numRef>
              <c:f>'Programming Issues'!$J$59:$K$59</c:f>
              <c:numCache>
                <c:formatCode>General</c:formatCode>
                <c:ptCount val="2"/>
                <c:pt idx="0">
                  <c:v>11</c:v>
                </c:pt>
                <c:pt idx="1">
                  <c:v>13</c:v>
                </c:pt>
              </c:numCache>
            </c:numRef>
          </c:val>
          <c:extLst>
            <c:ext xmlns:c16="http://schemas.microsoft.com/office/drawing/2014/chart" uri="{C3380CC4-5D6E-409C-BE32-E72D297353CC}">
              <c16:uniqueId val="{00000003-626A-4D88-AEC0-9483BAB03F45}"/>
            </c:ext>
          </c:extLst>
        </c:ser>
        <c:dLbls>
          <c:showLegendKey val="0"/>
          <c:showVal val="0"/>
          <c:showCatName val="0"/>
          <c:showSerName val="0"/>
          <c:showPercent val="0"/>
          <c:showBubbleSize val="0"/>
        </c:dLbls>
        <c:gapWidth val="150"/>
        <c:overlap val="100"/>
        <c:axId val="1167371456"/>
        <c:axId val="1176044720"/>
      </c:barChart>
      <c:scatterChart>
        <c:scatterStyle val="lineMarker"/>
        <c:varyColors val="0"/>
        <c:ser>
          <c:idx val="4"/>
          <c:order val="4"/>
          <c:tx>
            <c:v>m</c:v>
          </c:tx>
          <c:spPr>
            <a:ln w="19050">
              <a:noFill/>
            </a:ln>
          </c:spPr>
          <c:marker>
            <c:symbol val="x"/>
            <c:size val="5"/>
            <c:spPr>
              <a:ln>
                <a:solidFill>
                  <a:srgbClr val="000000"/>
                </a:solidFill>
                <a:prstDash val="solid"/>
              </a:ln>
            </c:spPr>
          </c:marker>
          <c:yVal>
            <c:numRef>
              <c:f>'Programming Issues'!$J$61:$K$61</c:f>
              <c:numCache>
                <c:formatCode>General</c:formatCode>
                <c:ptCount val="2"/>
                <c:pt idx="0">
                  <c:v>37.4</c:v>
                </c:pt>
                <c:pt idx="1">
                  <c:v>37.119999999999997</c:v>
                </c:pt>
              </c:numCache>
            </c:numRef>
          </c:yVal>
          <c:smooth val="0"/>
          <c:extLst>
            <c:ext xmlns:c16="http://schemas.microsoft.com/office/drawing/2014/chart" uri="{C3380CC4-5D6E-409C-BE32-E72D297353CC}">
              <c16:uniqueId val="{00000004-626A-4D88-AEC0-9483BAB03F45}"/>
            </c:ext>
          </c:extLst>
        </c:ser>
        <c:dLbls>
          <c:showLegendKey val="0"/>
          <c:showVal val="0"/>
          <c:showCatName val="0"/>
          <c:showSerName val="0"/>
          <c:showPercent val="0"/>
          <c:showBubbleSize val="0"/>
        </c:dLbls>
        <c:axId val="1167371456"/>
        <c:axId val="1176044720"/>
      </c:scatterChart>
      <c:catAx>
        <c:axId val="1167371456"/>
        <c:scaling>
          <c:orientation val="minMax"/>
        </c:scaling>
        <c:delete val="0"/>
        <c:axPos val="b"/>
        <c:numFmt formatCode="General" sourceLinked="1"/>
        <c:majorTickMark val="out"/>
        <c:minorTickMark val="none"/>
        <c:tickLblPos val="nextTo"/>
        <c:crossAx val="1176044720"/>
        <c:crosses val="autoZero"/>
        <c:auto val="1"/>
        <c:lblAlgn val="ctr"/>
        <c:lblOffset val="100"/>
        <c:noMultiLvlLbl val="0"/>
      </c:catAx>
      <c:valAx>
        <c:axId val="1176044720"/>
        <c:scaling>
          <c:orientation val="minMax"/>
        </c:scaling>
        <c:delete val="0"/>
        <c:axPos val="l"/>
        <c:majorGridlines/>
        <c:numFmt formatCode="General" sourceLinked="1"/>
        <c:majorTickMark val="out"/>
        <c:minorTickMark val="none"/>
        <c:tickLblPos val="nextTo"/>
        <c:crossAx val="1167371456"/>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r>
              <a:rPr lang="en-US"/>
              <a:t>Success Rate: RSOY</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endParaRPr lang="en-US"/>
        </a:p>
      </c:txPr>
    </c:title>
    <c:autoTitleDeleted val="0"/>
    <c:plotArea>
      <c:layout/>
      <c:barChart>
        <c:barDir val="col"/>
        <c:grouping val="stacked"/>
        <c:varyColors val="0"/>
        <c:ser>
          <c:idx val="0"/>
          <c:order val="0"/>
          <c:tx>
            <c:strRef>
              <c:f>Performance!$B$5</c:f>
              <c:strCache>
                <c:ptCount val="1"/>
                <c:pt idx="0">
                  <c:v>Completed</c:v>
                </c:pt>
              </c:strCache>
            </c:strRef>
          </c:tx>
          <c:spPr>
            <a:solidFill>
              <a:srgbClr val="008E40"/>
            </a:solidFill>
            <a:ln>
              <a:noFill/>
            </a:ln>
            <a:effectLst/>
          </c:spPr>
          <c:invertIfNegative val="0"/>
          <c:dLbls>
            <c:dLbl>
              <c:idx val="0"/>
              <c:tx>
                <c:rich>
                  <a:bodyPr/>
                  <a:lstStyle/>
                  <a:p>
                    <a:fld id="{B518F78F-ECD5-42D8-946F-558AD94C9EF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4BC-4D6F-A73D-A2C0CCECC8D0}"/>
                </c:ext>
              </c:extLst>
            </c:dLbl>
            <c:dLbl>
              <c:idx val="1"/>
              <c:tx>
                <c:rich>
                  <a:bodyPr/>
                  <a:lstStyle/>
                  <a:p>
                    <a:fld id="{1E94721E-791A-4A3E-A3D4-3AB29CEDE67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4BC-4D6F-A73D-A2C0CCECC8D0}"/>
                </c:ext>
              </c:extLst>
            </c:dLbl>
            <c:dLbl>
              <c:idx val="2"/>
              <c:tx>
                <c:rich>
                  <a:bodyPr/>
                  <a:lstStyle/>
                  <a:p>
                    <a:fld id="{247EE295-CC0A-4FEC-B034-97297290637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4BC-4D6F-A73D-A2C0CCECC8D0}"/>
                </c:ext>
              </c:extLst>
            </c:dLbl>
            <c:dLbl>
              <c:idx val="3"/>
              <c:tx>
                <c:rich>
                  <a:bodyPr/>
                  <a:lstStyle/>
                  <a:p>
                    <a:fld id="{D225DB87-1231-4007-AAE0-D3A83293B65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4BC-4D6F-A73D-A2C0CCECC8D0}"/>
                </c:ext>
              </c:extLst>
            </c:dLbl>
            <c:dLbl>
              <c:idx val="4"/>
              <c:tx>
                <c:rich>
                  <a:bodyPr/>
                  <a:lstStyle/>
                  <a:p>
                    <a:fld id="{0A5055FE-E9EE-4B41-B683-8C824A803D9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4BC-4D6F-A73D-A2C0CCECC8D0}"/>
                </c:ext>
              </c:extLst>
            </c:dLbl>
            <c:dLbl>
              <c:idx val="5"/>
              <c:tx>
                <c:rich>
                  <a:bodyPr/>
                  <a:lstStyle/>
                  <a:p>
                    <a:fld id="{CF07A4B9-2397-440D-8414-29AC9884284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4BC-4D6F-A73D-A2C0CCECC8D0}"/>
                </c:ext>
              </c:extLst>
            </c:dLbl>
            <c:numFmt formatCode="#,##0_);[Red]\(#,##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Performance!$C$3:$H$4</c:f>
              <c:strCache>
                <c:ptCount val="6"/>
                <c:pt idx="0">
                  <c:v>Pick up Spacer</c:v>
                </c:pt>
                <c:pt idx="1">
                  <c:v>Place Spacer</c:v>
                </c:pt>
                <c:pt idx="2">
                  <c:v>Pick up Gear</c:v>
                </c:pt>
                <c:pt idx="3">
                  <c:v>Place Gear</c:v>
                </c:pt>
                <c:pt idx="4">
                  <c:v>Pick up Propeller</c:v>
                </c:pt>
                <c:pt idx="5">
                  <c:v>Place Propeller</c:v>
                </c:pt>
              </c:strCache>
            </c:strRef>
          </c:cat>
          <c:val>
            <c:numRef>
              <c:f>Performance!$C$5:$H$5</c:f>
              <c:numCache>
                <c:formatCode>0%</c:formatCode>
                <c:ptCount val="6"/>
                <c:pt idx="0">
                  <c:v>0.88461538461538458</c:v>
                </c:pt>
                <c:pt idx="1">
                  <c:v>0.80769230769230771</c:v>
                </c:pt>
                <c:pt idx="2">
                  <c:v>0.84615384615384615</c:v>
                </c:pt>
                <c:pt idx="3">
                  <c:v>0.73076923076923073</c:v>
                </c:pt>
                <c:pt idx="4">
                  <c:v>0.57692307692307687</c:v>
                </c:pt>
                <c:pt idx="5">
                  <c:v>0.46153846153846156</c:v>
                </c:pt>
              </c:numCache>
            </c:numRef>
          </c:val>
          <c:extLst>
            <c:ext xmlns:c15="http://schemas.microsoft.com/office/drawing/2012/chart" uri="{02D57815-91ED-43cb-92C2-25804820EDAC}">
              <c15:datalabelsRange>
                <c15:f>Performance!$C$15:$H$15</c15:f>
                <c15:dlblRangeCache>
                  <c:ptCount val="6"/>
                  <c:pt idx="0">
                    <c:v>23</c:v>
                  </c:pt>
                  <c:pt idx="1">
                    <c:v>21</c:v>
                  </c:pt>
                  <c:pt idx="2">
                    <c:v>22</c:v>
                  </c:pt>
                  <c:pt idx="3">
                    <c:v>19</c:v>
                  </c:pt>
                  <c:pt idx="4">
                    <c:v>15</c:v>
                  </c:pt>
                  <c:pt idx="5">
                    <c:v>12</c:v>
                  </c:pt>
                </c15:dlblRangeCache>
              </c15:datalabelsRange>
            </c:ext>
            <c:ext xmlns:c16="http://schemas.microsoft.com/office/drawing/2014/chart" uri="{C3380CC4-5D6E-409C-BE32-E72D297353CC}">
              <c16:uniqueId val="{00000000-C43D-44B4-94F6-095BE6468189}"/>
            </c:ext>
          </c:extLst>
        </c:ser>
        <c:ser>
          <c:idx val="1"/>
          <c:order val="1"/>
          <c:tx>
            <c:strRef>
              <c:f>Performance!$B$6</c:f>
              <c:strCache>
                <c:ptCount val="1"/>
                <c:pt idx="0">
                  <c:v>Did not complete</c:v>
                </c:pt>
              </c:strCache>
            </c:strRef>
          </c:tx>
          <c:spPr>
            <a:solidFill>
              <a:srgbClr val="C00000"/>
            </a:solidFill>
            <a:ln>
              <a:noFill/>
            </a:ln>
            <a:effectLst/>
          </c:spPr>
          <c:invertIfNegative val="0"/>
          <c:dLbls>
            <c:dLbl>
              <c:idx val="0"/>
              <c:tx>
                <c:rich>
                  <a:bodyPr/>
                  <a:lstStyle/>
                  <a:p>
                    <a:fld id="{2395702D-084E-494D-B11E-4A2ABA31A9D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4BC-4D6F-A73D-A2C0CCECC8D0}"/>
                </c:ext>
              </c:extLst>
            </c:dLbl>
            <c:dLbl>
              <c:idx val="1"/>
              <c:tx>
                <c:rich>
                  <a:bodyPr/>
                  <a:lstStyle/>
                  <a:p>
                    <a:fld id="{FB1A06AA-C4E7-4DDC-8604-B967A17AC76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4BC-4D6F-A73D-A2C0CCECC8D0}"/>
                </c:ext>
              </c:extLst>
            </c:dLbl>
            <c:dLbl>
              <c:idx val="2"/>
              <c:tx>
                <c:rich>
                  <a:bodyPr/>
                  <a:lstStyle/>
                  <a:p>
                    <a:fld id="{2B02EE7F-9061-4E78-92C5-7613B30372D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B4BC-4D6F-A73D-A2C0CCECC8D0}"/>
                </c:ext>
              </c:extLst>
            </c:dLbl>
            <c:dLbl>
              <c:idx val="3"/>
              <c:tx>
                <c:rich>
                  <a:bodyPr/>
                  <a:lstStyle/>
                  <a:p>
                    <a:fld id="{93C99912-B676-4994-8937-4BBC3ABCA59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B4BC-4D6F-A73D-A2C0CCECC8D0}"/>
                </c:ext>
              </c:extLst>
            </c:dLbl>
            <c:dLbl>
              <c:idx val="4"/>
              <c:tx>
                <c:rich>
                  <a:bodyPr/>
                  <a:lstStyle/>
                  <a:p>
                    <a:fld id="{7B3013A1-A447-4BBC-BCC7-31CA0BF3B35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B4BC-4D6F-A73D-A2C0CCECC8D0}"/>
                </c:ext>
              </c:extLst>
            </c:dLbl>
            <c:dLbl>
              <c:idx val="5"/>
              <c:tx>
                <c:rich>
                  <a:bodyPr/>
                  <a:lstStyle/>
                  <a:p>
                    <a:fld id="{45E4FC7B-8DA9-475B-917E-3913E46BEF8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B4BC-4D6F-A73D-A2C0CCECC8D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Performance!$C$3:$H$4</c:f>
              <c:strCache>
                <c:ptCount val="6"/>
                <c:pt idx="0">
                  <c:v>Pick up Spacer</c:v>
                </c:pt>
                <c:pt idx="1">
                  <c:v>Place Spacer</c:v>
                </c:pt>
                <c:pt idx="2">
                  <c:v>Pick up Gear</c:v>
                </c:pt>
                <c:pt idx="3">
                  <c:v>Place Gear</c:v>
                </c:pt>
                <c:pt idx="4">
                  <c:v>Pick up Propeller</c:v>
                </c:pt>
                <c:pt idx="5">
                  <c:v>Place Propeller</c:v>
                </c:pt>
              </c:strCache>
            </c:strRef>
          </c:cat>
          <c:val>
            <c:numRef>
              <c:f>Performance!$C$6:$H$6</c:f>
              <c:numCache>
                <c:formatCode>0%</c:formatCode>
                <c:ptCount val="6"/>
                <c:pt idx="0">
                  <c:v>0.11538461538461539</c:v>
                </c:pt>
                <c:pt idx="1">
                  <c:v>0.19230769230769232</c:v>
                </c:pt>
                <c:pt idx="2">
                  <c:v>0.15384615384615385</c:v>
                </c:pt>
                <c:pt idx="3">
                  <c:v>0.26923076923076922</c:v>
                </c:pt>
                <c:pt idx="4">
                  <c:v>0.42307692307692307</c:v>
                </c:pt>
                <c:pt idx="5">
                  <c:v>0.53846153846153844</c:v>
                </c:pt>
              </c:numCache>
            </c:numRef>
          </c:val>
          <c:extLst>
            <c:ext xmlns:c15="http://schemas.microsoft.com/office/drawing/2012/chart" uri="{02D57815-91ED-43cb-92C2-25804820EDAC}">
              <c15:datalabelsRange>
                <c15:f>Performance!$C$16:$H$16</c15:f>
                <c15:dlblRangeCache>
                  <c:ptCount val="6"/>
                  <c:pt idx="0">
                    <c:v>3</c:v>
                  </c:pt>
                  <c:pt idx="1">
                    <c:v>5</c:v>
                  </c:pt>
                  <c:pt idx="2">
                    <c:v>4</c:v>
                  </c:pt>
                  <c:pt idx="3">
                    <c:v>7</c:v>
                  </c:pt>
                  <c:pt idx="4">
                    <c:v>11</c:v>
                  </c:pt>
                  <c:pt idx="5">
                    <c:v>14</c:v>
                  </c:pt>
                </c15:dlblRangeCache>
              </c15:datalabelsRange>
            </c:ext>
            <c:ext xmlns:c16="http://schemas.microsoft.com/office/drawing/2014/chart" uri="{C3380CC4-5D6E-409C-BE32-E72D297353CC}">
              <c16:uniqueId val="{00000001-C43D-44B4-94F6-095BE6468189}"/>
            </c:ext>
          </c:extLst>
        </c:ser>
        <c:dLbls>
          <c:dLblPos val="ctr"/>
          <c:showLegendKey val="0"/>
          <c:showVal val="1"/>
          <c:showCatName val="0"/>
          <c:showSerName val="0"/>
          <c:showPercent val="0"/>
          <c:showBubbleSize val="0"/>
        </c:dLbls>
        <c:gapWidth val="150"/>
        <c:overlap val="100"/>
        <c:axId val="883506848"/>
        <c:axId val="888228096"/>
      </c:barChart>
      <c:catAx>
        <c:axId val="883506848"/>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b="1"/>
                  <a:t>Tasks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50000"/>
                <a:lumOff val="50000"/>
              </a:schemeClr>
            </a:solidFill>
            <a:round/>
          </a:ln>
          <a:effectLst/>
        </c:spPr>
        <c:txPr>
          <a:bodyPr rot="0" spcFirstLastPara="1" vertOverflow="ellipsis" wrap="square" anchor="ctr" anchorCtr="0"/>
          <a:lstStyle/>
          <a:p>
            <a:pPr>
              <a:defRPr sz="1400" b="0" i="0" u="none" strike="noStrike" kern="1200" baseline="0">
                <a:solidFill>
                  <a:schemeClr val="tx1"/>
                </a:solidFill>
                <a:latin typeface="+mn-lt"/>
                <a:ea typeface="+mn-ea"/>
                <a:cs typeface="+mn-cs"/>
              </a:defRPr>
            </a:pPr>
            <a:endParaRPr lang="en-US"/>
          </a:p>
        </c:txPr>
        <c:crossAx val="888228096"/>
        <c:crosses val="autoZero"/>
        <c:auto val="1"/>
        <c:lblAlgn val="ctr"/>
        <c:lblOffset val="100"/>
        <c:noMultiLvlLbl val="0"/>
      </c:catAx>
      <c:valAx>
        <c:axId val="88822809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b="1"/>
                  <a:t>Participants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tx2">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883506848"/>
        <c:crosses val="autoZero"/>
        <c:crossBetween val="between"/>
        <c:majorUnit val="0.2"/>
        <c:minorUnit val="5.000000000000001E-2"/>
      </c:valAx>
      <c:spPr>
        <a:solidFill>
          <a:schemeClr val="bg1">
            <a:lumMod val="95000"/>
          </a:schemeClr>
        </a:solidFill>
        <a:ln>
          <a:solidFill>
            <a:schemeClr val="tx2">
              <a:lumMod val="50000"/>
              <a:lumOff val="50000"/>
            </a:schemeClr>
          </a:solid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tx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r>
              <a:rPr lang="en-US"/>
              <a:t>Success</a:t>
            </a:r>
            <a:r>
              <a:rPr lang="en-US" baseline="0"/>
              <a:t> Rate: </a:t>
            </a:r>
            <a:r>
              <a:rPr lang="en-US"/>
              <a:t>Duplo</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endParaRPr lang="en-US"/>
        </a:p>
      </c:txPr>
    </c:title>
    <c:autoTitleDeleted val="0"/>
    <c:plotArea>
      <c:layout/>
      <c:barChart>
        <c:barDir val="col"/>
        <c:grouping val="stacked"/>
        <c:varyColors val="0"/>
        <c:ser>
          <c:idx val="1"/>
          <c:order val="0"/>
          <c:tx>
            <c:strRef>
              <c:f>Performance!$B$9</c:f>
              <c:strCache>
                <c:ptCount val="1"/>
                <c:pt idx="0">
                  <c:v>Completed</c:v>
                </c:pt>
              </c:strCache>
            </c:strRef>
          </c:tx>
          <c:spPr>
            <a:solidFill>
              <a:srgbClr val="008E40"/>
            </a:solidFill>
            <a:ln>
              <a:noFill/>
            </a:ln>
            <a:effectLst/>
          </c:spPr>
          <c:invertIfNegative val="0"/>
          <c:dLbls>
            <c:dLbl>
              <c:idx val="0"/>
              <c:tx>
                <c:rich>
                  <a:bodyPr/>
                  <a:lstStyle/>
                  <a:p>
                    <a:fld id="{FDEBB4FF-FD72-46E9-A2E7-61484599044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7F1-4A93-B236-6F3A4FD28F05}"/>
                </c:ext>
              </c:extLst>
            </c:dLbl>
            <c:dLbl>
              <c:idx val="1"/>
              <c:tx>
                <c:rich>
                  <a:bodyPr/>
                  <a:lstStyle/>
                  <a:p>
                    <a:fld id="{C7F64029-84AF-4E48-9488-B8A0B4D474D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7F1-4A93-B236-6F3A4FD28F05}"/>
                </c:ext>
              </c:extLst>
            </c:dLbl>
            <c:dLbl>
              <c:idx val="2"/>
              <c:tx>
                <c:rich>
                  <a:bodyPr/>
                  <a:lstStyle/>
                  <a:p>
                    <a:fld id="{7C470AF3-7547-4E9C-BD3C-706683D4B2D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7F1-4A93-B236-6F3A4FD28F05}"/>
                </c:ext>
              </c:extLst>
            </c:dLbl>
            <c:dLbl>
              <c:idx val="3"/>
              <c:tx>
                <c:rich>
                  <a:bodyPr/>
                  <a:lstStyle/>
                  <a:p>
                    <a:fld id="{81D802E9-E3F2-4C14-8C8E-55F38D17A7F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7F1-4A93-B236-6F3A4FD28F05}"/>
                </c:ext>
              </c:extLst>
            </c:dLbl>
            <c:dLbl>
              <c:idx val="4"/>
              <c:tx>
                <c:rich>
                  <a:bodyPr/>
                  <a:lstStyle/>
                  <a:p>
                    <a:fld id="{9E7F8E4C-4F48-4CF5-8F38-F1E82C45BE5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7F1-4A93-B236-6F3A4FD28F05}"/>
                </c:ext>
              </c:extLst>
            </c:dLbl>
            <c:dLbl>
              <c:idx val="5"/>
              <c:tx>
                <c:rich>
                  <a:bodyPr/>
                  <a:lstStyle/>
                  <a:p>
                    <a:fld id="{3A2EC7D0-6A8C-4E93-BA89-F9AA046D6BD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7F1-4A93-B236-6F3A4FD28F05}"/>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Performance!$C$7:$H$8</c:f>
              <c:strCache>
                <c:ptCount val="6"/>
                <c:pt idx="0">
                  <c:v>Pick up Spacer</c:v>
                </c:pt>
                <c:pt idx="1">
                  <c:v>Place Spacer</c:v>
                </c:pt>
                <c:pt idx="2">
                  <c:v>Pick up Gear</c:v>
                </c:pt>
                <c:pt idx="3">
                  <c:v>Place Gear</c:v>
                </c:pt>
                <c:pt idx="4">
                  <c:v>Pick up Propeller</c:v>
                </c:pt>
                <c:pt idx="5">
                  <c:v>Place Propeller</c:v>
                </c:pt>
              </c:strCache>
            </c:strRef>
          </c:cat>
          <c:val>
            <c:numRef>
              <c:f>Performance!$C$9:$H$9</c:f>
              <c:numCache>
                <c:formatCode>0%</c:formatCode>
                <c:ptCount val="6"/>
                <c:pt idx="0">
                  <c:v>1</c:v>
                </c:pt>
                <c:pt idx="1">
                  <c:v>1</c:v>
                </c:pt>
                <c:pt idx="2">
                  <c:v>1</c:v>
                </c:pt>
                <c:pt idx="3">
                  <c:v>0.96153846153846156</c:v>
                </c:pt>
                <c:pt idx="4">
                  <c:v>0.84615384615384615</c:v>
                </c:pt>
                <c:pt idx="5">
                  <c:v>0.84615384615384615</c:v>
                </c:pt>
              </c:numCache>
            </c:numRef>
          </c:val>
          <c:extLst>
            <c:ext xmlns:c15="http://schemas.microsoft.com/office/drawing/2012/chart" uri="{02D57815-91ED-43cb-92C2-25804820EDAC}">
              <c15:datalabelsRange>
                <c15:f>Performance!$C$19:$H$19</c15:f>
                <c15:dlblRangeCache>
                  <c:ptCount val="6"/>
                  <c:pt idx="0">
                    <c:v>26</c:v>
                  </c:pt>
                  <c:pt idx="1">
                    <c:v>26</c:v>
                  </c:pt>
                  <c:pt idx="2">
                    <c:v>26</c:v>
                  </c:pt>
                  <c:pt idx="3">
                    <c:v>25</c:v>
                  </c:pt>
                  <c:pt idx="4">
                    <c:v>22</c:v>
                  </c:pt>
                  <c:pt idx="5">
                    <c:v>22</c:v>
                  </c:pt>
                </c15:dlblRangeCache>
              </c15:datalabelsRange>
            </c:ext>
            <c:ext xmlns:c16="http://schemas.microsoft.com/office/drawing/2014/chart" uri="{C3380CC4-5D6E-409C-BE32-E72D297353CC}">
              <c16:uniqueId val="{00000001-C43D-44B4-94F6-095BE6468189}"/>
            </c:ext>
          </c:extLst>
        </c:ser>
        <c:ser>
          <c:idx val="0"/>
          <c:order val="1"/>
          <c:tx>
            <c:strRef>
              <c:f>Performance!$B$10</c:f>
              <c:strCache>
                <c:ptCount val="1"/>
                <c:pt idx="0">
                  <c:v>Did not complete</c:v>
                </c:pt>
              </c:strCache>
            </c:strRef>
          </c:tx>
          <c:spPr>
            <a:solidFill>
              <a:srgbClr val="C00000"/>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0-07F1-4A93-B236-6F3A4FD28F05}"/>
                </c:ext>
              </c:extLst>
            </c:dLbl>
            <c:dLbl>
              <c:idx val="1"/>
              <c:delete val="1"/>
              <c:extLst>
                <c:ext xmlns:c15="http://schemas.microsoft.com/office/drawing/2012/chart" uri="{CE6537A1-D6FC-4f65-9D91-7224C49458BB}"/>
                <c:ext xmlns:c16="http://schemas.microsoft.com/office/drawing/2014/chart" uri="{C3380CC4-5D6E-409C-BE32-E72D297353CC}">
                  <c16:uniqueId val="{00000001-07F1-4A93-B236-6F3A4FD28F05}"/>
                </c:ext>
              </c:extLst>
            </c:dLbl>
            <c:dLbl>
              <c:idx val="2"/>
              <c:delete val="1"/>
              <c:extLst>
                <c:ext xmlns:c15="http://schemas.microsoft.com/office/drawing/2012/chart" uri="{CE6537A1-D6FC-4f65-9D91-7224C49458BB}"/>
                <c:ext xmlns:c16="http://schemas.microsoft.com/office/drawing/2014/chart" uri="{C3380CC4-5D6E-409C-BE32-E72D297353CC}">
                  <c16:uniqueId val="{00000002-07F1-4A93-B236-6F3A4FD28F05}"/>
                </c:ext>
              </c:extLst>
            </c:dLbl>
            <c:dLbl>
              <c:idx val="3"/>
              <c:tx>
                <c:rich>
                  <a:bodyPr/>
                  <a:lstStyle/>
                  <a:p>
                    <a:fld id="{75696B8A-C13B-44FE-8BE6-9D1CFF4EB12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7F1-4A93-B236-6F3A4FD28F05}"/>
                </c:ext>
              </c:extLst>
            </c:dLbl>
            <c:dLbl>
              <c:idx val="4"/>
              <c:tx>
                <c:rich>
                  <a:bodyPr/>
                  <a:lstStyle/>
                  <a:p>
                    <a:fld id="{1CFF6CBA-83CE-4CEE-8D75-618E5CA385B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7F1-4A93-B236-6F3A4FD28F05}"/>
                </c:ext>
              </c:extLst>
            </c:dLbl>
            <c:dLbl>
              <c:idx val="5"/>
              <c:tx>
                <c:rich>
                  <a:bodyPr/>
                  <a:lstStyle/>
                  <a:p>
                    <a:fld id="{7BF62C7F-BE57-43AF-A3C4-BFD65E1900C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7F1-4A93-B236-6F3A4FD28F05}"/>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Performance!$C$7:$H$8</c:f>
              <c:strCache>
                <c:ptCount val="6"/>
                <c:pt idx="0">
                  <c:v>Pick up Spacer</c:v>
                </c:pt>
                <c:pt idx="1">
                  <c:v>Place Spacer</c:v>
                </c:pt>
                <c:pt idx="2">
                  <c:v>Pick up Gear</c:v>
                </c:pt>
                <c:pt idx="3">
                  <c:v>Place Gear</c:v>
                </c:pt>
                <c:pt idx="4">
                  <c:v>Pick up Propeller</c:v>
                </c:pt>
                <c:pt idx="5">
                  <c:v>Place Propeller</c:v>
                </c:pt>
              </c:strCache>
            </c:strRef>
          </c:cat>
          <c:val>
            <c:numRef>
              <c:f>Performance!$C$10:$H$10</c:f>
              <c:numCache>
                <c:formatCode>0%</c:formatCode>
                <c:ptCount val="6"/>
                <c:pt idx="0">
                  <c:v>0</c:v>
                </c:pt>
                <c:pt idx="1">
                  <c:v>0</c:v>
                </c:pt>
                <c:pt idx="2">
                  <c:v>0</c:v>
                </c:pt>
                <c:pt idx="3">
                  <c:v>3.8461538461538464E-2</c:v>
                </c:pt>
                <c:pt idx="4">
                  <c:v>0.15384615384615385</c:v>
                </c:pt>
                <c:pt idx="5">
                  <c:v>0.15384615384615385</c:v>
                </c:pt>
              </c:numCache>
            </c:numRef>
          </c:val>
          <c:extLst>
            <c:ext xmlns:c15="http://schemas.microsoft.com/office/drawing/2012/chart" uri="{02D57815-91ED-43cb-92C2-25804820EDAC}">
              <c15:datalabelsRange>
                <c15:f>Performance!$C$20:$H$20</c15:f>
                <c15:dlblRangeCache>
                  <c:ptCount val="6"/>
                  <c:pt idx="0">
                    <c:v>0</c:v>
                  </c:pt>
                  <c:pt idx="1">
                    <c:v>0</c:v>
                  </c:pt>
                  <c:pt idx="2">
                    <c:v>0</c:v>
                  </c:pt>
                  <c:pt idx="3">
                    <c:v>1</c:v>
                  </c:pt>
                  <c:pt idx="4">
                    <c:v>4</c:v>
                  </c:pt>
                  <c:pt idx="5">
                    <c:v>4</c:v>
                  </c:pt>
                </c15:dlblRangeCache>
              </c15:datalabelsRange>
            </c:ext>
            <c:ext xmlns:c16="http://schemas.microsoft.com/office/drawing/2014/chart" uri="{C3380CC4-5D6E-409C-BE32-E72D297353CC}">
              <c16:uniqueId val="{00000000-C43D-44B4-94F6-095BE6468189}"/>
            </c:ext>
          </c:extLst>
        </c:ser>
        <c:dLbls>
          <c:showLegendKey val="0"/>
          <c:showVal val="0"/>
          <c:showCatName val="0"/>
          <c:showSerName val="0"/>
          <c:showPercent val="0"/>
          <c:showBubbleSize val="0"/>
        </c:dLbls>
        <c:gapWidth val="150"/>
        <c:overlap val="100"/>
        <c:axId val="883506848"/>
        <c:axId val="888228096"/>
      </c:barChart>
      <c:catAx>
        <c:axId val="883506848"/>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a:t>Tasks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50000"/>
                <a:lumOff val="50000"/>
              </a:schemeClr>
            </a:solidFill>
            <a:round/>
          </a:ln>
          <a:effectLst/>
        </c:spPr>
        <c:txPr>
          <a:bodyPr rot="0" spcFirstLastPara="1" vertOverflow="ellipsis" wrap="square" anchor="ctr" anchorCtr="0"/>
          <a:lstStyle/>
          <a:p>
            <a:pPr>
              <a:defRPr sz="1400" b="0" i="0" u="none" strike="noStrike" kern="1200" baseline="0">
                <a:solidFill>
                  <a:schemeClr val="tx1"/>
                </a:solidFill>
                <a:latin typeface="+mn-lt"/>
                <a:ea typeface="+mn-ea"/>
                <a:cs typeface="+mn-cs"/>
              </a:defRPr>
            </a:pPr>
            <a:endParaRPr lang="en-US"/>
          </a:p>
        </c:txPr>
        <c:crossAx val="888228096"/>
        <c:crosses val="autoZero"/>
        <c:auto val="1"/>
        <c:lblAlgn val="ctr"/>
        <c:lblOffset val="100"/>
        <c:noMultiLvlLbl val="0"/>
      </c:catAx>
      <c:valAx>
        <c:axId val="88822809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tx2">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883506848"/>
        <c:crosses val="autoZero"/>
        <c:crossBetween val="between"/>
        <c:majorUnit val="0.2"/>
        <c:minorUnit val="5.000000000000001E-2"/>
      </c:valAx>
      <c:spPr>
        <a:solidFill>
          <a:schemeClr val="bg1">
            <a:lumMod val="95000"/>
          </a:schemeClr>
        </a:solidFill>
        <a:ln>
          <a:solidFill>
            <a:schemeClr val="tx2">
              <a:lumMod val="50000"/>
              <a:lumOff val="50000"/>
            </a:schemeClr>
          </a:solid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400">
          <a:solidFill>
            <a:schemeClr val="tx1"/>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Performance!$B$23</c:f>
              <c:strCache>
                <c:ptCount val="1"/>
                <c:pt idx="0">
                  <c:v>Duplo</c:v>
                </c:pt>
              </c:strCache>
            </c:strRef>
          </c:tx>
          <c:spPr>
            <a:solidFill>
              <a:schemeClr val="accent1"/>
            </a:solidFill>
            <a:ln>
              <a:noFill/>
            </a:ln>
            <a:effectLst/>
          </c:spPr>
          <c:invertIfNegative val="0"/>
          <c:val>
            <c:numRef>
              <c:f>Performance!$B$24:$B$49</c:f>
              <c:numCache>
                <c:formatCode>0</c:formatCode>
                <c:ptCount val="26"/>
                <c:pt idx="0">
                  <c:v>28.00000000000006</c:v>
                </c:pt>
                <c:pt idx="1">
                  <c:v>31.00000000000005</c:v>
                </c:pt>
                <c:pt idx="2">
                  <c:v>32.000000000000043</c:v>
                </c:pt>
                <c:pt idx="3">
                  <c:v>34.000000000000043</c:v>
                </c:pt>
                <c:pt idx="4">
                  <c:v>36.000000000000028</c:v>
                </c:pt>
                <c:pt idx="5">
                  <c:v>42.000000000000014</c:v>
                </c:pt>
                <c:pt idx="6">
                  <c:v>43.000000000000007</c:v>
                </c:pt>
                <c:pt idx="7">
                  <c:v>47.999999999999986</c:v>
                </c:pt>
                <c:pt idx="8">
                  <c:v>47.999999999999986</c:v>
                </c:pt>
                <c:pt idx="9">
                  <c:v>48.999999999999986</c:v>
                </c:pt>
                <c:pt idx="10">
                  <c:v>52.999999999999972</c:v>
                </c:pt>
                <c:pt idx="11">
                  <c:v>54.999999999999964</c:v>
                </c:pt>
                <c:pt idx="12">
                  <c:v>61.000000000000099</c:v>
                </c:pt>
                <c:pt idx="13">
                  <c:v>66</c:v>
                </c:pt>
                <c:pt idx="14">
                  <c:v>69.999999999999986</c:v>
                </c:pt>
                <c:pt idx="15">
                  <c:v>74.000000000000057</c:v>
                </c:pt>
                <c:pt idx="16">
                  <c:v>78.000000000000043</c:v>
                </c:pt>
                <c:pt idx="17">
                  <c:v>84.999999999999943</c:v>
                </c:pt>
                <c:pt idx="18">
                  <c:v>92</c:v>
                </c:pt>
                <c:pt idx="19">
                  <c:v>93.999999999999986</c:v>
                </c:pt>
                <c:pt idx="20">
                  <c:v>96.999999999999972</c:v>
                </c:pt>
                <c:pt idx="21">
                  <c:v>104.99999999999994</c:v>
                </c:pt>
                <c:pt idx="22">
                  <c:v>104.99999999999994</c:v>
                </c:pt>
                <c:pt idx="23">
                  <c:v>104.99999999999994</c:v>
                </c:pt>
                <c:pt idx="24">
                  <c:v>105.00000000000011</c:v>
                </c:pt>
                <c:pt idx="25">
                  <c:v>105.00000000000011</c:v>
                </c:pt>
              </c:numCache>
            </c:numRef>
          </c:val>
          <c:extLst>
            <c:ext xmlns:c16="http://schemas.microsoft.com/office/drawing/2014/chart" uri="{C3380CC4-5D6E-409C-BE32-E72D297353CC}">
              <c16:uniqueId val="{00000000-6A8A-45F3-9540-BEA96D2E95DB}"/>
            </c:ext>
          </c:extLst>
        </c:ser>
        <c:ser>
          <c:idx val="1"/>
          <c:order val="1"/>
          <c:tx>
            <c:strRef>
              <c:f>Performance!$C$23</c:f>
              <c:strCache>
                <c:ptCount val="1"/>
                <c:pt idx="0">
                  <c:v>RSOY</c:v>
                </c:pt>
              </c:strCache>
            </c:strRef>
          </c:tx>
          <c:spPr>
            <a:solidFill>
              <a:schemeClr val="accent2"/>
            </a:solidFill>
            <a:ln>
              <a:noFill/>
            </a:ln>
            <a:effectLst/>
          </c:spPr>
          <c:invertIfNegative val="0"/>
          <c:val>
            <c:numRef>
              <c:f>Performance!$C$24:$C$49</c:f>
              <c:numCache>
                <c:formatCode>0</c:formatCode>
                <c:ptCount val="26"/>
                <c:pt idx="0">
                  <c:v>34.999999999999957</c:v>
                </c:pt>
                <c:pt idx="1">
                  <c:v>57.000000000000036</c:v>
                </c:pt>
                <c:pt idx="2">
                  <c:v>70.000000000000071</c:v>
                </c:pt>
                <c:pt idx="3">
                  <c:v>74.000000000000057</c:v>
                </c:pt>
                <c:pt idx="4">
                  <c:v>74.999999999999972</c:v>
                </c:pt>
                <c:pt idx="5">
                  <c:v>81.000000000000028</c:v>
                </c:pt>
                <c:pt idx="6">
                  <c:v>86.000000000000014</c:v>
                </c:pt>
                <c:pt idx="7">
                  <c:v>87.000000000000014</c:v>
                </c:pt>
                <c:pt idx="8">
                  <c:v>89</c:v>
                </c:pt>
                <c:pt idx="9">
                  <c:v>89</c:v>
                </c:pt>
                <c:pt idx="10">
                  <c:v>92.000000000000071</c:v>
                </c:pt>
                <c:pt idx="11">
                  <c:v>104.99999999999994</c:v>
                </c:pt>
                <c:pt idx="12">
                  <c:v>104.99999999999994</c:v>
                </c:pt>
                <c:pt idx="13">
                  <c:v>104.99999999999994</c:v>
                </c:pt>
                <c:pt idx="14">
                  <c:v>104.99999999999994</c:v>
                </c:pt>
                <c:pt idx="15">
                  <c:v>104.99999999999994</c:v>
                </c:pt>
                <c:pt idx="16">
                  <c:v>104.99999999999994</c:v>
                </c:pt>
                <c:pt idx="17">
                  <c:v>104.99999999999994</c:v>
                </c:pt>
                <c:pt idx="18">
                  <c:v>104.99999999999994</c:v>
                </c:pt>
                <c:pt idx="19">
                  <c:v>105.00000000000003</c:v>
                </c:pt>
                <c:pt idx="20">
                  <c:v>105.00000000000003</c:v>
                </c:pt>
                <c:pt idx="21">
                  <c:v>105.00000000000011</c:v>
                </c:pt>
                <c:pt idx="22">
                  <c:v>105.00000000000011</c:v>
                </c:pt>
                <c:pt idx="23">
                  <c:v>105.00000000000011</c:v>
                </c:pt>
                <c:pt idx="24">
                  <c:v>105.00000000000011</c:v>
                </c:pt>
                <c:pt idx="25">
                  <c:v>105.00000000000011</c:v>
                </c:pt>
              </c:numCache>
            </c:numRef>
          </c:val>
          <c:extLst>
            <c:ext xmlns:c16="http://schemas.microsoft.com/office/drawing/2014/chart" uri="{C3380CC4-5D6E-409C-BE32-E72D297353CC}">
              <c16:uniqueId val="{00000001-6A8A-45F3-9540-BEA96D2E95DB}"/>
            </c:ext>
          </c:extLst>
        </c:ser>
        <c:dLbls>
          <c:showLegendKey val="0"/>
          <c:showVal val="0"/>
          <c:showCatName val="0"/>
          <c:showSerName val="0"/>
          <c:showPercent val="0"/>
          <c:showBubbleSize val="0"/>
        </c:dLbls>
        <c:gapWidth val="0"/>
        <c:axId val="840044448"/>
        <c:axId val="1176036400"/>
      </c:barChart>
      <c:catAx>
        <c:axId val="840044448"/>
        <c:scaling>
          <c:orientation val="minMax"/>
        </c:scaling>
        <c:delete val="0"/>
        <c:axPos val="b"/>
        <c:title>
          <c:tx>
            <c:rich>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r>
                  <a:rPr lang="en-US"/>
                  <a:t>Participants</a:t>
                </a:r>
              </a:p>
            </c:rich>
          </c:tx>
          <c:overlay val="0"/>
          <c:spPr>
            <a:noFill/>
            <a:ln>
              <a:noFill/>
            </a:ln>
            <a:effectLst/>
          </c:spPr>
          <c:txPr>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crossAx val="1176036400"/>
        <c:crosses val="autoZero"/>
        <c:auto val="1"/>
        <c:lblAlgn val="ctr"/>
        <c:lblOffset val="100"/>
        <c:noMultiLvlLbl val="0"/>
      </c:catAx>
      <c:valAx>
        <c:axId val="1176036400"/>
        <c:scaling>
          <c:orientation val="minMax"/>
          <c:max val="105"/>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solidFill>
                    <a:latin typeface="+mn-lt"/>
                    <a:ea typeface="+mn-ea"/>
                    <a:cs typeface="+mn-cs"/>
                  </a:defRPr>
                </a:pPr>
                <a:r>
                  <a:rPr lang="en-US"/>
                  <a:t>Minutes</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crossAx val="840044448"/>
        <c:crosses val="autoZero"/>
        <c:crossBetween val="between"/>
        <c:majorUnit val="15"/>
        <c:minorUnit val="5"/>
      </c:valAx>
      <c:spPr>
        <a:solidFill>
          <a:schemeClr val="bg1">
            <a:lumMod val="95000"/>
          </a:schemeClr>
        </a:solidFill>
        <a:ln>
          <a:noFill/>
        </a:ln>
        <a:effectLst/>
      </c:spPr>
    </c:plotArea>
    <c:legend>
      <c:legendPos val="t"/>
      <c:overlay val="0"/>
      <c:spPr>
        <a:noFill/>
        <a:ln>
          <a:noFill/>
        </a:ln>
        <a:effectLst/>
      </c:spPr>
      <c:txPr>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2000">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361950</xdr:colOff>
      <xdr:row>28</xdr:row>
      <xdr:rowOff>161924</xdr:rowOff>
    </xdr:from>
    <xdr:to>
      <xdr:col>6</xdr:col>
      <xdr:colOff>657224</xdr:colOff>
      <xdr:row>50</xdr:row>
      <xdr:rowOff>31750</xdr:rowOff>
    </xdr:to>
    <xdr:graphicFrame macro="">
      <xdr:nvGraphicFramePr>
        <xdr:cNvPr id="16" name="Chart 15">
          <a:extLst>
            <a:ext uri="{FF2B5EF4-FFF2-40B4-BE49-F238E27FC236}">
              <a16:creationId xmlns:a16="http://schemas.microsoft.com/office/drawing/2014/main" id="{23448104-96C1-4A1B-B092-3807ABD141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390525</xdr:colOff>
      <xdr:row>52</xdr:row>
      <xdr:rowOff>53974</xdr:rowOff>
    </xdr:from>
    <xdr:to>
      <xdr:col>6</xdr:col>
      <xdr:colOff>654050</xdr:colOff>
      <xdr:row>72</xdr:row>
      <xdr:rowOff>120650</xdr:rowOff>
    </xdr:to>
    <xdr:graphicFrame macro="">
      <xdr:nvGraphicFramePr>
        <xdr:cNvPr id="17" name="Chart 16">
          <a:extLst>
            <a:ext uri="{FF2B5EF4-FFF2-40B4-BE49-F238E27FC236}">
              <a16:creationId xmlns:a16="http://schemas.microsoft.com/office/drawing/2014/main" id="{B55604A0-C910-465B-922C-E39B1E9286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781050</xdr:colOff>
      <xdr:row>29</xdr:row>
      <xdr:rowOff>66674</xdr:rowOff>
    </xdr:from>
    <xdr:to>
      <xdr:col>13</xdr:col>
      <xdr:colOff>987424</xdr:colOff>
      <xdr:row>49</xdr:row>
      <xdr:rowOff>38100</xdr:rowOff>
    </xdr:to>
    <xdr:graphicFrame macro="">
      <xdr:nvGraphicFramePr>
        <xdr:cNvPr id="18" name="Chart 17">
          <a:extLst>
            <a:ext uri="{FF2B5EF4-FFF2-40B4-BE49-F238E27FC236}">
              <a16:creationId xmlns:a16="http://schemas.microsoft.com/office/drawing/2014/main" id="{D6FE03A0-5140-49F0-A55E-77A61EB5F8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761999</xdr:colOff>
      <xdr:row>50</xdr:row>
      <xdr:rowOff>155574</xdr:rowOff>
    </xdr:from>
    <xdr:to>
      <xdr:col>13</xdr:col>
      <xdr:colOff>977900</xdr:colOff>
      <xdr:row>71</xdr:row>
      <xdr:rowOff>82550</xdr:rowOff>
    </xdr:to>
    <xdr:graphicFrame macro="">
      <xdr:nvGraphicFramePr>
        <xdr:cNvPr id="19" name="Chart 18">
          <a:extLst>
            <a:ext uri="{FF2B5EF4-FFF2-40B4-BE49-F238E27FC236}">
              <a16:creationId xmlns:a16="http://schemas.microsoft.com/office/drawing/2014/main" id="{FC7B9A49-1DCA-429F-A06E-A86660C560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965200</xdr:colOff>
      <xdr:row>0</xdr:row>
      <xdr:rowOff>88900</xdr:rowOff>
    </xdr:from>
    <xdr:to>
      <xdr:col>15</xdr:col>
      <xdr:colOff>330200</xdr:colOff>
      <xdr:row>23</xdr:row>
      <xdr:rowOff>107950</xdr:rowOff>
    </xdr:to>
    <xdr:graphicFrame macro="">
      <xdr:nvGraphicFramePr>
        <xdr:cNvPr id="2" name="Chart 1">
          <a:extLst>
            <a:ext uri="{FF2B5EF4-FFF2-40B4-BE49-F238E27FC236}">
              <a16:creationId xmlns:a16="http://schemas.microsoft.com/office/drawing/2014/main" id="{D56A4252-9647-4F39-BA05-4DB9C42F46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946150</xdr:colOff>
      <xdr:row>24</xdr:row>
      <xdr:rowOff>57149</xdr:rowOff>
    </xdr:from>
    <xdr:to>
      <xdr:col>15</xdr:col>
      <xdr:colOff>336549</xdr:colOff>
      <xdr:row>49</xdr:row>
      <xdr:rowOff>98425</xdr:rowOff>
    </xdr:to>
    <xdr:graphicFrame macro="">
      <xdr:nvGraphicFramePr>
        <xdr:cNvPr id="5" name="Chart 4">
          <a:extLst>
            <a:ext uri="{FF2B5EF4-FFF2-40B4-BE49-F238E27FC236}">
              <a16:creationId xmlns:a16="http://schemas.microsoft.com/office/drawing/2014/main" id="{761A2AC5-800E-4189-AF35-D86B641079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171450</xdr:colOff>
      <xdr:row>51</xdr:row>
      <xdr:rowOff>50800</xdr:rowOff>
    </xdr:from>
    <xdr:to>
      <xdr:col>10</xdr:col>
      <xdr:colOff>1035050</xdr:colOff>
      <xdr:row>69</xdr:row>
      <xdr:rowOff>133350</xdr:rowOff>
    </xdr:to>
    <xdr:graphicFrame macro="">
      <xdr:nvGraphicFramePr>
        <xdr:cNvPr id="4" name="Chart 3">
          <a:extLst>
            <a:ext uri="{FF2B5EF4-FFF2-40B4-BE49-F238E27FC236}">
              <a16:creationId xmlns:a16="http://schemas.microsoft.com/office/drawing/2014/main" id="{3173DB67-EA34-450D-8633-1756EB6C9D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http://p.us/" TargetMode="External"/><Relationship Id="rId1" Type="http://schemas.openxmlformats.org/officeDocument/2006/relationships/hyperlink" Target="http://p.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sheetPr>
  <dimension ref="A1:AP45"/>
  <sheetViews>
    <sheetView topLeftCell="AC1" zoomScaleNormal="100" workbookViewId="0">
      <selection activeCell="AS23" sqref="AS23"/>
    </sheetView>
  </sheetViews>
  <sheetFormatPr defaultColWidth="14.36328125" defaultRowHeight="15" customHeight="1" outlineLevelRow="1"/>
  <cols>
    <col min="1" max="38" width="20.81640625" customWidth="1"/>
    <col min="39" max="39" width="11.54296875" customWidth="1"/>
    <col min="40" max="40" width="24.08984375" customWidth="1"/>
    <col min="42" max="42" width="17.1796875" customWidth="1"/>
  </cols>
  <sheetData>
    <row r="1" spans="1:42" ht="14.5">
      <c r="A1" s="1" t="s">
        <v>0</v>
      </c>
      <c r="B1" s="2"/>
      <c r="C1" s="3"/>
      <c r="D1" s="3"/>
      <c r="E1" s="106" t="s">
        <v>1</v>
      </c>
      <c r="F1" s="107"/>
      <c r="G1" s="107"/>
      <c r="H1" s="107"/>
      <c r="I1" s="107"/>
      <c r="J1" s="107"/>
      <c r="K1" s="107"/>
      <c r="L1" s="107"/>
      <c r="M1" s="107"/>
      <c r="N1" s="107"/>
      <c r="O1" s="107"/>
      <c r="P1" s="107"/>
      <c r="Q1" s="107"/>
      <c r="R1" s="107"/>
      <c r="S1" s="107"/>
      <c r="T1" s="108" t="s">
        <v>2</v>
      </c>
      <c r="U1" s="107"/>
      <c r="V1" s="107"/>
      <c r="W1" s="107"/>
      <c r="X1" s="107"/>
      <c r="Y1" s="107"/>
      <c r="Z1" s="107"/>
      <c r="AA1" s="107"/>
      <c r="AB1" s="107"/>
      <c r="AC1" s="107"/>
      <c r="AD1" s="107"/>
      <c r="AE1" s="107"/>
      <c r="AF1" s="107"/>
      <c r="AG1" s="107"/>
      <c r="AH1" s="107"/>
      <c r="AI1" s="107"/>
      <c r="AJ1" s="107"/>
      <c r="AK1" s="107"/>
      <c r="AL1" s="107"/>
      <c r="AM1" s="107"/>
      <c r="AN1" s="107"/>
    </row>
    <row r="2" spans="1:42" ht="14.5">
      <c r="A2" s="4"/>
      <c r="B2" s="2"/>
      <c r="C2" s="3"/>
      <c r="D2" s="3"/>
      <c r="E2" s="109" t="s">
        <v>3</v>
      </c>
      <c r="F2" s="107"/>
      <c r="G2" s="107"/>
      <c r="H2" s="107"/>
      <c r="I2" s="107"/>
      <c r="J2" s="107"/>
      <c r="K2" s="107"/>
      <c r="L2" s="107"/>
      <c r="M2" s="107"/>
      <c r="N2" s="107"/>
      <c r="O2" s="107"/>
      <c r="P2" s="110" t="s">
        <v>4</v>
      </c>
      <c r="Q2" s="107"/>
      <c r="R2" s="107"/>
      <c r="S2" s="107"/>
      <c r="T2" s="111" t="s">
        <v>5</v>
      </c>
      <c r="U2" s="107"/>
      <c r="V2" s="107"/>
      <c r="W2" s="107"/>
      <c r="X2" s="107"/>
      <c r="Y2" s="107"/>
      <c r="Z2" s="112" t="s">
        <v>6</v>
      </c>
      <c r="AA2" s="107"/>
      <c r="AB2" s="107"/>
      <c r="AC2" s="107"/>
      <c r="AD2" s="107"/>
      <c r="AE2" s="107"/>
      <c r="AF2" s="110" t="s">
        <v>4</v>
      </c>
      <c r="AG2" s="107"/>
      <c r="AH2" s="107"/>
      <c r="AI2" s="107"/>
      <c r="AJ2" s="107"/>
      <c r="AK2" s="107"/>
      <c r="AL2" s="107"/>
      <c r="AM2" s="113" t="s">
        <v>7</v>
      </c>
      <c r="AN2" s="107"/>
    </row>
    <row r="3" spans="1:42" ht="39.75" customHeight="1">
      <c r="A3" s="5" t="s">
        <v>8</v>
      </c>
      <c r="B3" s="6" t="s">
        <v>9</v>
      </c>
      <c r="C3" s="7" t="s">
        <v>10</v>
      </c>
      <c r="D3" s="7" t="s">
        <v>11</v>
      </c>
      <c r="E3" s="8" t="s">
        <v>12</v>
      </c>
      <c r="F3" s="9" t="s">
        <v>13</v>
      </c>
      <c r="G3" s="9" t="s">
        <v>14</v>
      </c>
      <c r="H3" s="9" t="s">
        <v>15</v>
      </c>
      <c r="I3" s="10" t="s">
        <v>16</v>
      </c>
      <c r="J3" s="11" t="s">
        <v>17</v>
      </c>
      <c r="K3" s="11" t="s">
        <v>18</v>
      </c>
      <c r="L3" s="8" t="s">
        <v>19</v>
      </c>
      <c r="M3" s="9" t="s">
        <v>20</v>
      </c>
      <c r="N3" s="9" t="s">
        <v>21</v>
      </c>
      <c r="O3" s="12" t="s">
        <v>22</v>
      </c>
      <c r="P3" s="13" t="s">
        <v>23</v>
      </c>
      <c r="Q3" s="13" t="s">
        <v>24</v>
      </c>
      <c r="R3" s="13" t="s">
        <v>25</v>
      </c>
      <c r="S3" s="14" t="s">
        <v>26</v>
      </c>
      <c r="T3" s="9" t="s">
        <v>14</v>
      </c>
      <c r="U3" s="9" t="s">
        <v>15</v>
      </c>
      <c r="V3" s="9" t="s">
        <v>17</v>
      </c>
      <c r="W3" s="9" t="s">
        <v>18</v>
      </c>
      <c r="X3" s="9" t="s">
        <v>20</v>
      </c>
      <c r="Y3" s="9" t="s">
        <v>27</v>
      </c>
      <c r="Z3" s="15" t="s">
        <v>14</v>
      </c>
      <c r="AA3" s="15" t="s">
        <v>15</v>
      </c>
      <c r="AB3" s="15" t="s">
        <v>17</v>
      </c>
      <c r="AC3" s="15" t="s">
        <v>18</v>
      </c>
      <c r="AD3" s="15" t="s">
        <v>20</v>
      </c>
      <c r="AE3" s="15" t="s">
        <v>27</v>
      </c>
      <c r="AF3" s="13" t="s">
        <v>28</v>
      </c>
      <c r="AG3" s="13" t="s">
        <v>29</v>
      </c>
      <c r="AH3" s="13" t="s">
        <v>30</v>
      </c>
      <c r="AI3" s="13" t="s">
        <v>31</v>
      </c>
      <c r="AJ3" s="13" t="s">
        <v>32</v>
      </c>
      <c r="AK3" s="13" t="s">
        <v>33</v>
      </c>
      <c r="AL3" s="13" t="s">
        <v>34</v>
      </c>
      <c r="AM3" s="16" t="s">
        <v>35</v>
      </c>
      <c r="AN3" s="17" t="s">
        <v>36</v>
      </c>
      <c r="AP3" s="122" t="s">
        <v>203</v>
      </c>
    </row>
    <row r="4" spans="1:42" s="60" customFormat="1" ht="15" customHeight="1" outlineLevel="1">
      <c r="A4" s="59" t="s">
        <v>37</v>
      </c>
      <c r="B4" s="61">
        <v>44441</v>
      </c>
      <c r="C4" s="62">
        <v>0.73263888888888884</v>
      </c>
      <c r="D4" s="62">
        <v>0.78402777777777777</v>
      </c>
      <c r="E4" s="62">
        <v>0.73402777777777772</v>
      </c>
      <c r="F4" s="62">
        <v>0.73333333333333328</v>
      </c>
      <c r="G4" s="62">
        <v>0.73958333333333337</v>
      </c>
      <c r="H4" s="62">
        <v>0.74097222222222225</v>
      </c>
      <c r="I4" s="62">
        <v>0.7416666666666667</v>
      </c>
      <c r="J4" s="62">
        <v>0.74513888888888891</v>
      </c>
      <c r="K4" s="62">
        <v>0.75416666666666665</v>
      </c>
      <c r="L4" s="62">
        <v>0.75277777777777777</v>
      </c>
      <c r="M4" s="62">
        <v>0.77916666666666667</v>
      </c>
      <c r="N4" s="62">
        <v>0.78402777777777777</v>
      </c>
      <c r="O4" s="67">
        <v>2.716435185185185E-4</v>
      </c>
      <c r="P4" s="60">
        <v>64</v>
      </c>
      <c r="Q4" s="60">
        <v>10</v>
      </c>
      <c r="R4" s="60">
        <v>9</v>
      </c>
      <c r="S4" s="60">
        <v>5</v>
      </c>
      <c r="T4" s="60" t="s">
        <v>38</v>
      </c>
      <c r="U4" s="60" t="s">
        <v>38</v>
      </c>
      <c r="V4" s="60" t="s">
        <v>38</v>
      </c>
      <c r="W4" s="60" t="s">
        <v>38</v>
      </c>
      <c r="X4" s="60" t="s">
        <v>38</v>
      </c>
      <c r="Y4" s="60" t="s">
        <v>38</v>
      </c>
      <c r="Z4" s="60" t="s">
        <v>38</v>
      </c>
      <c r="AA4" s="60" t="s">
        <v>38</v>
      </c>
      <c r="AB4" s="60" t="s">
        <v>38</v>
      </c>
      <c r="AC4" s="60" t="s">
        <v>38</v>
      </c>
      <c r="AD4" s="60" t="s">
        <v>38</v>
      </c>
      <c r="AE4" s="60" t="s">
        <v>38</v>
      </c>
      <c r="AF4" s="60">
        <v>13</v>
      </c>
      <c r="AG4" s="60">
        <v>13</v>
      </c>
      <c r="AH4" s="64">
        <f t="shared" ref="AH4:AH18" si="0">AG4+AF4</f>
        <v>26</v>
      </c>
      <c r="AI4" s="60">
        <v>1</v>
      </c>
      <c r="AJ4" s="60">
        <v>2</v>
      </c>
      <c r="AK4" s="60">
        <v>14</v>
      </c>
      <c r="AL4" s="60">
        <v>0</v>
      </c>
      <c r="AM4" s="65">
        <f t="shared" ref="AM4:AM29" si="1">D4-C4</f>
        <v>5.1388888888888928E-2</v>
      </c>
      <c r="AN4" s="66" t="s">
        <v>39</v>
      </c>
      <c r="AP4" s="60">
        <f>COUNTIF(Z4:AE4,"Y")</f>
        <v>6</v>
      </c>
    </row>
    <row r="5" spans="1:42" s="60" customFormat="1" ht="15" customHeight="1" outlineLevel="1">
      <c r="A5" s="59" t="s">
        <v>40</v>
      </c>
      <c r="B5" s="61">
        <v>44449</v>
      </c>
      <c r="C5" s="62">
        <v>0.37916666666666665</v>
      </c>
      <c r="D5" s="62">
        <v>0.44305555555555554</v>
      </c>
      <c r="E5" s="62">
        <v>0.38055555555555554</v>
      </c>
      <c r="F5" s="62">
        <v>0.37916666666666665</v>
      </c>
      <c r="G5" s="62">
        <v>0.3923611111111111</v>
      </c>
      <c r="H5" s="62">
        <v>0.39444444444444443</v>
      </c>
      <c r="I5" s="62">
        <v>0.39583333333333331</v>
      </c>
      <c r="J5" s="62">
        <v>0.40138888888888891</v>
      </c>
      <c r="K5" s="62">
        <v>0.41805555555555557</v>
      </c>
      <c r="L5" s="62">
        <v>0.39583333333333331</v>
      </c>
      <c r="M5" s="62">
        <v>0.42916666666666664</v>
      </c>
      <c r="N5" s="62">
        <v>0.44305555555555554</v>
      </c>
      <c r="O5" s="67">
        <v>3.4039351851851852E-4</v>
      </c>
      <c r="P5" s="60">
        <v>36</v>
      </c>
      <c r="Q5" s="60">
        <v>4</v>
      </c>
      <c r="R5" s="60">
        <v>10</v>
      </c>
      <c r="S5" s="60">
        <v>1</v>
      </c>
      <c r="T5" s="60" t="s">
        <v>38</v>
      </c>
      <c r="U5" s="60" t="s">
        <v>38</v>
      </c>
      <c r="V5" s="60" t="s">
        <v>38</v>
      </c>
      <c r="W5" s="60" t="s">
        <v>38</v>
      </c>
      <c r="X5" s="60" t="s">
        <v>38</v>
      </c>
      <c r="Y5" s="60" t="s">
        <v>38</v>
      </c>
      <c r="Z5" s="60" t="s">
        <v>38</v>
      </c>
      <c r="AA5" s="60" t="s">
        <v>38</v>
      </c>
      <c r="AB5" s="60" t="s">
        <v>38</v>
      </c>
      <c r="AC5" s="60" t="s">
        <v>38</v>
      </c>
      <c r="AD5" s="60" t="s">
        <v>38</v>
      </c>
      <c r="AE5" s="60" t="s">
        <v>38</v>
      </c>
      <c r="AF5" s="60">
        <v>16</v>
      </c>
      <c r="AG5" s="60">
        <v>18</v>
      </c>
      <c r="AH5" s="64">
        <f t="shared" si="0"/>
        <v>34</v>
      </c>
      <c r="AI5" s="60">
        <v>3</v>
      </c>
      <c r="AJ5" s="60">
        <v>1</v>
      </c>
      <c r="AK5" s="60">
        <v>29</v>
      </c>
      <c r="AL5" s="60">
        <v>0</v>
      </c>
      <c r="AM5" s="65">
        <f t="shared" si="1"/>
        <v>6.3888888888888884E-2</v>
      </c>
      <c r="AN5" s="66" t="s">
        <v>41</v>
      </c>
      <c r="AP5" s="60">
        <f t="shared" ref="AP5:AP29" si="2">COUNTIF(Z5:AE5,"Y")</f>
        <v>6</v>
      </c>
    </row>
    <row r="6" spans="1:42" s="60" customFormat="1" ht="15" customHeight="1" outlineLevel="1">
      <c r="A6" s="59" t="s">
        <v>42</v>
      </c>
      <c r="B6" s="61">
        <v>44462</v>
      </c>
      <c r="C6" s="62">
        <v>0.73124999999999996</v>
      </c>
      <c r="D6" s="62">
        <v>0.8041666666666667</v>
      </c>
      <c r="E6" s="62">
        <v>0.73541666666666672</v>
      </c>
      <c r="F6" s="62">
        <v>0.7319444444444444</v>
      </c>
      <c r="G6" s="62">
        <v>0.74236111111111114</v>
      </c>
      <c r="H6" s="62">
        <v>0.74722222222222223</v>
      </c>
      <c r="I6" s="62">
        <v>0.7319444444444444</v>
      </c>
      <c r="J6" s="62">
        <v>0.75069444444444444</v>
      </c>
      <c r="K6" s="62">
        <v>0.76458333333333328</v>
      </c>
      <c r="L6" s="62">
        <v>0.78680555555555554</v>
      </c>
      <c r="M6" s="62">
        <v>0.79236111111111107</v>
      </c>
      <c r="N6" s="62">
        <v>0.8041666666666667</v>
      </c>
      <c r="O6" s="63"/>
      <c r="P6" s="60">
        <v>53</v>
      </c>
      <c r="Q6" s="60">
        <v>14</v>
      </c>
      <c r="R6" s="60">
        <v>27</v>
      </c>
      <c r="S6" s="60">
        <v>6</v>
      </c>
      <c r="T6" s="60" t="s">
        <v>38</v>
      </c>
      <c r="U6" s="60" t="s">
        <v>38</v>
      </c>
      <c r="V6" s="60" t="s">
        <v>38</v>
      </c>
      <c r="W6" s="60" t="s">
        <v>38</v>
      </c>
      <c r="X6" s="60" t="s">
        <v>38</v>
      </c>
      <c r="Y6" s="60" t="s">
        <v>43</v>
      </c>
      <c r="Z6" s="60" t="s">
        <v>38</v>
      </c>
      <c r="AA6" s="60" t="s">
        <v>38</v>
      </c>
      <c r="AB6" s="60" t="s">
        <v>38</v>
      </c>
      <c r="AC6" s="60" t="s">
        <v>38</v>
      </c>
      <c r="AD6" s="60" t="s">
        <v>43</v>
      </c>
      <c r="AE6" s="60" t="s">
        <v>43</v>
      </c>
      <c r="AF6" s="60">
        <v>17</v>
      </c>
      <c r="AG6" s="60">
        <v>17</v>
      </c>
      <c r="AH6" s="64">
        <f t="shared" si="0"/>
        <v>34</v>
      </c>
      <c r="AI6" s="60">
        <v>1</v>
      </c>
      <c r="AJ6" s="60">
        <v>0</v>
      </c>
      <c r="AK6" s="60">
        <v>17</v>
      </c>
      <c r="AL6" s="60">
        <v>0</v>
      </c>
      <c r="AM6" s="65">
        <f t="shared" si="1"/>
        <v>7.2916666666666741E-2</v>
      </c>
      <c r="AN6" s="66" t="s">
        <v>44</v>
      </c>
      <c r="AP6" s="60">
        <f t="shared" si="2"/>
        <v>4</v>
      </c>
    </row>
    <row r="7" spans="1:42" s="60" customFormat="1" ht="15" customHeight="1" outlineLevel="1">
      <c r="A7" s="77" t="s">
        <v>45</v>
      </c>
      <c r="B7" s="61">
        <v>44477</v>
      </c>
      <c r="C7" s="62">
        <v>0.37291666666666667</v>
      </c>
      <c r="D7" s="62">
        <v>0.40972222222222221</v>
      </c>
      <c r="E7" s="62">
        <v>0.37708333333333333</v>
      </c>
      <c r="F7" s="62">
        <v>0.37569444444444444</v>
      </c>
      <c r="G7" s="62">
        <v>0.38055555555555554</v>
      </c>
      <c r="H7" s="62">
        <v>0.38611111111111113</v>
      </c>
      <c r="I7" s="62">
        <v>0.375</v>
      </c>
      <c r="J7" s="62">
        <v>0.3888888888888889</v>
      </c>
      <c r="K7" s="62">
        <v>0.39166666666666666</v>
      </c>
      <c r="L7" s="62">
        <v>0.39305555555555555</v>
      </c>
      <c r="M7" s="62">
        <v>0.39930555555555558</v>
      </c>
      <c r="N7" s="62">
        <v>0.40347222222222223</v>
      </c>
      <c r="O7" s="67">
        <v>3.2800925925925928E-4</v>
      </c>
      <c r="P7" s="60">
        <v>29</v>
      </c>
      <c r="Q7" s="60">
        <v>4</v>
      </c>
      <c r="R7" s="60">
        <v>1</v>
      </c>
      <c r="S7" s="60">
        <v>0</v>
      </c>
      <c r="T7" s="60" t="s">
        <v>38</v>
      </c>
      <c r="U7" s="60" t="s">
        <v>38</v>
      </c>
      <c r="V7" s="60" t="s">
        <v>38</v>
      </c>
      <c r="W7" s="60" t="s">
        <v>38</v>
      </c>
      <c r="X7" s="60" t="s">
        <v>38</v>
      </c>
      <c r="Y7" s="60" t="s">
        <v>38</v>
      </c>
      <c r="Z7" s="60" t="s">
        <v>38</v>
      </c>
      <c r="AA7" s="60" t="s">
        <v>38</v>
      </c>
      <c r="AB7" s="60" t="s">
        <v>38</v>
      </c>
      <c r="AC7" s="60" t="s">
        <v>38</v>
      </c>
      <c r="AD7" s="60" t="s">
        <v>38</v>
      </c>
      <c r="AE7" s="60" t="s">
        <v>38</v>
      </c>
      <c r="AF7" s="60">
        <v>22</v>
      </c>
      <c r="AG7" s="60">
        <v>21</v>
      </c>
      <c r="AH7" s="64">
        <f t="shared" si="0"/>
        <v>43</v>
      </c>
      <c r="AI7" s="60">
        <v>1</v>
      </c>
      <c r="AJ7" s="60">
        <v>4</v>
      </c>
      <c r="AK7" s="60">
        <v>20</v>
      </c>
      <c r="AL7" s="60">
        <v>0</v>
      </c>
      <c r="AM7" s="65">
        <f t="shared" si="1"/>
        <v>3.6805555555555536E-2</v>
      </c>
      <c r="AN7" s="66" t="s">
        <v>46</v>
      </c>
      <c r="AP7" s="60">
        <f t="shared" si="2"/>
        <v>6</v>
      </c>
    </row>
    <row r="8" spans="1:42" s="60" customFormat="1" ht="15" customHeight="1" outlineLevel="1">
      <c r="A8" s="59" t="s">
        <v>47</v>
      </c>
      <c r="B8" s="69">
        <v>44482</v>
      </c>
      <c r="C8" s="62">
        <v>0.65277777777777779</v>
      </c>
      <c r="D8" s="62">
        <v>0.68611111111111112</v>
      </c>
      <c r="E8" s="62">
        <v>0.65347222222222223</v>
      </c>
      <c r="F8" s="62">
        <v>0.65277777777777779</v>
      </c>
      <c r="G8" s="62">
        <v>0.66180555555555554</v>
      </c>
      <c r="H8" s="62">
        <v>0.67013888888888884</v>
      </c>
      <c r="I8" s="62">
        <v>0.65277777777777779</v>
      </c>
      <c r="J8" s="62">
        <v>0.66736111111111107</v>
      </c>
      <c r="K8" s="62">
        <v>0.67152777777777772</v>
      </c>
      <c r="L8" s="62">
        <v>0.67222222222222228</v>
      </c>
      <c r="M8" s="62">
        <v>0.68472222222222223</v>
      </c>
      <c r="N8" s="62">
        <v>0.68611111111111112</v>
      </c>
      <c r="O8" s="67">
        <v>2.8773148148148148E-4</v>
      </c>
      <c r="P8" s="60">
        <v>23</v>
      </c>
      <c r="Q8" s="60">
        <v>2</v>
      </c>
      <c r="R8" s="60">
        <v>8</v>
      </c>
      <c r="S8" s="60">
        <v>0</v>
      </c>
      <c r="T8" s="60" t="s">
        <v>38</v>
      </c>
      <c r="U8" s="60" t="s">
        <v>38</v>
      </c>
      <c r="V8" s="60" t="s">
        <v>38</v>
      </c>
      <c r="W8" s="60" t="s">
        <v>38</v>
      </c>
      <c r="X8" s="60" t="s">
        <v>38</v>
      </c>
      <c r="Y8" s="60" t="s">
        <v>38</v>
      </c>
      <c r="Z8" s="60" t="s">
        <v>38</v>
      </c>
      <c r="AA8" s="60" t="s">
        <v>38</v>
      </c>
      <c r="AB8" s="60" t="s">
        <v>38</v>
      </c>
      <c r="AC8" s="60" t="s">
        <v>38</v>
      </c>
      <c r="AD8" s="60" t="s">
        <v>38</v>
      </c>
      <c r="AE8" s="60" t="s">
        <v>38</v>
      </c>
      <c r="AF8" s="60">
        <v>18</v>
      </c>
      <c r="AG8" s="60">
        <v>19</v>
      </c>
      <c r="AH8" s="64">
        <f t="shared" si="0"/>
        <v>37</v>
      </c>
      <c r="AI8" s="60">
        <v>1</v>
      </c>
      <c r="AJ8" s="60">
        <v>3</v>
      </c>
      <c r="AK8" s="60">
        <v>21</v>
      </c>
      <c r="AL8" s="60">
        <v>1</v>
      </c>
      <c r="AM8" s="65">
        <f t="shared" si="1"/>
        <v>3.3333333333333326E-2</v>
      </c>
      <c r="AN8" s="66" t="s">
        <v>48</v>
      </c>
      <c r="AP8" s="60">
        <f t="shared" si="2"/>
        <v>6</v>
      </c>
    </row>
    <row r="9" spans="1:42" s="60" customFormat="1" ht="15" customHeight="1" outlineLevel="1">
      <c r="A9" s="59" t="s">
        <v>49</v>
      </c>
      <c r="B9" s="69">
        <v>44484</v>
      </c>
      <c r="C9" s="62">
        <v>0.7270833333333333</v>
      </c>
      <c r="D9" s="62">
        <v>0.8</v>
      </c>
      <c r="E9" s="62">
        <v>0.72777777777777775</v>
      </c>
      <c r="F9" s="62">
        <v>0.72847222222222219</v>
      </c>
      <c r="G9" s="62">
        <v>0.73263888888888884</v>
      </c>
      <c r="H9" s="62">
        <v>0.73333333333333328</v>
      </c>
      <c r="I9" s="62">
        <v>0.72777777777777775</v>
      </c>
      <c r="J9" s="62">
        <v>0.74097222222222225</v>
      </c>
      <c r="K9" s="62">
        <v>0.74513888888888891</v>
      </c>
      <c r="L9" s="62">
        <v>0.74652777777777779</v>
      </c>
      <c r="M9" s="62">
        <v>0.7583333333333333</v>
      </c>
      <c r="N9" s="62">
        <v>0.8</v>
      </c>
      <c r="O9" s="63"/>
      <c r="P9" s="60">
        <v>66</v>
      </c>
      <c r="Q9" s="60">
        <v>8</v>
      </c>
      <c r="R9" s="60">
        <v>21</v>
      </c>
      <c r="S9" s="60">
        <v>7</v>
      </c>
      <c r="T9" s="60" t="s">
        <v>38</v>
      </c>
      <c r="U9" s="60" t="s">
        <v>38</v>
      </c>
      <c r="V9" s="60" t="s">
        <v>38</v>
      </c>
      <c r="W9" s="60" t="s">
        <v>38</v>
      </c>
      <c r="X9" s="60" t="s">
        <v>38</v>
      </c>
      <c r="Y9" s="60" t="s">
        <v>43</v>
      </c>
      <c r="Z9" s="60" t="s">
        <v>38</v>
      </c>
      <c r="AA9" s="60" t="s">
        <v>38</v>
      </c>
      <c r="AB9" s="60" t="s">
        <v>38</v>
      </c>
      <c r="AC9" s="60" t="s">
        <v>38</v>
      </c>
      <c r="AD9" s="60" t="s">
        <v>43</v>
      </c>
      <c r="AE9" s="60" t="s">
        <v>43</v>
      </c>
      <c r="AF9" s="60">
        <v>19</v>
      </c>
      <c r="AG9" s="60">
        <v>19</v>
      </c>
      <c r="AH9" s="64">
        <f t="shared" si="0"/>
        <v>38</v>
      </c>
      <c r="AI9" s="60">
        <v>3</v>
      </c>
      <c r="AJ9" s="60">
        <v>0</v>
      </c>
      <c r="AK9" s="60">
        <v>19</v>
      </c>
      <c r="AL9" s="60">
        <v>0</v>
      </c>
      <c r="AM9" s="65">
        <f t="shared" si="1"/>
        <v>7.2916666666666741E-2</v>
      </c>
      <c r="AN9" s="66" t="s">
        <v>50</v>
      </c>
      <c r="AP9" s="60">
        <f t="shared" si="2"/>
        <v>4</v>
      </c>
    </row>
    <row r="10" spans="1:42" s="60" customFormat="1" ht="15" customHeight="1" outlineLevel="1">
      <c r="A10" s="59" t="s">
        <v>51</v>
      </c>
      <c r="B10" s="69">
        <v>44487</v>
      </c>
      <c r="C10" s="62">
        <v>0.72222222222222221</v>
      </c>
      <c r="D10" s="62">
        <v>0.74583333333333335</v>
      </c>
      <c r="E10" s="62">
        <v>0.72361111111111109</v>
      </c>
      <c r="F10" s="62">
        <v>0.72291666666666665</v>
      </c>
      <c r="G10" s="62">
        <v>0.72569444444444442</v>
      </c>
      <c r="H10" s="62">
        <v>0.7319444444444444</v>
      </c>
      <c r="I10" s="62">
        <v>0.72361111111111109</v>
      </c>
      <c r="J10" s="62">
        <v>0.73124999999999996</v>
      </c>
      <c r="K10" s="62">
        <v>0.73819444444444449</v>
      </c>
      <c r="L10" s="62">
        <v>0.74236111111111114</v>
      </c>
      <c r="M10" s="62">
        <v>0.74375000000000002</v>
      </c>
      <c r="N10" s="62">
        <v>0.74513888888888891</v>
      </c>
      <c r="O10" s="76">
        <v>2.4270833333333333E-4</v>
      </c>
      <c r="P10" s="60">
        <v>34</v>
      </c>
      <c r="Q10" s="60">
        <v>6</v>
      </c>
      <c r="R10" s="60">
        <v>6</v>
      </c>
      <c r="S10" s="60">
        <v>0</v>
      </c>
      <c r="T10" s="60" t="s">
        <v>38</v>
      </c>
      <c r="U10" s="60" t="s">
        <v>38</v>
      </c>
      <c r="V10" s="60" t="s">
        <v>38</v>
      </c>
      <c r="W10" s="60" t="s">
        <v>38</v>
      </c>
      <c r="X10" s="60" t="s">
        <v>38</v>
      </c>
      <c r="Y10" s="60" t="s">
        <v>38</v>
      </c>
      <c r="Z10" s="60" t="s">
        <v>38</v>
      </c>
      <c r="AA10" s="60" t="s">
        <v>38</v>
      </c>
      <c r="AB10" s="60" t="s">
        <v>38</v>
      </c>
      <c r="AC10" s="60" t="s">
        <v>38</v>
      </c>
      <c r="AD10" s="60" t="s">
        <v>38</v>
      </c>
      <c r="AE10" s="60" t="s">
        <v>38</v>
      </c>
      <c r="AF10" s="60">
        <v>17</v>
      </c>
      <c r="AG10" s="60">
        <v>15</v>
      </c>
      <c r="AH10" s="64">
        <f t="shared" si="0"/>
        <v>32</v>
      </c>
      <c r="AI10" s="60">
        <v>3</v>
      </c>
      <c r="AJ10" s="60">
        <v>2</v>
      </c>
      <c r="AK10" s="60">
        <v>11</v>
      </c>
      <c r="AL10" s="60">
        <v>0</v>
      </c>
      <c r="AM10" s="65">
        <f t="shared" si="1"/>
        <v>2.3611111111111138E-2</v>
      </c>
      <c r="AN10" s="66" t="s">
        <v>52</v>
      </c>
      <c r="AP10" s="60">
        <f t="shared" si="2"/>
        <v>6</v>
      </c>
    </row>
    <row r="11" spans="1:42" s="60" customFormat="1" ht="15" customHeight="1" outlineLevel="1">
      <c r="A11" s="59" t="s">
        <v>53</v>
      </c>
      <c r="B11" s="69">
        <v>44490</v>
      </c>
      <c r="C11" s="62">
        <v>0.70138888888888884</v>
      </c>
      <c r="D11" s="62">
        <v>0.74375000000000002</v>
      </c>
      <c r="E11" s="62">
        <v>0.70486111111111116</v>
      </c>
      <c r="F11" s="62">
        <v>0.70416666666666672</v>
      </c>
      <c r="G11" s="62">
        <v>0.71527777777777779</v>
      </c>
      <c r="H11" s="62">
        <v>0.71527777777777779</v>
      </c>
      <c r="I11" s="62">
        <v>0.71597222222222223</v>
      </c>
      <c r="J11" s="62">
        <v>0.71805555555555556</v>
      </c>
      <c r="K11" s="62">
        <v>0.72013888888888888</v>
      </c>
      <c r="L11" s="62">
        <v>0.72083333333333333</v>
      </c>
      <c r="M11" s="62">
        <v>0.72291666666666665</v>
      </c>
      <c r="N11" s="62">
        <v>0.73402777777777772</v>
      </c>
      <c r="O11" s="67">
        <v>2.8437500000000001E-4</v>
      </c>
      <c r="P11" s="60">
        <v>36</v>
      </c>
      <c r="Q11" s="60">
        <v>6</v>
      </c>
      <c r="R11" s="60">
        <v>17</v>
      </c>
      <c r="S11" s="60">
        <v>0</v>
      </c>
      <c r="T11" s="60" t="s">
        <v>38</v>
      </c>
      <c r="U11" s="60" t="s">
        <v>38</v>
      </c>
      <c r="V11" s="60" t="s">
        <v>38</v>
      </c>
      <c r="W11" s="60" t="s">
        <v>38</v>
      </c>
      <c r="X11" s="60" t="s">
        <v>38</v>
      </c>
      <c r="Y11" s="60" t="s">
        <v>38</v>
      </c>
      <c r="Z11" s="60" t="s">
        <v>38</v>
      </c>
      <c r="AA11" s="60" t="s">
        <v>38</v>
      </c>
      <c r="AB11" s="60" t="s">
        <v>38</v>
      </c>
      <c r="AC11" s="60" t="s">
        <v>38</v>
      </c>
      <c r="AD11" s="60" t="s">
        <v>38</v>
      </c>
      <c r="AE11" s="60" t="s">
        <v>38</v>
      </c>
      <c r="AF11" s="60">
        <v>18</v>
      </c>
      <c r="AG11" s="60">
        <v>14</v>
      </c>
      <c r="AH11" s="64">
        <f t="shared" si="0"/>
        <v>32</v>
      </c>
      <c r="AI11" s="60">
        <v>2</v>
      </c>
      <c r="AJ11" s="60">
        <v>3</v>
      </c>
      <c r="AK11" s="60">
        <v>15</v>
      </c>
      <c r="AL11" s="60">
        <v>0</v>
      </c>
      <c r="AM11" s="65">
        <f t="shared" si="1"/>
        <v>4.2361111111111183E-2</v>
      </c>
      <c r="AN11" s="66" t="s">
        <v>54</v>
      </c>
      <c r="AP11" s="60">
        <f t="shared" si="2"/>
        <v>6</v>
      </c>
    </row>
    <row r="12" spans="1:42" s="60" customFormat="1" ht="15" customHeight="1" outlineLevel="1">
      <c r="A12" s="59" t="s">
        <v>55</v>
      </c>
      <c r="B12" s="69">
        <v>44494</v>
      </c>
      <c r="C12" s="62">
        <v>0.70416666666666672</v>
      </c>
      <c r="D12" s="62">
        <v>0.77708333333333335</v>
      </c>
      <c r="E12" s="62">
        <v>0.70486111111111116</v>
      </c>
      <c r="F12" s="62">
        <v>0.70416666666666672</v>
      </c>
      <c r="G12" s="62">
        <v>0.70625000000000004</v>
      </c>
      <c r="H12" s="62">
        <v>0.70763888888888893</v>
      </c>
      <c r="I12" s="62">
        <v>0.70833333333333337</v>
      </c>
      <c r="J12" s="62">
        <v>0.71319444444444446</v>
      </c>
      <c r="K12" s="62">
        <v>0.71944444444444444</v>
      </c>
      <c r="L12" s="62">
        <v>0.72291666666666665</v>
      </c>
      <c r="M12" s="62">
        <v>0.72430555555555554</v>
      </c>
      <c r="N12" s="62">
        <v>0.77708333333333335</v>
      </c>
      <c r="O12" s="63"/>
      <c r="P12" s="60">
        <v>46</v>
      </c>
      <c r="Q12" s="60">
        <v>7</v>
      </c>
      <c r="R12" s="60">
        <v>19</v>
      </c>
      <c r="S12" s="60">
        <v>0</v>
      </c>
      <c r="T12" s="60" t="s">
        <v>38</v>
      </c>
      <c r="U12" s="60" t="s">
        <v>38</v>
      </c>
      <c r="V12" s="60" t="s">
        <v>38</v>
      </c>
      <c r="W12" s="60" t="s">
        <v>38</v>
      </c>
      <c r="X12" s="60" t="s">
        <v>38</v>
      </c>
      <c r="Y12" s="60" t="s">
        <v>43</v>
      </c>
      <c r="Z12" s="60" t="s">
        <v>38</v>
      </c>
      <c r="AA12" s="60" t="s">
        <v>38</v>
      </c>
      <c r="AB12" s="60" t="s">
        <v>38</v>
      </c>
      <c r="AC12" s="60" t="s">
        <v>38</v>
      </c>
      <c r="AD12" s="60" t="s">
        <v>43</v>
      </c>
      <c r="AE12" s="60" t="s">
        <v>43</v>
      </c>
      <c r="AF12" s="60">
        <v>12</v>
      </c>
      <c r="AG12" s="60">
        <v>12</v>
      </c>
      <c r="AH12" s="64">
        <f t="shared" si="0"/>
        <v>24</v>
      </c>
      <c r="AI12" s="60">
        <v>2</v>
      </c>
      <c r="AJ12" s="60">
        <v>0</v>
      </c>
      <c r="AK12" s="60">
        <v>15</v>
      </c>
      <c r="AL12" s="60">
        <v>0</v>
      </c>
      <c r="AM12" s="65">
        <f t="shared" si="1"/>
        <v>7.291666666666663E-2</v>
      </c>
      <c r="AN12" s="66" t="s">
        <v>56</v>
      </c>
      <c r="AP12" s="60">
        <f t="shared" si="2"/>
        <v>4</v>
      </c>
    </row>
    <row r="13" spans="1:42" s="60" customFormat="1" ht="15" customHeight="1" outlineLevel="1">
      <c r="A13" s="59" t="s">
        <v>57</v>
      </c>
      <c r="B13" s="69">
        <v>44496</v>
      </c>
      <c r="C13" s="62">
        <v>0.38680555555555557</v>
      </c>
      <c r="D13" s="62">
        <v>0.43541666666666667</v>
      </c>
      <c r="E13" s="62">
        <v>0.38750000000000001</v>
      </c>
      <c r="F13" s="62">
        <v>0.38750000000000001</v>
      </c>
      <c r="G13" s="62">
        <v>0.39097222222222222</v>
      </c>
      <c r="H13" s="62">
        <v>0.3923611111111111</v>
      </c>
      <c r="I13" s="62">
        <v>0.39305555555555555</v>
      </c>
      <c r="J13" s="62">
        <v>0.40208333333333335</v>
      </c>
      <c r="K13" s="62">
        <v>0.40833333333333333</v>
      </c>
      <c r="L13" s="62">
        <v>0.40972222222222221</v>
      </c>
      <c r="M13" s="62">
        <v>0.4201388888888889</v>
      </c>
      <c r="N13" s="62">
        <v>0.43333333333333335</v>
      </c>
      <c r="O13" s="67">
        <v>3.0671296296296295E-4</v>
      </c>
      <c r="P13" s="60">
        <v>29</v>
      </c>
      <c r="Q13" s="60">
        <v>3</v>
      </c>
      <c r="R13" s="60">
        <v>11</v>
      </c>
      <c r="S13" s="60">
        <v>0</v>
      </c>
      <c r="T13" s="60" t="s">
        <v>38</v>
      </c>
      <c r="U13" s="60" t="s">
        <v>38</v>
      </c>
      <c r="V13" s="60" t="s">
        <v>38</v>
      </c>
      <c r="W13" s="60" t="s">
        <v>38</v>
      </c>
      <c r="X13" s="60" t="s">
        <v>38</v>
      </c>
      <c r="Y13" s="60" t="s">
        <v>38</v>
      </c>
      <c r="Z13" s="60" t="s">
        <v>38</v>
      </c>
      <c r="AA13" s="60" t="s">
        <v>38</v>
      </c>
      <c r="AB13" s="60" t="s">
        <v>38</v>
      </c>
      <c r="AC13" s="60" t="s">
        <v>38</v>
      </c>
      <c r="AD13" s="60" t="s">
        <v>38</v>
      </c>
      <c r="AE13" s="60" t="s">
        <v>38</v>
      </c>
      <c r="AF13" s="60">
        <v>24</v>
      </c>
      <c r="AG13" s="60">
        <v>20</v>
      </c>
      <c r="AH13" s="64">
        <f t="shared" si="0"/>
        <v>44</v>
      </c>
      <c r="AI13" s="60">
        <v>1</v>
      </c>
      <c r="AJ13" s="60">
        <v>4</v>
      </c>
      <c r="AK13" s="60">
        <v>25</v>
      </c>
      <c r="AL13" s="60">
        <v>0</v>
      </c>
      <c r="AM13" s="65">
        <f t="shared" si="1"/>
        <v>4.8611111111111105E-2</v>
      </c>
      <c r="AN13" s="66" t="s">
        <v>58</v>
      </c>
      <c r="AP13" s="60">
        <f t="shared" si="2"/>
        <v>6</v>
      </c>
    </row>
    <row r="14" spans="1:42" s="60" customFormat="1" ht="15" customHeight="1" outlineLevel="1">
      <c r="A14" s="59" t="s">
        <v>59</v>
      </c>
      <c r="B14" s="61">
        <v>44504</v>
      </c>
      <c r="C14" s="62">
        <v>0.65277777777777779</v>
      </c>
      <c r="D14" s="62">
        <v>0.72569444444444442</v>
      </c>
      <c r="E14" s="62">
        <v>0.65486111111111112</v>
      </c>
      <c r="F14" s="62">
        <v>0.65347222222222223</v>
      </c>
      <c r="G14" s="62">
        <v>0.65486111111111112</v>
      </c>
      <c r="H14" s="62">
        <v>0.68055555555555558</v>
      </c>
      <c r="I14" s="62">
        <v>0.68125000000000002</v>
      </c>
      <c r="J14" s="62">
        <v>0.6875</v>
      </c>
      <c r="K14" s="62">
        <v>0.7006944444444444</v>
      </c>
      <c r="L14" s="62">
        <v>0.7006944444444444</v>
      </c>
      <c r="M14" s="62">
        <v>0.72569444444444442</v>
      </c>
      <c r="N14" s="62">
        <v>0.72569444444444442</v>
      </c>
      <c r="O14" s="63"/>
      <c r="P14" s="60">
        <v>47</v>
      </c>
      <c r="Q14" s="60">
        <v>15</v>
      </c>
      <c r="R14" s="60">
        <v>10</v>
      </c>
      <c r="S14" s="60">
        <v>4</v>
      </c>
      <c r="T14" s="60" t="s">
        <v>38</v>
      </c>
      <c r="U14" s="60" t="s">
        <v>38</v>
      </c>
      <c r="V14" s="60" t="s">
        <v>38</v>
      </c>
      <c r="W14" s="60" t="s">
        <v>38</v>
      </c>
      <c r="X14" s="60" t="s">
        <v>38</v>
      </c>
      <c r="Y14" s="60" t="s">
        <v>38</v>
      </c>
      <c r="Z14" s="60" t="s">
        <v>38</v>
      </c>
      <c r="AA14" s="60" t="s">
        <v>38</v>
      </c>
      <c r="AB14" s="60" t="s">
        <v>38</v>
      </c>
      <c r="AC14" s="60" t="s">
        <v>43</v>
      </c>
      <c r="AD14" s="60" t="s">
        <v>38</v>
      </c>
      <c r="AE14" s="60" t="s">
        <v>38</v>
      </c>
      <c r="AF14" s="60">
        <v>19</v>
      </c>
      <c r="AG14" s="60">
        <v>18</v>
      </c>
      <c r="AH14" s="64">
        <f t="shared" si="0"/>
        <v>37</v>
      </c>
      <c r="AI14" s="60">
        <v>1</v>
      </c>
      <c r="AJ14" s="60">
        <v>5</v>
      </c>
      <c r="AK14" s="60">
        <v>19</v>
      </c>
      <c r="AL14" s="60">
        <v>0</v>
      </c>
      <c r="AM14" s="65">
        <f t="shared" si="1"/>
        <v>7.291666666666663E-2</v>
      </c>
      <c r="AN14" s="66" t="s">
        <v>60</v>
      </c>
      <c r="AP14" s="60">
        <f t="shared" si="2"/>
        <v>5</v>
      </c>
    </row>
    <row r="15" spans="1:42" s="60" customFormat="1" ht="15" customHeight="1" outlineLevel="1">
      <c r="A15" s="59" t="s">
        <v>61</v>
      </c>
      <c r="B15" s="69">
        <v>44512</v>
      </c>
      <c r="C15" s="62">
        <v>0.37013888888888891</v>
      </c>
      <c r="D15" s="62">
        <v>0.42916666666666664</v>
      </c>
      <c r="E15" s="62">
        <v>0.37291666666666667</v>
      </c>
      <c r="F15" s="62">
        <v>0.37083333333333335</v>
      </c>
      <c r="G15" s="62">
        <v>0.38124999999999998</v>
      </c>
      <c r="H15" s="62">
        <v>0.38124999999999998</v>
      </c>
      <c r="I15" s="62">
        <v>0.37083333333333335</v>
      </c>
      <c r="J15" s="62">
        <v>0.37638888888888888</v>
      </c>
      <c r="K15" s="62">
        <v>0.39027777777777778</v>
      </c>
      <c r="L15" s="62">
        <v>0.41249999999999998</v>
      </c>
      <c r="M15" s="62">
        <v>0.41805555555555557</v>
      </c>
      <c r="N15" s="62">
        <v>0.4284722222222222</v>
      </c>
      <c r="O15" s="67">
        <v>2.3425925925925925E-4</v>
      </c>
      <c r="P15" s="60">
        <v>46</v>
      </c>
      <c r="Q15" s="60">
        <v>12</v>
      </c>
      <c r="R15" s="60">
        <v>5</v>
      </c>
      <c r="S15" s="60">
        <v>8</v>
      </c>
      <c r="T15" s="60" t="s">
        <v>38</v>
      </c>
      <c r="U15" s="60" t="s">
        <v>38</v>
      </c>
      <c r="V15" s="60" t="s">
        <v>38</v>
      </c>
      <c r="W15" s="60" t="s">
        <v>38</v>
      </c>
      <c r="X15" s="60" t="s">
        <v>38</v>
      </c>
      <c r="Y15" s="60" t="s">
        <v>38</v>
      </c>
      <c r="Z15" s="60" t="s">
        <v>38</v>
      </c>
      <c r="AA15" s="60" t="s">
        <v>38</v>
      </c>
      <c r="AB15" s="60" t="s">
        <v>38</v>
      </c>
      <c r="AC15" s="60" t="s">
        <v>38</v>
      </c>
      <c r="AD15" s="60" t="s">
        <v>38</v>
      </c>
      <c r="AE15" s="60" t="s">
        <v>38</v>
      </c>
      <c r="AF15" s="60">
        <v>18</v>
      </c>
      <c r="AG15" s="60">
        <v>18</v>
      </c>
      <c r="AH15" s="64">
        <f t="shared" si="0"/>
        <v>36</v>
      </c>
      <c r="AI15" s="60">
        <v>1</v>
      </c>
      <c r="AJ15" s="60">
        <v>4</v>
      </c>
      <c r="AK15" s="60">
        <v>17</v>
      </c>
      <c r="AL15" s="60">
        <v>0</v>
      </c>
      <c r="AM15" s="65">
        <f t="shared" si="1"/>
        <v>5.9027777777777735E-2</v>
      </c>
      <c r="AN15" s="66" t="s">
        <v>62</v>
      </c>
      <c r="AP15" s="60">
        <f t="shared" si="2"/>
        <v>6</v>
      </c>
    </row>
    <row r="16" spans="1:42" s="60" customFormat="1" ht="15" customHeight="1" outlineLevel="1">
      <c r="A16" s="59" t="s">
        <v>63</v>
      </c>
      <c r="B16" s="69">
        <v>44516</v>
      </c>
      <c r="C16" s="62">
        <v>0.71944444444444444</v>
      </c>
      <c r="D16" s="62">
        <v>0.74861111111111112</v>
      </c>
      <c r="E16" s="62">
        <v>0.72916666666666663</v>
      </c>
      <c r="F16" s="62">
        <v>0.71944444444444444</v>
      </c>
      <c r="G16" s="62">
        <v>0.73263888888888884</v>
      </c>
      <c r="H16" s="62">
        <v>0.73263888888888884</v>
      </c>
      <c r="I16" s="62">
        <v>0.72361111111111109</v>
      </c>
      <c r="J16" s="62">
        <v>0.73541666666666672</v>
      </c>
      <c r="K16" s="62">
        <v>0.73541666666666672</v>
      </c>
      <c r="L16" s="62">
        <v>0.7368055555555556</v>
      </c>
      <c r="M16" s="62">
        <v>0.74097222222222225</v>
      </c>
      <c r="N16" s="62">
        <v>0.74791666666666667</v>
      </c>
      <c r="O16" s="67">
        <v>2.1435185185185186E-4</v>
      </c>
      <c r="P16" s="60">
        <v>9</v>
      </c>
      <c r="Q16" s="60">
        <v>0</v>
      </c>
      <c r="R16" s="60">
        <v>4</v>
      </c>
      <c r="S16" s="60">
        <v>0</v>
      </c>
      <c r="T16" s="60" t="s">
        <v>38</v>
      </c>
      <c r="U16" s="60" t="s">
        <v>38</v>
      </c>
      <c r="V16" s="60" t="s">
        <v>38</v>
      </c>
      <c r="W16" s="60" t="s">
        <v>38</v>
      </c>
      <c r="X16" s="60" t="s">
        <v>38</v>
      </c>
      <c r="Y16" s="60" t="s">
        <v>38</v>
      </c>
      <c r="Z16" s="60" t="s">
        <v>38</v>
      </c>
      <c r="AA16" s="60" t="s">
        <v>38</v>
      </c>
      <c r="AB16" s="60" t="s">
        <v>38</v>
      </c>
      <c r="AC16" s="60" t="s">
        <v>38</v>
      </c>
      <c r="AD16" s="60" t="s">
        <v>38</v>
      </c>
      <c r="AE16" s="60" t="s">
        <v>38</v>
      </c>
      <c r="AF16" s="60">
        <v>22</v>
      </c>
      <c r="AG16" s="60">
        <v>22</v>
      </c>
      <c r="AH16" s="64">
        <f t="shared" si="0"/>
        <v>44</v>
      </c>
      <c r="AI16" s="60">
        <v>3</v>
      </c>
      <c r="AJ16" s="60">
        <v>3</v>
      </c>
      <c r="AK16" s="60">
        <v>18</v>
      </c>
      <c r="AL16" s="60">
        <v>0</v>
      </c>
      <c r="AM16" s="65">
        <f t="shared" si="1"/>
        <v>2.9166666666666674E-2</v>
      </c>
      <c r="AN16" s="66" t="s">
        <v>64</v>
      </c>
      <c r="AP16" s="60">
        <f t="shared" si="2"/>
        <v>6</v>
      </c>
    </row>
    <row r="17" spans="1:42" s="60" customFormat="1" ht="15" customHeight="1" outlineLevel="1">
      <c r="A17" s="59" t="s">
        <v>65</v>
      </c>
      <c r="B17" s="69">
        <v>44517</v>
      </c>
      <c r="C17" s="62">
        <v>0.6118055555555556</v>
      </c>
      <c r="D17" s="62">
        <v>0.65</v>
      </c>
      <c r="E17" s="62">
        <v>0.61458333333333337</v>
      </c>
      <c r="F17" s="62">
        <v>0.61319444444444449</v>
      </c>
      <c r="G17" s="62">
        <v>0.61527777777777781</v>
      </c>
      <c r="H17" s="62">
        <v>0.61736111111111114</v>
      </c>
      <c r="I17" s="62">
        <v>0.61875000000000002</v>
      </c>
      <c r="J17" s="62">
        <v>0.62430555555555556</v>
      </c>
      <c r="K17" s="62">
        <v>0.63194444444444442</v>
      </c>
      <c r="L17" s="62">
        <v>0.63263888888888886</v>
      </c>
      <c r="M17" s="62">
        <v>0.63472222222222219</v>
      </c>
      <c r="N17" s="62">
        <v>0.65</v>
      </c>
      <c r="O17" s="67">
        <v>2.2476851851851854E-4</v>
      </c>
      <c r="P17" s="60">
        <v>27</v>
      </c>
      <c r="Q17" s="60">
        <v>7</v>
      </c>
      <c r="R17" s="60">
        <v>4</v>
      </c>
      <c r="S17" s="60">
        <v>1</v>
      </c>
      <c r="T17" s="60" t="s">
        <v>38</v>
      </c>
      <c r="U17" s="60" t="s">
        <v>38</v>
      </c>
      <c r="V17" s="60" t="s">
        <v>38</v>
      </c>
      <c r="W17" s="60" t="s">
        <v>38</v>
      </c>
      <c r="X17" s="60" t="s">
        <v>38</v>
      </c>
      <c r="Y17" s="60" t="s">
        <v>38</v>
      </c>
      <c r="Z17" s="60" t="s">
        <v>38</v>
      </c>
      <c r="AA17" s="60" t="s">
        <v>38</v>
      </c>
      <c r="AB17" s="60" t="s">
        <v>38</v>
      </c>
      <c r="AC17" s="60" t="s">
        <v>38</v>
      </c>
      <c r="AD17" s="60" t="s">
        <v>38</v>
      </c>
      <c r="AE17" s="60" t="s">
        <v>38</v>
      </c>
      <c r="AF17" s="60">
        <v>20</v>
      </c>
      <c r="AG17" s="60">
        <v>16</v>
      </c>
      <c r="AH17" s="64">
        <f t="shared" si="0"/>
        <v>36</v>
      </c>
      <c r="AI17" s="60">
        <v>0</v>
      </c>
      <c r="AJ17" s="60">
        <v>4</v>
      </c>
      <c r="AK17" s="60">
        <v>22</v>
      </c>
      <c r="AL17" s="60">
        <v>0</v>
      </c>
      <c r="AM17" s="65">
        <f t="shared" si="1"/>
        <v>3.819444444444442E-2</v>
      </c>
      <c r="AN17" s="66" t="s">
        <v>66</v>
      </c>
      <c r="AP17" s="60">
        <f t="shared" si="2"/>
        <v>6</v>
      </c>
    </row>
    <row r="18" spans="1:42" s="60" customFormat="1" ht="15" customHeight="1" outlineLevel="1">
      <c r="A18" s="59" t="s">
        <v>67</v>
      </c>
      <c r="B18" s="69">
        <v>44519</v>
      </c>
      <c r="C18" s="62">
        <v>0.37291666666666667</v>
      </c>
      <c r="D18" s="62">
        <v>0.41875000000000001</v>
      </c>
      <c r="E18" s="62">
        <v>0.37708333333333333</v>
      </c>
      <c r="F18" s="62">
        <v>0.375</v>
      </c>
      <c r="G18" s="62">
        <v>0.38541666666666669</v>
      </c>
      <c r="H18" s="62">
        <v>0.3888888888888889</v>
      </c>
      <c r="I18" s="62">
        <v>0.38958333333333334</v>
      </c>
      <c r="J18" s="62">
        <v>0.3923611111111111</v>
      </c>
      <c r="K18" s="62">
        <v>0.40347222222222223</v>
      </c>
      <c r="L18" s="62">
        <v>0.40763888888888888</v>
      </c>
      <c r="M18" s="62">
        <v>0.41597222222222224</v>
      </c>
      <c r="N18" s="62">
        <v>0.41736111111111113</v>
      </c>
      <c r="O18" s="67">
        <v>5.9780092592592589E-4</v>
      </c>
      <c r="P18" s="60">
        <v>35</v>
      </c>
      <c r="Q18" s="60">
        <v>4</v>
      </c>
      <c r="R18" s="60">
        <v>2</v>
      </c>
      <c r="S18" s="60">
        <v>0</v>
      </c>
      <c r="T18" s="60" t="s">
        <v>38</v>
      </c>
      <c r="U18" s="60" t="s">
        <v>38</v>
      </c>
      <c r="V18" s="60" t="s">
        <v>38</v>
      </c>
      <c r="W18" s="60" t="s">
        <v>38</v>
      </c>
      <c r="X18" s="60" t="s">
        <v>38</v>
      </c>
      <c r="Y18" s="60" t="s">
        <v>38</v>
      </c>
      <c r="Z18" s="60" t="s">
        <v>38</v>
      </c>
      <c r="AA18" s="60" t="s">
        <v>38</v>
      </c>
      <c r="AB18" s="60" t="s">
        <v>38</v>
      </c>
      <c r="AC18" s="60" t="s">
        <v>38</v>
      </c>
      <c r="AD18" s="60" t="s">
        <v>38</v>
      </c>
      <c r="AE18" s="60" t="s">
        <v>38</v>
      </c>
      <c r="AF18" s="60">
        <v>16</v>
      </c>
      <c r="AG18" s="60">
        <v>16</v>
      </c>
      <c r="AH18" s="64">
        <f t="shared" si="0"/>
        <v>32</v>
      </c>
      <c r="AI18" s="60">
        <v>2</v>
      </c>
      <c r="AJ18" s="60">
        <v>4</v>
      </c>
      <c r="AK18" s="60">
        <v>11</v>
      </c>
      <c r="AL18" s="60">
        <v>0</v>
      </c>
      <c r="AM18" s="65">
        <f t="shared" si="1"/>
        <v>4.5833333333333337E-2</v>
      </c>
      <c r="AN18" s="66" t="s">
        <v>68</v>
      </c>
      <c r="AP18" s="60">
        <f t="shared" si="2"/>
        <v>6</v>
      </c>
    </row>
    <row r="19" spans="1:42" s="60" customFormat="1" ht="15" customHeight="1" outlineLevel="1">
      <c r="A19" s="59" t="s">
        <v>69</v>
      </c>
      <c r="B19" s="61">
        <v>44536</v>
      </c>
      <c r="C19" s="62">
        <v>0.69166666666666665</v>
      </c>
      <c r="D19" s="62">
        <v>0.71319444444444446</v>
      </c>
      <c r="E19" s="62">
        <v>0.69374999999999998</v>
      </c>
      <c r="F19" s="62">
        <v>0.69305555555555554</v>
      </c>
      <c r="G19" s="62">
        <v>0.69791666666666663</v>
      </c>
      <c r="H19" s="62">
        <v>0.70138888888888884</v>
      </c>
      <c r="I19" s="62">
        <v>0.70138888888888884</v>
      </c>
      <c r="J19" s="62">
        <v>0.70347222222222228</v>
      </c>
      <c r="K19" s="74">
        <v>0.7055555555555556</v>
      </c>
      <c r="L19" s="62">
        <v>0.70625000000000004</v>
      </c>
      <c r="M19" s="62">
        <v>0.70902777777777781</v>
      </c>
      <c r="N19" s="62">
        <v>0.71319444444444446</v>
      </c>
      <c r="O19" s="67">
        <v>2.2465277777777777E-4</v>
      </c>
      <c r="P19" s="60">
        <v>24</v>
      </c>
      <c r="Q19" s="60">
        <v>2</v>
      </c>
      <c r="R19" s="60">
        <v>12</v>
      </c>
      <c r="S19" s="60">
        <v>0</v>
      </c>
      <c r="T19" s="60" t="s">
        <v>38</v>
      </c>
      <c r="U19" s="60" t="s">
        <v>38</v>
      </c>
      <c r="V19" s="60" t="s">
        <v>38</v>
      </c>
      <c r="W19" s="60" t="s">
        <v>38</v>
      </c>
      <c r="X19" s="60" t="s">
        <v>38</v>
      </c>
      <c r="Y19" s="60" t="s">
        <v>38</v>
      </c>
      <c r="Z19" s="60" t="s">
        <v>38</v>
      </c>
      <c r="AA19" s="60" t="s">
        <v>38</v>
      </c>
      <c r="AB19" s="60" t="s">
        <v>38</v>
      </c>
      <c r="AC19" s="60" t="s">
        <v>38</v>
      </c>
      <c r="AD19" s="60" t="s">
        <v>38</v>
      </c>
      <c r="AE19" s="60" t="s">
        <v>38</v>
      </c>
      <c r="AF19" s="60">
        <v>18</v>
      </c>
      <c r="AG19" s="60">
        <v>19</v>
      </c>
      <c r="AH19" s="60">
        <v>37</v>
      </c>
      <c r="AI19" s="60">
        <v>2</v>
      </c>
      <c r="AJ19" s="60">
        <v>5</v>
      </c>
      <c r="AK19" s="60">
        <v>15</v>
      </c>
      <c r="AL19" s="60">
        <v>0</v>
      </c>
      <c r="AM19" s="65">
        <f t="shared" si="1"/>
        <v>2.1527777777777812E-2</v>
      </c>
      <c r="AN19" s="66" t="s">
        <v>70</v>
      </c>
      <c r="AP19" s="60">
        <f t="shared" si="2"/>
        <v>6</v>
      </c>
    </row>
    <row r="20" spans="1:42" s="60" customFormat="1" ht="15" customHeight="1" outlineLevel="1">
      <c r="A20" s="59" t="s">
        <v>71</v>
      </c>
      <c r="B20" s="61">
        <v>44539</v>
      </c>
      <c r="C20" s="62">
        <v>0.69097222222222221</v>
      </c>
      <c r="D20" s="62">
        <v>0.72430555555555554</v>
      </c>
      <c r="E20" s="62">
        <v>0.69166666666666665</v>
      </c>
      <c r="F20" s="62">
        <v>0.6958333333333333</v>
      </c>
      <c r="G20" s="62">
        <v>0.69652777777777775</v>
      </c>
      <c r="H20" s="62">
        <v>0.69861111111111107</v>
      </c>
      <c r="I20" s="62">
        <v>0.69166666666666665</v>
      </c>
      <c r="J20" s="62">
        <v>0.69444444444444442</v>
      </c>
      <c r="K20" s="62">
        <v>0.70763888888888893</v>
      </c>
      <c r="L20" s="62">
        <v>0.70902777777777781</v>
      </c>
      <c r="M20" s="62">
        <v>0.72222222222222221</v>
      </c>
      <c r="N20" s="62">
        <v>0.72430555555555554</v>
      </c>
      <c r="O20" s="67">
        <v>1.7245370370370372E-4</v>
      </c>
      <c r="P20" s="60">
        <v>23</v>
      </c>
      <c r="Q20" s="60">
        <v>1</v>
      </c>
      <c r="R20" s="60">
        <v>2</v>
      </c>
      <c r="S20" s="60">
        <v>3</v>
      </c>
      <c r="T20" s="60" t="s">
        <v>38</v>
      </c>
      <c r="U20" s="60" t="s">
        <v>38</v>
      </c>
      <c r="V20" s="60" t="s">
        <v>38</v>
      </c>
      <c r="W20" s="60" t="s">
        <v>38</v>
      </c>
      <c r="X20" s="60" t="s">
        <v>38</v>
      </c>
      <c r="Y20" s="60" t="s">
        <v>38</v>
      </c>
      <c r="Z20" s="60" t="s">
        <v>38</v>
      </c>
      <c r="AA20" s="60" t="s">
        <v>38</v>
      </c>
      <c r="AB20" s="60" t="s">
        <v>38</v>
      </c>
      <c r="AC20" s="60" t="s">
        <v>38</v>
      </c>
      <c r="AD20" s="60" t="s">
        <v>38</v>
      </c>
      <c r="AE20" s="60" t="s">
        <v>38</v>
      </c>
      <c r="AF20" s="60">
        <v>15</v>
      </c>
      <c r="AG20" s="60">
        <v>15</v>
      </c>
      <c r="AH20" s="64">
        <f t="shared" ref="AH20:AH29" si="3">AG20+AF20</f>
        <v>30</v>
      </c>
      <c r="AI20" s="60">
        <v>1</v>
      </c>
      <c r="AJ20" s="60">
        <v>3</v>
      </c>
      <c r="AK20" s="64">
        <f>8+5</f>
        <v>13</v>
      </c>
      <c r="AL20" s="60">
        <v>1</v>
      </c>
      <c r="AM20" s="65">
        <f t="shared" si="1"/>
        <v>3.3333333333333326E-2</v>
      </c>
      <c r="AN20" s="66" t="s">
        <v>72</v>
      </c>
      <c r="AP20" s="60">
        <f t="shared" si="2"/>
        <v>6</v>
      </c>
    </row>
    <row r="21" spans="1:42" s="60" customFormat="1" ht="15" customHeight="1" outlineLevel="1">
      <c r="A21" s="59" t="s">
        <v>73</v>
      </c>
      <c r="B21" s="69">
        <v>44202</v>
      </c>
      <c r="C21" s="62">
        <v>0.66388888888888886</v>
      </c>
      <c r="D21" s="62">
        <v>0.68333333333333335</v>
      </c>
      <c r="E21" s="62">
        <v>0.6645833333333333</v>
      </c>
      <c r="F21" s="62">
        <v>0.66388888888888886</v>
      </c>
      <c r="G21" s="62">
        <v>0.66874999999999996</v>
      </c>
      <c r="H21" s="62">
        <v>0.67013888888888884</v>
      </c>
      <c r="I21" s="62">
        <v>0.66527777777777775</v>
      </c>
      <c r="J21" s="62">
        <v>0.66666666666666663</v>
      </c>
      <c r="K21" s="62">
        <v>0.67083333333333328</v>
      </c>
      <c r="L21" s="62">
        <v>0.67152777777777772</v>
      </c>
      <c r="M21" s="62">
        <v>0.6791666666666667</v>
      </c>
      <c r="N21" s="62">
        <v>0.68333333333333335</v>
      </c>
      <c r="O21" s="67">
        <v>2.1041666666666667E-4</v>
      </c>
      <c r="P21" s="60">
        <v>22</v>
      </c>
      <c r="Q21" s="60">
        <v>3</v>
      </c>
      <c r="R21" s="60">
        <v>8</v>
      </c>
      <c r="S21" s="60">
        <v>0</v>
      </c>
      <c r="T21" s="60" t="s">
        <v>38</v>
      </c>
      <c r="U21" s="60" t="s">
        <v>38</v>
      </c>
      <c r="V21" s="60" t="s">
        <v>38</v>
      </c>
      <c r="W21" s="60" t="s">
        <v>38</v>
      </c>
      <c r="X21" s="60" t="s">
        <v>38</v>
      </c>
      <c r="Y21" s="60" t="s">
        <v>38</v>
      </c>
      <c r="Z21" s="60" t="s">
        <v>38</v>
      </c>
      <c r="AA21" s="60" t="s">
        <v>38</v>
      </c>
      <c r="AB21" s="60" t="s">
        <v>38</v>
      </c>
      <c r="AC21" s="60" t="s">
        <v>38</v>
      </c>
      <c r="AD21" s="60" t="s">
        <v>38</v>
      </c>
      <c r="AE21" s="60" t="s">
        <v>38</v>
      </c>
      <c r="AF21" s="60">
        <v>17</v>
      </c>
      <c r="AG21" s="60">
        <v>17</v>
      </c>
      <c r="AH21" s="64">
        <f t="shared" si="3"/>
        <v>34</v>
      </c>
      <c r="AI21" s="60">
        <v>4</v>
      </c>
      <c r="AJ21" s="60">
        <v>1</v>
      </c>
      <c r="AK21" s="60">
        <v>10</v>
      </c>
      <c r="AL21" s="60">
        <v>0</v>
      </c>
      <c r="AM21" s="65">
        <f t="shared" si="1"/>
        <v>1.9444444444444486E-2</v>
      </c>
      <c r="AN21" s="66"/>
      <c r="AP21" s="60">
        <f t="shared" si="2"/>
        <v>6</v>
      </c>
    </row>
    <row r="22" spans="1:42" s="60" customFormat="1" ht="15" customHeight="1" outlineLevel="1">
      <c r="A22" s="59" t="s">
        <v>74</v>
      </c>
      <c r="B22" s="69">
        <v>44572</v>
      </c>
      <c r="C22" s="62">
        <v>0.72847222222222219</v>
      </c>
      <c r="D22" s="62">
        <v>0.79374999999999996</v>
      </c>
      <c r="E22" s="62">
        <v>0.73055555555555551</v>
      </c>
      <c r="F22" s="62">
        <v>0.72986111111111107</v>
      </c>
      <c r="G22" s="62">
        <v>0.73819444444444449</v>
      </c>
      <c r="H22" s="62">
        <v>0.73888888888888893</v>
      </c>
      <c r="I22" s="62">
        <v>0.73958333333333337</v>
      </c>
      <c r="J22" s="62">
        <v>0.74375000000000002</v>
      </c>
      <c r="K22" s="62">
        <v>0.74513888888888891</v>
      </c>
      <c r="L22" s="62">
        <v>0.74027777777777781</v>
      </c>
      <c r="M22" s="62">
        <v>0.76111111111111107</v>
      </c>
      <c r="N22" s="62">
        <v>0.79374999999999996</v>
      </c>
      <c r="O22" s="76">
        <v>1.5046296296296297E-4</v>
      </c>
      <c r="P22" s="60">
        <v>67</v>
      </c>
      <c r="Q22" s="60">
        <v>2</v>
      </c>
      <c r="R22" s="60">
        <v>37</v>
      </c>
      <c r="S22" s="60">
        <v>8</v>
      </c>
      <c r="T22" s="60" t="s">
        <v>38</v>
      </c>
      <c r="U22" s="60" t="s">
        <v>38</v>
      </c>
      <c r="V22" s="60" t="s">
        <v>38</v>
      </c>
      <c r="W22" s="60" t="s">
        <v>38</v>
      </c>
      <c r="X22" s="60" t="s">
        <v>38</v>
      </c>
      <c r="Y22" s="60" t="s">
        <v>38</v>
      </c>
      <c r="Z22" s="60" t="s">
        <v>38</v>
      </c>
      <c r="AA22" s="60" t="s">
        <v>38</v>
      </c>
      <c r="AB22" s="60" t="s">
        <v>38</v>
      </c>
      <c r="AC22" s="60" t="s">
        <v>38</v>
      </c>
      <c r="AD22" s="60" t="s">
        <v>38</v>
      </c>
      <c r="AE22" s="60" t="s">
        <v>38</v>
      </c>
      <c r="AF22" s="60">
        <v>11</v>
      </c>
      <c r="AG22" s="60">
        <v>11</v>
      </c>
      <c r="AH22" s="64">
        <f t="shared" si="3"/>
        <v>22</v>
      </c>
      <c r="AI22" s="60">
        <v>0</v>
      </c>
      <c r="AJ22" s="60">
        <v>2</v>
      </c>
      <c r="AK22" s="64">
        <f>8+7</f>
        <v>15</v>
      </c>
      <c r="AL22" s="60">
        <v>0</v>
      </c>
      <c r="AM22" s="65">
        <f t="shared" si="1"/>
        <v>6.5277777777777768E-2</v>
      </c>
      <c r="AN22" s="66" t="s">
        <v>75</v>
      </c>
      <c r="AP22" s="60">
        <f t="shared" si="2"/>
        <v>6</v>
      </c>
    </row>
    <row r="23" spans="1:42" s="60" customFormat="1" ht="15" customHeight="1" outlineLevel="1">
      <c r="A23" s="59" t="s">
        <v>76</v>
      </c>
      <c r="B23" s="69">
        <v>44878</v>
      </c>
      <c r="C23" s="62">
        <v>0.71666666666666667</v>
      </c>
      <c r="D23" s="62">
        <v>0.7895833333333333</v>
      </c>
      <c r="E23" s="62">
        <v>0.71666666666666667</v>
      </c>
      <c r="F23" s="62">
        <v>0.71736111111111112</v>
      </c>
      <c r="G23" s="62">
        <v>0.71805555555555556</v>
      </c>
      <c r="H23" s="62">
        <v>0.72986111111111107</v>
      </c>
      <c r="I23" s="62">
        <v>0.71666666666666667</v>
      </c>
      <c r="J23" s="62">
        <v>0.71805555555555556</v>
      </c>
      <c r="K23" s="62">
        <v>0.75277777777777777</v>
      </c>
      <c r="L23" s="62">
        <v>0.75347222222222221</v>
      </c>
      <c r="M23" s="68"/>
      <c r="N23" s="62">
        <v>0.7895833333333333</v>
      </c>
      <c r="O23" s="63"/>
      <c r="P23" s="60">
        <v>85</v>
      </c>
      <c r="Q23" s="60">
        <v>3</v>
      </c>
      <c r="R23" s="60">
        <v>23</v>
      </c>
      <c r="S23" s="60">
        <v>7</v>
      </c>
      <c r="T23" s="60" t="s">
        <v>38</v>
      </c>
      <c r="U23" s="60" t="s">
        <v>38</v>
      </c>
      <c r="V23" s="60" t="s">
        <v>38</v>
      </c>
      <c r="W23" s="60" t="s">
        <v>38</v>
      </c>
      <c r="X23" s="60" t="s">
        <v>43</v>
      </c>
      <c r="Y23" s="60" t="s">
        <v>43</v>
      </c>
      <c r="Z23" s="60" t="s">
        <v>38</v>
      </c>
      <c r="AA23" s="60" t="s">
        <v>38</v>
      </c>
      <c r="AB23" s="60" t="s">
        <v>38</v>
      </c>
      <c r="AC23" s="60" t="s">
        <v>38</v>
      </c>
      <c r="AD23" s="60" t="s">
        <v>43</v>
      </c>
      <c r="AE23" s="60" t="s">
        <v>43</v>
      </c>
      <c r="AF23" s="60">
        <v>16</v>
      </c>
      <c r="AG23" s="60">
        <v>18</v>
      </c>
      <c r="AH23" s="64">
        <f t="shared" si="3"/>
        <v>34</v>
      </c>
      <c r="AI23" s="60">
        <v>2</v>
      </c>
      <c r="AJ23" s="60">
        <v>0</v>
      </c>
      <c r="AK23" s="60">
        <v>17</v>
      </c>
      <c r="AL23" s="60">
        <v>1</v>
      </c>
      <c r="AM23" s="65">
        <f t="shared" si="1"/>
        <v>7.291666666666663E-2</v>
      </c>
      <c r="AN23" s="66" t="s">
        <v>77</v>
      </c>
      <c r="AP23" s="60">
        <f t="shared" si="2"/>
        <v>4</v>
      </c>
    </row>
    <row r="24" spans="1:42" s="60" customFormat="1" ht="15" customHeight="1" outlineLevel="1">
      <c r="A24" s="59" t="s">
        <v>78</v>
      </c>
      <c r="B24" s="69">
        <v>44588</v>
      </c>
      <c r="C24" s="62">
        <v>0.46944444444444444</v>
      </c>
      <c r="D24" s="62">
        <v>0.49930555555555556</v>
      </c>
      <c r="E24" s="62">
        <v>0.47222222222222221</v>
      </c>
      <c r="F24" s="62">
        <v>0.46944444444444444</v>
      </c>
      <c r="G24" s="62">
        <v>0.47430555555555554</v>
      </c>
      <c r="H24" s="62">
        <v>0.47430555555555554</v>
      </c>
      <c r="I24" s="62">
        <v>0.47499999999999998</v>
      </c>
      <c r="J24" s="62">
        <v>0.47847222222222224</v>
      </c>
      <c r="K24" s="62">
        <v>0.47847222222222224</v>
      </c>
      <c r="L24" s="62">
        <v>0.48472222222222222</v>
      </c>
      <c r="M24" s="62">
        <v>0.48958333333333331</v>
      </c>
      <c r="N24" s="62">
        <v>0.49930555555555556</v>
      </c>
      <c r="O24" s="67">
        <v>2.7060185185185184E-4</v>
      </c>
      <c r="P24" s="60">
        <v>21</v>
      </c>
      <c r="Q24" s="60">
        <v>0</v>
      </c>
      <c r="R24" s="60">
        <v>6</v>
      </c>
      <c r="S24" s="60">
        <v>0</v>
      </c>
      <c r="T24" s="60" t="s">
        <v>38</v>
      </c>
      <c r="U24" s="60" t="s">
        <v>38</v>
      </c>
      <c r="V24" s="60" t="s">
        <v>38</v>
      </c>
      <c r="W24" s="60" t="s">
        <v>38</v>
      </c>
      <c r="X24" s="60" t="s">
        <v>38</v>
      </c>
      <c r="Y24" s="60" t="s">
        <v>38</v>
      </c>
      <c r="Z24" s="60" t="s">
        <v>38</v>
      </c>
      <c r="AA24" s="60" t="s">
        <v>38</v>
      </c>
      <c r="AB24" s="60" t="s">
        <v>38</v>
      </c>
      <c r="AC24" s="60" t="s">
        <v>38</v>
      </c>
      <c r="AD24" s="60" t="s">
        <v>38</v>
      </c>
      <c r="AE24" s="60" t="s">
        <v>38</v>
      </c>
      <c r="AF24" s="60">
        <v>17</v>
      </c>
      <c r="AG24" s="60">
        <v>16</v>
      </c>
      <c r="AH24" s="64">
        <f t="shared" si="3"/>
        <v>33</v>
      </c>
      <c r="AI24" s="60">
        <v>2</v>
      </c>
      <c r="AJ24" s="60">
        <v>3</v>
      </c>
      <c r="AK24" s="64">
        <f>9+6</f>
        <v>15</v>
      </c>
      <c r="AL24" s="60">
        <v>0</v>
      </c>
      <c r="AM24" s="65">
        <f t="shared" si="1"/>
        <v>2.9861111111111116E-2</v>
      </c>
      <c r="AN24" s="66" t="s">
        <v>79</v>
      </c>
      <c r="AP24" s="60">
        <f t="shared" si="2"/>
        <v>6</v>
      </c>
    </row>
    <row r="25" spans="1:42" s="60" customFormat="1" ht="15" customHeight="1" outlineLevel="1">
      <c r="A25" s="59" t="s">
        <v>80</v>
      </c>
      <c r="B25" s="69">
        <v>44592</v>
      </c>
      <c r="C25" s="78">
        <v>0.68194444444444446</v>
      </c>
      <c r="D25" s="78">
        <v>0.73611111111111116</v>
      </c>
      <c r="E25" s="78">
        <v>0.68402777777777779</v>
      </c>
      <c r="F25" s="78">
        <v>0.68402777777777779</v>
      </c>
      <c r="G25" s="78">
        <v>0.68611111111111112</v>
      </c>
      <c r="H25" s="78">
        <v>0.68680555555555556</v>
      </c>
      <c r="I25" s="78">
        <v>0.68263888888888891</v>
      </c>
      <c r="J25" s="78">
        <v>0.68402777777777779</v>
      </c>
      <c r="K25" s="78">
        <v>0.69444444444444442</v>
      </c>
      <c r="L25" s="78">
        <v>0.69652777777777775</v>
      </c>
      <c r="M25" s="78">
        <v>0.71527777777777779</v>
      </c>
      <c r="N25" s="78">
        <v>0.73611111111111116</v>
      </c>
      <c r="O25" s="79">
        <v>2.351851851851852E-4</v>
      </c>
      <c r="P25" s="80">
        <v>38</v>
      </c>
      <c r="Q25" s="80">
        <v>2</v>
      </c>
      <c r="R25" s="80">
        <v>11</v>
      </c>
      <c r="S25" s="80">
        <v>1</v>
      </c>
      <c r="T25" s="81" t="s">
        <v>38</v>
      </c>
      <c r="U25" s="81" t="s">
        <v>38</v>
      </c>
      <c r="V25" s="81" t="s">
        <v>38</v>
      </c>
      <c r="W25" s="81" t="s">
        <v>38</v>
      </c>
      <c r="X25" s="81" t="s">
        <v>38</v>
      </c>
      <c r="Y25" s="81" t="s">
        <v>38</v>
      </c>
      <c r="Z25" s="81" t="s">
        <v>38</v>
      </c>
      <c r="AA25" s="81" t="s">
        <v>38</v>
      </c>
      <c r="AB25" s="81" t="s">
        <v>38</v>
      </c>
      <c r="AC25" s="81" t="s">
        <v>38</v>
      </c>
      <c r="AD25" s="81" t="s">
        <v>38</v>
      </c>
      <c r="AE25" s="81" t="s">
        <v>38</v>
      </c>
      <c r="AF25" s="80">
        <v>21</v>
      </c>
      <c r="AG25" s="80">
        <v>21</v>
      </c>
      <c r="AH25" s="64">
        <f t="shared" si="3"/>
        <v>42</v>
      </c>
      <c r="AI25" s="60">
        <v>4</v>
      </c>
      <c r="AJ25" s="60">
        <v>7</v>
      </c>
      <c r="AK25" s="64">
        <f>13+7</f>
        <v>20</v>
      </c>
      <c r="AL25" s="60">
        <v>2</v>
      </c>
      <c r="AM25" s="65">
        <f t="shared" si="1"/>
        <v>5.4166666666666696E-2</v>
      </c>
      <c r="AN25" s="66" t="s">
        <v>81</v>
      </c>
      <c r="AP25" s="60">
        <f t="shared" si="2"/>
        <v>6</v>
      </c>
    </row>
    <row r="26" spans="1:42" s="60" customFormat="1" ht="15" customHeight="1" outlineLevel="1">
      <c r="A26" s="59" t="s">
        <v>82</v>
      </c>
      <c r="B26" s="69">
        <v>44595</v>
      </c>
      <c r="C26" s="62">
        <v>0.46805555555555556</v>
      </c>
      <c r="D26" s="62">
        <v>0.53541666666666665</v>
      </c>
      <c r="E26" s="62">
        <v>0.46875</v>
      </c>
      <c r="F26" s="62">
        <v>0.46875</v>
      </c>
      <c r="G26" s="62">
        <v>0.4777777777777778</v>
      </c>
      <c r="H26" s="62">
        <v>0.47986111111111113</v>
      </c>
      <c r="I26" s="62">
        <v>0.46805555555555556</v>
      </c>
      <c r="J26" s="62">
        <v>0.4777777777777778</v>
      </c>
      <c r="K26" s="62">
        <v>0.49513888888888891</v>
      </c>
      <c r="L26" s="62">
        <v>0.49722222222222223</v>
      </c>
      <c r="M26" s="62">
        <v>0.50069444444444444</v>
      </c>
      <c r="N26" s="62">
        <v>0.53541666666666665</v>
      </c>
      <c r="O26" s="76">
        <v>2.775462962962963E-4</v>
      </c>
      <c r="P26" s="60">
        <v>41</v>
      </c>
      <c r="Q26" s="60">
        <v>1</v>
      </c>
      <c r="R26" s="60">
        <v>9</v>
      </c>
      <c r="S26" s="60">
        <v>7</v>
      </c>
      <c r="T26" s="60" t="s">
        <v>38</v>
      </c>
      <c r="U26" s="60" t="s">
        <v>38</v>
      </c>
      <c r="V26" s="60" t="s">
        <v>38</v>
      </c>
      <c r="W26" s="60" t="s">
        <v>38</v>
      </c>
      <c r="X26" s="60" t="s">
        <v>38</v>
      </c>
      <c r="Y26" s="60" t="s">
        <v>38</v>
      </c>
      <c r="Z26" s="60" t="s">
        <v>38</v>
      </c>
      <c r="AA26" s="60" t="s">
        <v>38</v>
      </c>
      <c r="AB26" s="60" t="s">
        <v>38</v>
      </c>
      <c r="AC26" s="60" t="s">
        <v>38</v>
      </c>
      <c r="AD26" s="60" t="s">
        <v>38</v>
      </c>
      <c r="AE26" s="60" t="s">
        <v>38</v>
      </c>
      <c r="AF26" s="60">
        <v>12</v>
      </c>
      <c r="AG26" s="60">
        <v>10</v>
      </c>
      <c r="AH26" s="64">
        <f t="shared" si="3"/>
        <v>22</v>
      </c>
      <c r="AI26" s="60">
        <v>0</v>
      </c>
      <c r="AJ26" s="60">
        <v>3</v>
      </c>
      <c r="AK26" s="60">
        <f>9+4</f>
        <v>13</v>
      </c>
      <c r="AL26" s="60">
        <v>0</v>
      </c>
      <c r="AM26" s="65">
        <f t="shared" si="1"/>
        <v>6.7361111111111094E-2</v>
      </c>
      <c r="AN26" s="66" t="s">
        <v>83</v>
      </c>
      <c r="AP26" s="60">
        <f t="shared" si="2"/>
        <v>6</v>
      </c>
    </row>
    <row r="27" spans="1:42" s="60" customFormat="1" ht="15" customHeight="1" outlineLevel="1">
      <c r="A27" s="59" t="s">
        <v>84</v>
      </c>
      <c r="B27" s="69">
        <v>44601</v>
      </c>
      <c r="C27" s="62">
        <v>0.59861111111111109</v>
      </c>
      <c r="D27" s="62">
        <v>0.63263888888888886</v>
      </c>
      <c r="E27" s="62">
        <v>0.6</v>
      </c>
      <c r="F27" s="62">
        <v>0.59930555555555554</v>
      </c>
      <c r="G27" s="62">
        <v>0.60069444444444442</v>
      </c>
      <c r="H27" s="62">
        <v>0.61111111111111116</v>
      </c>
      <c r="I27" s="62">
        <v>0.6020833333333333</v>
      </c>
      <c r="J27" s="62">
        <v>0.61111111111111116</v>
      </c>
      <c r="K27" s="62">
        <v>0.61319444444444449</v>
      </c>
      <c r="L27" s="62">
        <v>0.61388888888888893</v>
      </c>
      <c r="M27" s="62">
        <v>0.61875000000000002</v>
      </c>
      <c r="N27" s="62">
        <v>0.63263888888888886</v>
      </c>
      <c r="O27" s="67">
        <v>2.1018518518518519E-4</v>
      </c>
      <c r="P27" s="60">
        <v>25</v>
      </c>
      <c r="Q27" s="60">
        <v>1</v>
      </c>
      <c r="R27" s="60">
        <v>4</v>
      </c>
      <c r="S27" s="64"/>
      <c r="T27" s="60" t="s">
        <v>38</v>
      </c>
      <c r="U27" s="60" t="s">
        <v>38</v>
      </c>
      <c r="V27" s="60" t="s">
        <v>38</v>
      </c>
      <c r="W27" s="60" t="s">
        <v>38</v>
      </c>
      <c r="X27" s="60" t="s">
        <v>38</v>
      </c>
      <c r="Y27" s="60" t="s">
        <v>38</v>
      </c>
      <c r="Z27" s="60" t="s">
        <v>38</v>
      </c>
      <c r="AA27" s="60" t="s">
        <v>38</v>
      </c>
      <c r="AB27" s="60" t="s">
        <v>38</v>
      </c>
      <c r="AC27" s="60" t="s">
        <v>38</v>
      </c>
      <c r="AD27" s="60" t="s">
        <v>38</v>
      </c>
      <c r="AE27" s="60" t="s">
        <v>38</v>
      </c>
      <c r="AF27" s="60">
        <v>19</v>
      </c>
      <c r="AG27" s="60">
        <v>19</v>
      </c>
      <c r="AH27" s="64">
        <f t="shared" si="3"/>
        <v>38</v>
      </c>
      <c r="AI27" s="60">
        <v>2</v>
      </c>
      <c r="AJ27" s="60">
        <v>2</v>
      </c>
      <c r="AK27" s="60">
        <v>15</v>
      </c>
      <c r="AL27" s="60">
        <v>0</v>
      </c>
      <c r="AM27" s="65">
        <f t="shared" si="1"/>
        <v>3.4027777777777768E-2</v>
      </c>
      <c r="AN27" s="66" t="s">
        <v>85</v>
      </c>
      <c r="AP27" s="60">
        <f t="shared" si="2"/>
        <v>6</v>
      </c>
    </row>
    <row r="28" spans="1:42" s="60" customFormat="1" ht="15" customHeight="1" outlineLevel="1">
      <c r="A28" s="59" t="s">
        <v>86</v>
      </c>
      <c r="B28" s="69">
        <v>44603</v>
      </c>
      <c r="C28" s="74">
        <v>0.60624999999999996</v>
      </c>
      <c r="D28" s="62">
        <v>0.62847222222222221</v>
      </c>
      <c r="E28" s="62">
        <v>0.61458333333333337</v>
      </c>
      <c r="F28" s="74">
        <v>0.6118055555555556</v>
      </c>
      <c r="G28" s="62">
        <v>0.6166666666666667</v>
      </c>
      <c r="H28" s="62">
        <v>0.6166666666666667</v>
      </c>
      <c r="I28" s="62">
        <v>0.60833333333333328</v>
      </c>
      <c r="J28" s="62">
        <v>0.61458333333333337</v>
      </c>
      <c r="K28" s="62">
        <v>0.61458333333333337</v>
      </c>
      <c r="L28" s="62">
        <v>0.61736111111111114</v>
      </c>
      <c r="M28" s="62">
        <v>0.62569444444444444</v>
      </c>
      <c r="N28" s="62">
        <v>0.62847222222222221</v>
      </c>
      <c r="O28" s="67">
        <v>2.2407407407407407E-4</v>
      </c>
      <c r="P28" s="60">
        <v>9</v>
      </c>
      <c r="Q28" s="60">
        <v>1</v>
      </c>
      <c r="R28" s="60">
        <v>2</v>
      </c>
      <c r="S28" s="60">
        <v>0</v>
      </c>
      <c r="T28" s="60" t="s">
        <v>38</v>
      </c>
      <c r="U28" s="60" t="s">
        <v>38</v>
      </c>
      <c r="V28" s="60" t="s">
        <v>38</v>
      </c>
      <c r="W28" s="60" t="s">
        <v>38</v>
      </c>
      <c r="X28" s="60" t="s">
        <v>38</v>
      </c>
      <c r="Y28" s="60" t="s">
        <v>38</v>
      </c>
      <c r="Z28" s="60" t="s">
        <v>38</v>
      </c>
      <c r="AA28" s="60" t="s">
        <v>38</v>
      </c>
      <c r="AB28" s="60" t="s">
        <v>38</v>
      </c>
      <c r="AC28" s="60" t="s">
        <v>38</v>
      </c>
      <c r="AD28" s="60" t="s">
        <v>38</v>
      </c>
      <c r="AE28" s="60" t="s">
        <v>38</v>
      </c>
      <c r="AF28" s="60">
        <v>12</v>
      </c>
      <c r="AG28" s="60">
        <v>13</v>
      </c>
      <c r="AH28" s="64">
        <f t="shared" si="3"/>
        <v>25</v>
      </c>
      <c r="AI28" s="60">
        <v>2</v>
      </c>
      <c r="AJ28" s="60">
        <v>1</v>
      </c>
      <c r="AK28" s="64">
        <f>4+7</f>
        <v>11</v>
      </c>
      <c r="AL28" s="60">
        <v>1</v>
      </c>
      <c r="AM28" s="65">
        <f t="shared" si="1"/>
        <v>2.2222222222222254E-2</v>
      </c>
      <c r="AN28" s="66" t="s">
        <v>87</v>
      </c>
      <c r="AP28" s="60">
        <f t="shared" si="2"/>
        <v>6</v>
      </c>
    </row>
    <row r="29" spans="1:42" s="60" customFormat="1" ht="15" customHeight="1">
      <c r="A29" s="59" t="s">
        <v>88</v>
      </c>
      <c r="B29" s="69">
        <v>44613</v>
      </c>
      <c r="C29" s="62">
        <v>0.67986111111111114</v>
      </c>
      <c r="D29" s="62">
        <v>0.70486111111111116</v>
      </c>
      <c r="E29" s="62">
        <v>0.68125000000000002</v>
      </c>
      <c r="F29" s="62">
        <v>0.68055555555555558</v>
      </c>
      <c r="G29" s="74">
        <v>0.68125000000000002</v>
      </c>
      <c r="H29" s="62">
        <v>0.68333333333333335</v>
      </c>
      <c r="I29" s="62">
        <v>0.68472222222222223</v>
      </c>
      <c r="J29" s="62">
        <v>0.68541666666666667</v>
      </c>
      <c r="K29" s="62">
        <v>0.69027777777777777</v>
      </c>
      <c r="L29" s="62">
        <v>0.69097222222222221</v>
      </c>
      <c r="M29" s="62">
        <v>0.69236111111111109</v>
      </c>
      <c r="N29" s="62">
        <v>0.70486111111111116</v>
      </c>
      <c r="O29" s="67">
        <v>2.3877314814814814E-4</v>
      </c>
      <c r="P29" s="60">
        <v>13</v>
      </c>
      <c r="Q29" s="60">
        <v>0</v>
      </c>
      <c r="R29" s="60">
        <v>1</v>
      </c>
      <c r="S29" s="60">
        <v>0</v>
      </c>
      <c r="T29" s="60" t="s">
        <v>38</v>
      </c>
      <c r="U29" s="60" t="s">
        <v>38</v>
      </c>
      <c r="V29" s="60" t="s">
        <v>38</v>
      </c>
      <c r="W29" s="60" t="s">
        <v>38</v>
      </c>
      <c r="X29" s="60" t="s">
        <v>38</v>
      </c>
      <c r="Y29" s="60" t="s">
        <v>38</v>
      </c>
      <c r="Z29" s="60" t="s">
        <v>38</v>
      </c>
      <c r="AA29" s="60" t="s">
        <v>38</v>
      </c>
      <c r="AB29" s="60" t="s">
        <v>38</v>
      </c>
      <c r="AC29" s="60" t="s">
        <v>38</v>
      </c>
      <c r="AD29" s="60" t="s">
        <v>38</v>
      </c>
      <c r="AE29" s="60" t="s">
        <v>38</v>
      </c>
      <c r="AF29" s="60">
        <v>13</v>
      </c>
      <c r="AG29" s="60">
        <v>13</v>
      </c>
      <c r="AH29" s="64">
        <f t="shared" si="3"/>
        <v>26</v>
      </c>
      <c r="AI29" s="60">
        <v>1</v>
      </c>
      <c r="AJ29" s="60">
        <v>3</v>
      </c>
      <c r="AK29" s="60">
        <v>8</v>
      </c>
      <c r="AL29" s="60">
        <v>0</v>
      </c>
      <c r="AM29" s="65">
        <f t="shared" si="1"/>
        <v>2.5000000000000022E-2</v>
      </c>
      <c r="AN29" s="66" t="s">
        <v>89</v>
      </c>
      <c r="AP29" s="60">
        <f t="shared" si="2"/>
        <v>6</v>
      </c>
    </row>
    <row r="30" spans="1:42" ht="15" customHeight="1">
      <c r="AO30" s="123" t="s">
        <v>194</v>
      </c>
      <c r="AP30" s="60">
        <f>COUNTIF(AP4:AP29, 6)</f>
        <v>21</v>
      </c>
    </row>
    <row r="31" spans="1:42" ht="15" customHeight="1">
      <c r="AO31" s="123" t="s">
        <v>195</v>
      </c>
      <c r="AP31" s="60">
        <f>COUNTIF(AP4:AP29, 5)</f>
        <v>1</v>
      </c>
    </row>
    <row r="32" spans="1:42" ht="33.75" customHeight="1">
      <c r="O32" s="18"/>
      <c r="P32" s="87" t="s">
        <v>23</v>
      </c>
      <c r="Q32" s="87" t="s">
        <v>24</v>
      </c>
      <c r="R32" s="87" t="s">
        <v>91</v>
      </c>
      <c r="S32" s="87" t="s">
        <v>92</v>
      </c>
      <c r="AO32" s="123" t="s">
        <v>196</v>
      </c>
      <c r="AP32" s="105">
        <f>COUNTIF(AP4:AP29, 4)</f>
        <v>4</v>
      </c>
    </row>
    <row r="33" spans="15:42" ht="15" customHeight="1">
      <c r="O33" s="86" t="s">
        <v>177</v>
      </c>
      <c r="P33" s="89">
        <f>AVERAGE(P4:P29)</f>
        <v>36.46153846153846</v>
      </c>
      <c r="Q33" s="89">
        <f t="shared" ref="Q33:R33" si="4">AVERAGE(Q4:Q29)</f>
        <v>4.5384615384615383</v>
      </c>
      <c r="R33" s="89">
        <f t="shared" si="4"/>
        <v>10.346153846153847</v>
      </c>
      <c r="S33" s="89">
        <f>AVERAGE(S4:S29)</f>
        <v>2.3199999999999998</v>
      </c>
      <c r="Y33" s="18"/>
      <c r="Z33" s="83" t="s">
        <v>14</v>
      </c>
      <c r="AA33" s="83" t="s">
        <v>15</v>
      </c>
      <c r="AB33" s="84" t="s">
        <v>17</v>
      </c>
      <c r="AC33" s="84" t="s">
        <v>18</v>
      </c>
      <c r="AD33" s="84" t="s">
        <v>20</v>
      </c>
      <c r="AE33" s="84" t="s">
        <v>27</v>
      </c>
      <c r="AO33" s="123" t="s">
        <v>197</v>
      </c>
      <c r="AP33" s="105">
        <f>COUNTIF(AP4:AP29, 3)</f>
        <v>0</v>
      </c>
    </row>
    <row r="34" spans="15:42" ht="15" customHeight="1">
      <c r="O34" s="86" t="s">
        <v>178</v>
      </c>
      <c r="P34" s="18">
        <f>MIN(P4:P29)</f>
        <v>9</v>
      </c>
      <c r="Q34" s="18">
        <f t="shared" ref="Q34:S34" si="5">MIN(Q4:Q29)</f>
        <v>0</v>
      </c>
      <c r="R34" s="18">
        <f t="shared" si="5"/>
        <v>1</v>
      </c>
      <c r="S34" s="18">
        <f t="shared" si="5"/>
        <v>0</v>
      </c>
      <c r="Y34" s="86" t="s">
        <v>175</v>
      </c>
      <c r="Z34" s="18">
        <f>COUNTIF(Z4:Z29,"y")</f>
        <v>26</v>
      </c>
      <c r="AA34" s="18">
        <f>COUNTIF(AA4:AA29,"y")</f>
        <v>26</v>
      </c>
      <c r="AB34" s="18">
        <f>COUNTIF(AB4:AB29,"y")</f>
        <v>26</v>
      </c>
      <c r="AC34" s="18">
        <f t="shared" ref="AC34:AE34" si="6">COUNTIF(AC4:AC29,"y")</f>
        <v>25</v>
      </c>
      <c r="AD34" s="18">
        <f t="shared" si="6"/>
        <v>22</v>
      </c>
      <c r="AE34" s="18">
        <f t="shared" si="6"/>
        <v>22</v>
      </c>
      <c r="AO34" s="123" t="s">
        <v>199</v>
      </c>
      <c r="AP34" s="105">
        <f>COUNTIF(AP4:AP29, 2)</f>
        <v>0</v>
      </c>
    </row>
    <row r="35" spans="15:42" ht="15" customHeight="1">
      <c r="O35" s="86" t="s">
        <v>179</v>
      </c>
      <c r="P35" s="18">
        <f>MAX(P4:P29)</f>
        <v>85</v>
      </c>
      <c r="Q35" s="18">
        <f t="shared" ref="Q35:S35" si="7">MAX(Q4:Q29)</f>
        <v>15</v>
      </c>
      <c r="R35" s="18">
        <f t="shared" si="7"/>
        <v>37</v>
      </c>
      <c r="S35" s="18">
        <f t="shared" si="7"/>
        <v>8</v>
      </c>
      <c r="Y35" s="86" t="s">
        <v>176</v>
      </c>
      <c r="Z35" s="18">
        <f>COUNTIF(Z4:Z29,"n")</f>
        <v>0</v>
      </c>
      <c r="AA35" s="18">
        <f t="shared" ref="AA35:AE35" si="8">COUNTIF(AA4:AA29,"n")</f>
        <v>0</v>
      </c>
      <c r="AB35" s="18">
        <f t="shared" si="8"/>
        <v>0</v>
      </c>
      <c r="AC35" s="18">
        <f t="shared" si="8"/>
        <v>1</v>
      </c>
      <c r="AD35" s="18">
        <f t="shared" si="8"/>
        <v>4</v>
      </c>
      <c r="AE35" s="18">
        <f t="shared" si="8"/>
        <v>4</v>
      </c>
      <c r="AO35" s="123" t="s">
        <v>198</v>
      </c>
      <c r="AP35" s="105">
        <f>COUNTIF(AP4:AP29, 1)</f>
        <v>0</v>
      </c>
    </row>
    <row r="36" spans="15:42" ht="15" customHeight="1">
      <c r="O36" s="86" t="s">
        <v>180</v>
      </c>
      <c r="P36" s="89">
        <f>_xlfn.STDEV.P(P4:P29)</f>
        <v>18.474995095722822</v>
      </c>
      <c r="Q36" s="89">
        <f t="shared" ref="Q36:S36" si="9">_xlfn.STDEV.P(Q4:Q29)</f>
        <v>4.1991827889095941</v>
      </c>
      <c r="R36" s="89">
        <f t="shared" si="9"/>
        <v>8.7042973811450324</v>
      </c>
      <c r="S36" s="89">
        <f t="shared" si="9"/>
        <v>3.029455396601838</v>
      </c>
      <c r="Y36" s="18"/>
      <c r="Z36" s="18"/>
      <c r="AA36" s="18"/>
      <c r="AB36" s="18"/>
      <c r="AC36" s="18"/>
      <c r="AD36" s="18"/>
      <c r="AE36" s="18"/>
      <c r="AO36" s="123" t="s">
        <v>200</v>
      </c>
      <c r="AP36" s="105">
        <f>COUNTIF(AP4:AP29, 0)</f>
        <v>0</v>
      </c>
    </row>
    <row r="38" spans="15:42" ht="15" customHeight="1">
      <c r="S38" s="18"/>
      <c r="T38" s="85" t="s">
        <v>14</v>
      </c>
      <c r="U38" s="85" t="s">
        <v>15</v>
      </c>
      <c r="V38" s="85" t="s">
        <v>17</v>
      </c>
      <c r="W38" s="85" t="s">
        <v>18</v>
      </c>
      <c r="X38" s="85" t="s">
        <v>20</v>
      </c>
      <c r="Y38" s="85" t="s">
        <v>27</v>
      </c>
    </row>
    <row r="39" spans="15:42" ht="15" customHeight="1">
      <c r="S39" s="86" t="s">
        <v>175</v>
      </c>
      <c r="T39" s="18">
        <f>COUNTIF(T4:T29,"y")</f>
        <v>26</v>
      </c>
      <c r="U39" s="18">
        <f t="shared" ref="U39:Y39" si="10">COUNTIF(U4:U29,"y")</f>
        <v>26</v>
      </c>
      <c r="V39" s="18">
        <f t="shared" si="10"/>
        <v>26</v>
      </c>
      <c r="W39" s="18">
        <f t="shared" si="10"/>
        <v>26</v>
      </c>
      <c r="X39" s="18">
        <f t="shared" si="10"/>
        <v>25</v>
      </c>
      <c r="Y39" s="18">
        <f t="shared" si="10"/>
        <v>22</v>
      </c>
    </row>
    <row r="40" spans="15:42" ht="15" customHeight="1">
      <c r="S40" s="86" t="s">
        <v>176</v>
      </c>
      <c r="T40" s="18">
        <f>COUNTIF(T4:T29,"n")</f>
        <v>0</v>
      </c>
      <c r="U40" s="18">
        <f t="shared" ref="U40:Y40" si="11">COUNTIF(U4:U29,"n")</f>
        <v>0</v>
      </c>
      <c r="V40" s="18">
        <f t="shared" si="11"/>
        <v>0</v>
      </c>
      <c r="W40" s="18">
        <f t="shared" si="11"/>
        <v>0</v>
      </c>
      <c r="X40" s="18">
        <f t="shared" si="11"/>
        <v>1</v>
      </c>
      <c r="Y40" s="18">
        <f t="shared" si="11"/>
        <v>4</v>
      </c>
    </row>
    <row r="41" spans="15:42" ht="48" customHeight="1">
      <c r="AE41" s="18"/>
      <c r="AF41" s="87" t="s">
        <v>93</v>
      </c>
      <c r="AG41" s="87" t="s">
        <v>94</v>
      </c>
      <c r="AH41" s="87" t="s">
        <v>30</v>
      </c>
      <c r="AI41" s="87" t="s">
        <v>31</v>
      </c>
      <c r="AJ41" s="87" t="s">
        <v>32</v>
      </c>
      <c r="AK41" s="87" t="s">
        <v>33</v>
      </c>
      <c r="AL41" s="87" t="s">
        <v>34</v>
      </c>
      <c r="AO41" s="18"/>
      <c r="AP41" s="16" t="s">
        <v>35</v>
      </c>
    </row>
    <row r="42" spans="15:42" ht="15" customHeight="1">
      <c r="AE42" s="86" t="s">
        <v>177</v>
      </c>
      <c r="AF42" s="89">
        <f>AVERAGE(AF4:AF29)</f>
        <v>17</v>
      </c>
      <c r="AG42" s="89">
        <f t="shared" ref="AG42:AL42" si="12">AVERAGE(AG4:AG29)</f>
        <v>16.53846153846154</v>
      </c>
      <c r="AH42" s="89">
        <f t="shared" si="12"/>
        <v>33.53846153846154</v>
      </c>
      <c r="AI42" s="89">
        <f t="shared" si="12"/>
        <v>1.7307692307692308</v>
      </c>
      <c r="AJ42" s="89">
        <f t="shared" si="12"/>
        <v>2.6538461538461537</v>
      </c>
      <c r="AK42" s="89">
        <f t="shared" si="12"/>
        <v>16.346153846153847</v>
      </c>
      <c r="AL42" s="89">
        <f t="shared" si="12"/>
        <v>0.23076923076923078</v>
      </c>
      <c r="AO42" s="86" t="s">
        <v>177</v>
      </c>
      <c r="AP42" s="92">
        <f>AVERAGE(AM4:AM29) * 1440</f>
        <v>66.961538461538453</v>
      </c>
    </row>
    <row r="43" spans="15:42" ht="15" customHeight="1">
      <c r="AE43" s="86" t="s">
        <v>178</v>
      </c>
      <c r="AF43" s="91">
        <f>MIN(AF4:AF29)</f>
        <v>11</v>
      </c>
      <c r="AG43" s="91">
        <f t="shared" ref="AG43:AL43" si="13">MIN(AG4:AG29)</f>
        <v>10</v>
      </c>
      <c r="AH43" s="91">
        <f t="shared" si="13"/>
        <v>22</v>
      </c>
      <c r="AI43" s="91">
        <f t="shared" si="13"/>
        <v>0</v>
      </c>
      <c r="AJ43" s="91">
        <f t="shared" si="13"/>
        <v>0</v>
      </c>
      <c r="AK43" s="91">
        <f t="shared" si="13"/>
        <v>8</v>
      </c>
      <c r="AL43" s="91">
        <f t="shared" si="13"/>
        <v>0</v>
      </c>
      <c r="AO43" s="86" t="s">
        <v>178</v>
      </c>
      <c r="AP43" s="88">
        <f>MIN(AM4:AM29) * 1440</f>
        <v>28.00000000000006</v>
      </c>
    </row>
    <row r="44" spans="15:42" ht="15" customHeight="1">
      <c r="AE44" s="86" t="s">
        <v>179</v>
      </c>
      <c r="AF44" s="89">
        <f>MAX(AF4:AF29)</f>
        <v>24</v>
      </c>
      <c r="AG44" s="89">
        <f t="shared" ref="AG44:AL44" si="14">MAX(AG4:AG29)</f>
        <v>22</v>
      </c>
      <c r="AH44" s="89">
        <f t="shared" si="14"/>
        <v>44</v>
      </c>
      <c r="AI44" s="89">
        <f t="shared" si="14"/>
        <v>4</v>
      </c>
      <c r="AJ44" s="89">
        <f t="shared" si="14"/>
        <v>7</v>
      </c>
      <c r="AK44" s="89">
        <f t="shared" si="14"/>
        <v>29</v>
      </c>
      <c r="AL44" s="89">
        <f t="shared" si="14"/>
        <v>2</v>
      </c>
      <c r="AO44" s="86" t="s">
        <v>179</v>
      </c>
      <c r="AP44" s="88">
        <f>MAX(AM4:AM29) * 1440</f>
        <v>105.00000000000011</v>
      </c>
    </row>
    <row r="45" spans="15:42" ht="15" customHeight="1">
      <c r="AE45" s="86" t="s">
        <v>180</v>
      </c>
      <c r="AF45" s="89">
        <f>_xlfn.STDEV.P(AF4:AF29)</f>
        <v>3.3397374378603706</v>
      </c>
      <c r="AG45" s="89">
        <f t="shared" ref="AG45:AL45" si="15">_xlfn.STDEV.P(AG4:AG29)</f>
        <v>3.1529079279875685</v>
      </c>
      <c r="AH45" s="89">
        <f t="shared" si="15"/>
        <v>6.3015917966492907</v>
      </c>
      <c r="AI45" s="89">
        <f t="shared" si="15"/>
        <v>1.0939586656406071</v>
      </c>
      <c r="AJ45" s="89">
        <f t="shared" si="15"/>
        <v>1.7307692307692306</v>
      </c>
      <c r="AK45" s="89">
        <f t="shared" si="15"/>
        <v>4.6735121671320554</v>
      </c>
      <c r="AL45" s="89">
        <f t="shared" si="15"/>
        <v>0.50441834802323082</v>
      </c>
      <c r="AO45" s="86" t="s">
        <v>180</v>
      </c>
      <c r="AP45" s="88">
        <f>_xlfn.STDEV.P(AM4:AM29) * 1440</f>
        <v>26.813430574464</v>
      </c>
    </row>
  </sheetData>
  <mergeCells count="8">
    <mergeCell ref="E1:S1"/>
    <mergeCell ref="T1:AN1"/>
    <mergeCell ref="E2:O2"/>
    <mergeCell ref="P2:S2"/>
    <mergeCell ref="T2:Y2"/>
    <mergeCell ref="Z2:AE2"/>
    <mergeCell ref="AF2:AL2"/>
    <mergeCell ref="AM2:AN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79998168889431442"/>
  </sheetPr>
  <dimension ref="A1:AP45"/>
  <sheetViews>
    <sheetView topLeftCell="H1" workbookViewId="0">
      <selection activeCell="S4" sqref="S4"/>
    </sheetView>
  </sheetViews>
  <sheetFormatPr defaultColWidth="14.36328125" defaultRowHeight="15" customHeight="1" outlineLevelRow="1"/>
  <cols>
    <col min="1" max="38" width="20.81640625" customWidth="1"/>
    <col min="39" max="39" width="11.54296875" customWidth="1"/>
    <col min="40" max="40" width="61.81640625" customWidth="1"/>
    <col min="41" max="41" width="18.36328125" customWidth="1"/>
    <col min="42" max="42" width="16.54296875" customWidth="1"/>
  </cols>
  <sheetData>
    <row r="1" spans="1:42" ht="14.5">
      <c r="A1" s="2"/>
      <c r="B1" s="2"/>
      <c r="C1" s="3"/>
      <c r="D1" s="3"/>
      <c r="E1" s="106" t="s">
        <v>1</v>
      </c>
      <c r="F1" s="107"/>
      <c r="G1" s="107"/>
      <c r="H1" s="107"/>
      <c r="I1" s="107"/>
      <c r="J1" s="107"/>
      <c r="K1" s="107"/>
      <c r="L1" s="107"/>
      <c r="M1" s="107"/>
      <c r="N1" s="107"/>
      <c r="O1" s="107"/>
      <c r="P1" s="107"/>
      <c r="Q1" s="107"/>
      <c r="R1" s="107"/>
      <c r="S1" s="107"/>
      <c r="T1" s="108" t="s">
        <v>2</v>
      </c>
      <c r="U1" s="107"/>
      <c r="V1" s="107"/>
      <c r="W1" s="107"/>
      <c r="X1" s="107"/>
      <c r="Y1" s="107"/>
      <c r="Z1" s="107"/>
      <c r="AA1" s="107"/>
      <c r="AB1" s="107"/>
      <c r="AC1" s="107"/>
      <c r="AD1" s="107"/>
      <c r="AE1" s="107"/>
      <c r="AF1" s="107"/>
      <c r="AG1" s="107"/>
      <c r="AH1" s="107"/>
      <c r="AI1" s="107"/>
      <c r="AJ1" s="107"/>
      <c r="AK1" s="107"/>
      <c r="AL1" s="107"/>
      <c r="AM1" s="107"/>
      <c r="AN1" s="107"/>
    </row>
    <row r="2" spans="1:42" ht="14.5">
      <c r="A2" s="19"/>
      <c r="B2" s="2"/>
      <c r="C2" s="3"/>
      <c r="D2" s="3"/>
      <c r="E2" s="109" t="s">
        <v>3</v>
      </c>
      <c r="F2" s="107"/>
      <c r="G2" s="107"/>
      <c r="H2" s="107"/>
      <c r="I2" s="107"/>
      <c r="J2" s="107"/>
      <c r="K2" s="107"/>
      <c r="L2" s="107"/>
      <c r="M2" s="107"/>
      <c r="N2" s="107"/>
      <c r="O2" s="107"/>
      <c r="P2" s="110" t="s">
        <v>90</v>
      </c>
      <c r="Q2" s="107"/>
      <c r="R2" s="107"/>
      <c r="S2" s="107"/>
      <c r="T2" s="111" t="s">
        <v>5</v>
      </c>
      <c r="U2" s="107"/>
      <c r="V2" s="107"/>
      <c r="W2" s="107"/>
      <c r="X2" s="107"/>
      <c r="Y2" s="107"/>
      <c r="Z2" s="112" t="s">
        <v>6</v>
      </c>
      <c r="AA2" s="107"/>
      <c r="AB2" s="107"/>
      <c r="AC2" s="107"/>
      <c r="AD2" s="107"/>
      <c r="AE2" s="107"/>
      <c r="AF2" s="110" t="s">
        <v>4</v>
      </c>
      <c r="AG2" s="107"/>
      <c r="AH2" s="107"/>
      <c r="AI2" s="107"/>
      <c r="AJ2" s="107"/>
      <c r="AK2" s="107"/>
      <c r="AL2" s="107"/>
      <c r="AM2" s="113" t="s">
        <v>7</v>
      </c>
      <c r="AN2" s="107"/>
    </row>
    <row r="3" spans="1:42" ht="39.75" customHeight="1">
      <c r="A3" s="5" t="s">
        <v>8</v>
      </c>
      <c r="B3" s="6" t="s">
        <v>9</v>
      </c>
      <c r="C3" s="7" t="s">
        <v>10</v>
      </c>
      <c r="D3" s="7" t="s">
        <v>11</v>
      </c>
      <c r="E3" s="8" t="s">
        <v>12</v>
      </c>
      <c r="F3" s="9" t="s">
        <v>13</v>
      </c>
      <c r="G3" s="9" t="s">
        <v>14</v>
      </c>
      <c r="H3" s="9" t="s">
        <v>15</v>
      </c>
      <c r="I3" s="11" t="s">
        <v>16</v>
      </c>
      <c r="J3" s="11" t="s">
        <v>17</v>
      </c>
      <c r="K3" s="11" t="s">
        <v>18</v>
      </c>
      <c r="L3" s="9" t="s">
        <v>19</v>
      </c>
      <c r="M3" s="9" t="s">
        <v>20</v>
      </c>
      <c r="N3" s="8" t="s">
        <v>21</v>
      </c>
      <c r="O3" s="12" t="s">
        <v>22</v>
      </c>
      <c r="P3" s="13" t="s">
        <v>23</v>
      </c>
      <c r="Q3" s="13" t="s">
        <v>24</v>
      </c>
      <c r="R3" s="13" t="s">
        <v>91</v>
      </c>
      <c r="S3" s="13" t="s">
        <v>92</v>
      </c>
      <c r="T3" s="9" t="s">
        <v>14</v>
      </c>
      <c r="U3" s="9" t="s">
        <v>15</v>
      </c>
      <c r="V3" s="9" t="s">
        <v>17</v>
      </c>
      <c r="W3" s="9" t="s">
        <v>18</v>
      </c>
      <c r="X3" s="9" t="s">
        <v>20</v>
      </c>
      <c r="Y3" s="9" t="s">
        <v>27</v>
      </c>
      <c r="Z3" s="20" t="s">
        <v>14</v>
      </c>
      <c r="AA3" s="20" t="s">
        <v>15</v>
      </c>
      <c r="AB3" s="15" t="s">
        <v>17</v>
      </c>
      <c r="AC3" s="15" t="s">
        <v>18</v>
      </c>
      <c r="AD3" s="15" t="s">
        <v>20</v>
      </c>
      <c r="AE3" s="15" t="s">
        <v>27</v>
      </c>
      <c r="AF3" s="13" t="s">
        <v>93</v>
      </c>
      <c r="AG3" s="13" t="s">
        <v>94</v>
      </c>
      <c r="AH3" s="13" t="s">
        <v>30</v>
      </c>
      <c r="AI3" s="13" t="s">
        <v>31</v>
      </c>
      <c r="AJ3" s="13" t="s">
        <v>32</v>
      </c>
      <c r="AK3" s="13" t="s">
        <v>33</v>
      </c>
      <c r="AL3" s="13" t="s">
        <v>34</v>
      </c>
      <c r="AM3" s="16" t="s">
        <v>35</v>
      </c>
      <c r="AN3" s="17" t="s">
        <v>36</v>
      </c>
      <c r="AP3" s="122" t="s">
        <v>203</v>
      </c>
    </row>
    <row r="4" spans="1:42" s="60" customFormat="1" ht="15" customHeight="1" outlineLevel="1">
      <c r="A4" s="59" t="s">
        <v>95</v>
      </c>
      <c r="B4" s="61">
        <v>44448</v>
      </c>
      <c r="C4" s="62">
        <v>0.46250000000000002</v>
      </c>
      <c r="D4" s="62">
        <v>0.53541666666666665</v>
      </c>
      <c r="E4" s="62">
        <v>0.46458333333333335</v>
      </c>
      <c r="F4" s="62">
        <v>0.46388888888888891</v>
      </c>
      <c r="G4" s="62">
        <v>0.48819444444444443</v>
      </c>
      <c r="H4" s="62">
        <v>0.48819444444444443</v>
      </c>
      <c r="I4" s="62">
        <v>0.46250000000000002</v>
      </c>
      <c r="J4" s="62">
        <v>0.47291666666666665</v>
      </c>
      <c r="K4" s="62">
        <v>0.47361111111111109</v>
      </c>
      <c r="L4" s="62">
        <v>0.46319444444444446</v>
      </c>
      <c r="M4" s="62"/>
      <c r="N4" s="62">
        <v>0.53541666666666665</v>
      </c>
      <c r="O4" s="63"/>
      <c r="P4" s="60">
        <v>24</v>
      </c>
      <c r="Q4" s="60">
        <v>9</v>
      </c>
      <c r="R4" s="60">
        <v>11</v>
      </c>
      <c r="S4" s="60">
        <v>7</v>
      </c>
      <c r="T4" s="60" t="s">
        <v>38</v>
      </c>
      <c r="U4" s="60" t="s">
        <v>38</v>
      </c>
      <c r="V4" s="60" t="s">
        <v>38</v>
      </c>
      <c r="W4" s="60" t="s">
        <v>38</v>
      </c>
      <c r="X4" s="60" t="s">
        <v>43</v>
      </c>
      <c r="Y4" s="60" t="s">
        <v>43</v>
      </c>
      <c r="Z4" s="60" t="s">
        <v>38</v>
      </c>
      <c r="AA4" s="60" t="s">
        <v>38</v>
      </c>
      <c r="AB4" s="60" t="s">
        <v>43</v>
      </c>
      <c r="AC4" s="60" t="s">
        <v>43</v>
      </c>
      <c r="AD4" s="60" t="s">
        <v>43</v>
      </c>
      <c r="AE4" s="60" t="s">
        <v>43</v>
      </c>
      <c r="AF4" s="60">
        <v>11</v>
      </c>
      <c r="AG4" s="60">
        <v>11</v>
      </c>
      <c r="AH4" s="64">
        <f t="shared" ref="AH4:AH15" si="0">AF4+AG4</f>
        <v>22</v>
      </c>
      <c r="AI4" s="60">
        <v>0</v>
      </c>
      <c r="AJ4" s="60">
        <v>6</v>
      </c>
      <c r="AK4" s="60">
        <v>8</v>
      </c>
      <c r="AL4" s="60">
        <v>11</v>
      </c>
      <c r="AM4" s="65">
        <f t="shared" ref="AM4:AM29" si="1">D4-C4</f>
        <v>7.291666666666663E-2</v>
      </c>
      <c r="AN4" s="66" t="s">
        <v>96</v>
      </c>
      <c r="AP4" s="60">
        <f>COUNTIF(Z4:AE4,"Y")</f>
        <v>2</v>
      </c>
    </row>
    <row r="5" spans="1:42" s="60" customFormat="1" ht="15" customHeight="1" outlineLevel="1">
      <c r="A5" s="59" t="s">
        <v>97</v>
      </c>
      <c r="B5" s="61">
        <v>44449</v>
      </c>
      <c r="C5" s="62">
        <v>0.72083333333333333</v>
      </c>
      <c r="D5" s="62">
        <v>0.77708333333333335</v>
      </c>
      <c r="E5" s="62">
        <v>0.72361111111111109</v>
      </c>
      <c r="F5" s="62">
        <v>0.72083333333333333</v>
      </c>
      <c r="G5" s="62">
        <v>0.7319444444444444</v>
      </c>
      <c r="H5" s="62">
        <v>0.73472222222222228</v>
      </c>
      <c r="I5" s="62">
        <v>0.72083333333333333</v>
      </c>
      <c r="J5" s="62">
        <v>0.73541666666666672</v>
      </c>
      <c r="K5" s="62">
        <v>0.73541666666666672</v>
      </c>
      <c r="L5" s="62">
        <v>0.72222222222222221</v>
      </c>
      <c r="M5" s="62">
        <v>0.75902777777777775</v>
      </c>
      <c r="N5" s="62">
        <v>0.7729166666666667</v>
      </c>
      <c r="O5" s="67">
        <v>3.9444444444444444E-4</v>
      </c>
      <c r="P5" s="60">
        <v>33</v>
      </c>
      <c r="Q5" s="60">
        <v>12</v>
      </c>
      <c r="R5" s="60">
        <v>12</v>
      </c>
      <c r="S5" s="60">
        <v>1</v>
      </c>
      <c r="T5" s="60" t="s">
        <v>38</v>
      </c>
      <c r="U5" s="60" t="s">
        <v>38</v>
      </c>
      <c r="V5" s="60" t="s">
        <v>38</v>
      </c>
      <c r="W5" s="60" t="s">
        <v>38</v>
      </c>
      <c r="X5" s="60" t="s">
        <v>38</v>
      </c>
      <c r="Y5" s="60" t="s">
        <v>38</v>
      </c>
      <c r="Z5" s="60" t="s">
        <v>38</v>
      </c>
      <c r="AA5" s="60" t="s">
        <v>38</v>
      </c>
      <c r="AB5" s="60" t="s">
        <v>38</v>
      </c>
      <c r="AC5" s="60" t="s">
        <v>38</v>
      </c>
      <c r="AD5" s="60" t="s">
        <v>38</v>
      </c>
      <c r="AE5" s="60" t="s">
        <v>38</v>
      </c>
      <c r="AF5" s="60">
        <v>16</v>
      </c>
      <c r="AG5" s="60">
        <v>16</v>
      </c>
      <c r="AH5" s="64">
        <f t="shared" si="0"/>
        <v>32</v>
      </c>
      <c r="AI5" s="60">
        <v>0</v>
      </c>
      <c r="AJ5" s="60">
        <v>6</v>
      </c>
      <c r="AK5" s="60">
        <v>14</v>
      </c>
      <c r="AL5" s="60">
        <v>3</v>
      </c>
      <c r="AM5" s="65">
        <f t="shared" si="1"/>
        <v>5.6250000000000022E-2</v>
      </c>
      <c r="AN5" s="66" t="s">
        <v>98</v>
      </c>
      <c r="AP5" s="60">
        <f t="shared" ref="AP5:AP29" si="2">COUNTIF(Z5:AE5,"Y")</f>
        <v>6</v>
      </c>
    </row>
    <row r="6" spans="1:42" s="60" customFormat="1" ht="15" customHeight="1" outlineLevel="1">
      <c r="A6" s="59" t="s">
        <v>99</v>
      </c>
      <c r="B6" s="61">
        <v>44466</v>
      </c>
      <c r="C6" s="62">
        <v>0.37430555555555556</v>
      </c>
      <c r="D6" s="62">
        <v>0.44722222222222224</v>
      </c>
      <c r="E6" s="62">
        <v>0.37569444444444444</v>
      </c>
      <c r="F6" s="62">
        <v>0.37569444444444444</v>
      </c>
      <c r="G6" s="62">
        <v>0.41597222222222224</v>
      </c>
      <c r="H6" s="62">
        <v>0.44722222222222224</v>
      </c>
      <c r="I6" s="62">
        <v>0.37430555555555556</v>
      </c>
      <c r="J6" s="68"/>
      <c r="K6" s="62">
        <v>0.44722222222222224</v>
      </c>
      <c r="L6" s="62">
        <v>0.37430555555555556</v>
      </c>
      <c r="M6" s="68"/>
      <c r="N6" s="62">
        <v>0.44722222222222224</v>
      </c>
      <c r="O6" s="63"/>
      <c r="P6" s="60">
        <v>47</v>
      </c>
      <c r="Q6" s="60">
        <v>21</v>
      </c>
      <c r="R6" s="60">
        <v>8</v>
      </c>
      <c r="S6" s="60">
        <v>0</v>
      </c>
      <c r="T6" s="60" t="s">
        <v>38</v>
      </c>
      <c r="U6" s="60" t="s">
        <v>43</v>
      </c>
      <c r="V6" s="60" t="s">
        <v>43</v>
      </c>
      <c r="W6" s="60" t="s">
        <v>43</v>
      </c>
      <c r="X6" s="60" t="s">
        <v>43</v>
      </c>
      <c r="Y6" s="60" t="s">
        <v>43</v>
      </c>
      <c r="Z6" s="60" t="s">
        <v>38</v>
      </c>
      <c r="AA6" s="60" t="s">
        <v>43</v>
      </c>
      <c r="AB6" s="60" t="s">
        <v>43</v>
      </c>
      <c r="AC6" s="60" t="s">
        <v>43</v>
      </c>
      <c r="AD6" s="60" t="s">
        <v>43</v>
      </c>
      <c r="AE6" s="60" t="s">
        <v>43</v>
      </c>
      <c r="AF6" s="60">
        <v>36</v>
      </c>
      <c r="AG6" s="60">
        <v>2</v>
      </c>
      <c r="AH6" s="64">
        <f t="shared" si="0"/>
        <v>38</v>
      </c>
      <c r="AI6" s="60">
        <v>0</v>
      </c>
      <c r="AJ6" s="60">
        <v>1</v>
      </c>
      <c r="AK6" s="60">
        <v>28</v>
      </c>
      <c r="AL6" s="60">
        <v>0</v>
      </c>
      <c r="AM6" s="65">
        <f t="shared" si="1"/>
        <v>7.2916666666666685E-2</v>
      </c>
      <c r="AN6" s="66" t="s">
        <v>100</v>
      </c>
      <c r="AP6" s="60">
        <f t="shared" si="2"/>
        <v>1</v>
      </c>
    </row>
    <row r="7" spans="1:42" s="60" customFormat="1" ht="15" customHeight="1" outlineLevel="1">
      <c r="A7" s="59" t="s">
        <v>101</v>
      </c>
      <c r="B7" s="61">
        <v>44468</v>
      </c>
      <c r="C7" s="62">
        <v>0.65625</v>
      </c>
      <c r="D7" s="62">
        <v>0.72916666666666663</v>
      </c>
      <c r="E7" s="62">
        <v>0.65694444444444444</v>
      </c>
      <c r="F7" s="62">
        <v>0.65694444444444444</v>
      </c>
      <c r="G7" s="62">
        <v>0.68055555555555558</v>
      </c>
      <c r="H7" s="62">
        <v>0.70138888888888884</v>
      </c>
      <c r="I7" s="62">
        <v>0.65833333333333333</v>
      </c>
      <c r="J7" s="62">
        <v>0.69444444444444442</v>
      </c>
      <c r="K7" s="62">
        <v>0.69722222222222219</v>
      </c>
      <c r="L7" s="68"/>
      <c r="M7" s="68"/>
      <c r="N7" s="62">
        <v>0.72916666666666663</v>
      </c>
      <c r="O7" s="63"/>
      <c r="P7" s="60">
        <v>50</v>
      </c>
      <c r="Q7" s="60">
        <v>19</v>
      </c>
      <c r="R7" s="60">
        <v>20</v>
      </c>
      <c r="S7" s="60">
        <v>1</v>
      </c>
      <c r="T7" s="60" t="s">
        <v>38</v>
      </c>
      <c r="U7" s="60" t="s">
        <v>38</v>
      </c>
      <c r="V7" s="60" t="s">
        <v>38</v>
      </c>
      <c r="W7" s="60" t="s">
        <v>38</v>
      </c>
      <c r="X7" s="60" t="s">
        <v>43</v>
      </c>
      <c r="Y7" s="60" t="s">
        <v>43</v>
      </c>
      <c r="Z7" s="60" t="s">
        <v>38</v>
      </c>
      <c r="AA7" s="60" t="s">
        <v>43</v>
      </c>
      <c r="AB7" s="60" t="s">
        <v>38</v>
      </c>
      <c r="AC7" s="60" t="s">
        <v>43</v>
      </c>
      <c r="AD7" s="60" t="s">
        <v>43</v>
      </c>
      <c r="AE7" s="60" t="s">
        <v>43</v>
      </c>
      <c r="AF7" s="60">
        <v>13</v>
      </c>
      <c r="AG7" s="60">
        <v>18</v>
      </c>
      <c r="AH7" s="64">
        <f t="shared" si="0"/>
        <v>31</v>
      </c>
      <c r="AI7" s="60">
        <v>0</v>
      </c>
      <c r="AJ7" s="60">
        <v>1</v>
      </c>
      <c r="AK7" s="60">
        <v>23</v>
      </c>
      <c r="AL7" s="60">
        <v>3</v>
      </c>
      <c r="AM7" s="65">
        <f t="shared" si="1"/>
        <v>7.291666666666663E-2</v>
      </c>
      <c r="AN7" s="66" t="s">
        <v>102</v>
      </c>
      <c r="AP7" s="60">
        <f t="shared" si="2"/>
        <v>2</v>
      </c>
    </row>
    <row r="8" spans="1:42" s="60" customFormat="1" ht="15" customHeight="1" outlineLevel="1">
      <c r="A8" s="59" t="s">
        <v>103</v>
      </c>
      <c r="B8" s="69">
        <v>44480</v>
      </c>
      <c r="C8" s="62">
        <v>0.71111111111111114</v>
      </c>
      <c r="D8" s="62">
        <v>0.78402777777777777</v>
      </c>
      <c r="E8" s="62">
        <v>0.71458333333333335</v>
      </c>
      <c r="F8" s="62">
        <v>0.71250000000000002</v>
      </c>
      <c r="G8" s="62">
        <v>0.71736111111111112</v>
      </c>
      <c r="H8" s="62">
        <v>0.7368055555555556</v>
      </c>
      <c r="I8" s="62">
        <v>0.71319444444444446</v>
      </c>
      <c r="J8" s="62">
        <v>0.71736111111111112</v>
      </c>
      <c r="K8" s="62">
        <v>0.75277777777777777</v>
      </c>
      <c r="L8" s="62">
        <v>0.71319444444444446</v>
      </c>
      <c r="M8" s="62">
        <v>0.76458333333333328</v>
      </c>
      <c r="N8" s="62">
        <v>0.78402777777777777</v>
      </c>
      <c r="O8" s="63"/>
      <c r="P8" s="60">
        <v>22</v>
      </c>
      <c r="Q8" s="60">
        <v>12</v>
      </c>
      <c r="R8" s="60">
        <v>16</v>
      </c>
      <c r="S8" s="60">
        <v>3</v>
      </c>
      <c r="T8" s="60" t="s">
        <v>38</v>
      </c>
      <c r="U8" s="60" t="s">
        <v>38</v>
      </c>
      <c r="V8" s="60" t="s">
        <v>38</v>
      </c>
      <c r="W8" s="60" t="s">
        <v>38</v>
      </c>
      <c r="X8" s="60" t="s">
        <v>38</v>
      </c>
      <c r="Y8" s="60" t="s">
        <v>43</v>
      </c>
      <c r="Z8" s="60" t="s">
        <v>43</v>
      </c>
      <c r="AA8" s="60" t="s">
        <v>43</v>
      </c>
      <c r="AB8" s="60" t="s">
        <v>38</v>
      </c>
      <c r="AC8" s="60" t="s">
        <v>43</v>
      </c>
      <c r="AD8" s="60" t="s">
        <v>43</v>
      </c>
      <c r="AE8" s="60" t="s">
        <v>43</v>
      </c>
      <c r="AF8" s="60">
        <v>28</v>
      </c>
      <c r="AG8" s="60">
        <v>28</v>
      </c>
      <c r="AH8" s="64">
        <f t="shared" si="0"/>
        <v>56</v>
      </c>
      <c r="AI8" s="60">
        <v>0</v>
      </c>
      <c r="AJ8" s="60">
        <v>11</v>
      </c>
      <c r="AK8" s="60">
        <v>33</v>
      </c>
      <c r="AL8" s="60">
        <v>5</v>
      </c>
      <c r="AM8" s="65">
        <f t="shared" si="1"/>
        <v>7.291666666666663E-2</v>
      </c>
      <c r="AN8" s="66" t="s">
        <v>104</v>
      </c>
      <c r="AP8" s="60">
        <f t="shared" si="2"/>
        <v>1</v>
      </c>
    </row>
    <row r="9" spans="1:42" s="60" customFormat="1" ht="15" customHeight="1" outlineLevel="1">
      <c r="A9" s="59" t="s">
        <v>105</v>
      </c>
      <c r="B9" s="69">
        <v>44483</v>
      </c>
      <c r="C9" s="62">
        <v>0.44930555555555557</v>
      </c>
      <c r="D9" s="62">
        <v>0.47361111111111109</v>
      </c>
      <c r="E9" s="62">
        <v>0.45</v>
      </c>
      <c r="F9" s="62">
        <v>0.44930555555555557</v>
      </c>
      <c r="G9" s="62">
        <v>0.45</v>
      </c>
      <c r="H9" s="62">
        <v>0.45277777777777778</v>
      </c>
      <c r="I9" s="62">
        <v>0.45069444444444445</v>
      </c>
      <c r="J9" s="62">
        <v>0.4513888888888889</v>
      </c>
      <c r="K9" s="62">
        <v>0.46319444444444446</v>
      </c>
      <c r="L9" s="62">
        <v>0.46319444444444446</v>
      </c>
      <c r="M9" s="62">
        <v>0.46736111111111112</v>
      </c>
      <c r="N9" s="62">
        <v>0.47361111111111109</v>
      </c>
      <c r="O9" s="67">
        <v>3.8032407407407405E-4</v>
      </c>
      <c r="P9" s="60">
        <v>25</v>
      </c>
      <c r="Q9" s="60">
        <v>6</v>
      </c>
      <c r="R9" s="60">
        <v>7</v>
      </c>
      <c r="S9" s="60">
        <v>0</v>
      </c>
      <c r="T9" s="60" t="s">
        <v>38</v>
      </c>
      <c r="U9" s="60" t="s">
        <v>38</v>
      </c>
      <c r="V9" s="60" t="s">
        <v>38</v>
      </c>
      <c r="W9" s="60" t="s">
        <v>38</v>
      </c>
      <c r="X9" s="60" t="s">
        <v>38</v>
      </c>
      <c r="Y9" s="60" t="s">
        <v>38</v>
      </c>
      <c r="Z9" s="60" t="s">
        <v>38</v>
      </c>
      <c r="AA9" s="60" t="s">
        <v>38</v>
      </c>
      <c r="AB9" s="60" t="s">
        <v>38</v>
      </c>
      <c r="AC9" s="60" t="s">
        <v>38</v>
      </c>
      <c r="AD9" s="60" t="s">
        <v>38</v>
      </c>
      <c r="AE9" s="60" t="s">
        <v>38</v>
      </c>
      <c r="AF9" s="60">
        <v>23</v>
      </c>
      <c r="AG9" s="60">
        <v>24</v>
      </c>
      <c r="AH9" s="64">
        <f t="shared" si="0"/>
        <v>47</v>
      </c>
      <c r="AI9" s="60">
        <v>0</v>
      </c>
      <c r="AJ9" s="60">
        <v>10</v>
      </c>
      <c r="AK9" s="60">
        <v>25</v>
      </c>
      <c r="AL9" s="60">
        <v>0</v>
      </c>
      <c r="AM9" s="65">
        <f t="shared" si="1"/>
        <v>2.4305555555555525E-2</v>
      </c>
      <c r="AN9" s="66" t="s">
        <v>106</v>
      </c>
      <c r="AP9" s="60">
        <f t="shared" si="2"/>
        <v>6</v>
      </c>
    </row>
    <row r="10" spans="1:42" s="60" customFormat="1" ht="15" customHeight="1" outlineLevel="1">
      <c r="A10" s="59" t="s">
        <v>107</v>
      </c>
      <c r="B10" s="69">
        <v>44487</v>
      </c>
      <c r="C10" s="62">
        <v>0.38750000000000001</v>
      </c>
      <c r="D10" s="62">
        <v>0.44791666666666669</v>
      </c>
      <c r="E10" s="62">
        <v>0.38819444444444445</v>
      </c>
      <c r="F10" s="62">
        <v>0.38750000000000001</v>
      </c>
      <c r="G10" s="62">
        <v>0.40277777777777779</v>
      </c>
      <c r="H10" s="62">
        <v>0.40763888888888888</v>
      </c>
      <c r="I10" s="62">
        <v>0.38750000000000001</v>
      </c>
      <c r="J10" s="62">
        <v>0.39791666666666664</v>
      </c>
      <c r="K10" s="62">
        <v>0.41041666666666665</v>
      </c>
      <c r="L10" s="62">
        <v>0.41111111111111109</v>
      </c>
      <c r="M10" s="62">
        <v>0.44583333333333336</v>
      </c>
      <c r="N10" s="62">
        <v>0.44791666666666669</v>
      </c>
      <c r="O10" s="67">
        <v>3.1712962962962961E-4</v>
      </c>
      <c r="P10" s="60">
        <v>46</v>
      </c>
      <c r="Q10" s="60">
        <v>4</v>
      </c>
      <c r="R10" s="60">
        <v>14</v>
      </c>
      <c r="S10" s="60">
        <v>3</v>
      </c>
      <c r="T10" s="60" t="s">
        <v>38</v>
      </c>
      <c r="U10" s="60" t="s">
        <v>38</v>
      </c>
      <c r="V10" s="60" t="s">
        <v>38</v>
      </c>
      <c r="W10" s="60" t="s">
        <v>38</v>
      </c>
      <c r="X10" s="60" t="s">
        <v>38</v>
      </c>
      <c r="Y10" s="60" t="s">
        <v>38</v>
      </c>
      <c r="Z10" s="60" t="s">
        <v>38</v>
      </c>
      <c r="AA10" s="60" t="s">
        <v>38</v>
      </c>
      <c r="AB10" s="60" t="s">
        <v>38</v>
      </c>
      <c r="AC10" s="60" t="s">
        <v>38</v>
      </c>
      <c r="AD10" s="60" t="s">
        <v>38</v>
      </c>
      <c r="AE10" s="60" t="s">
        <v>38</v>
      </c>
      <c r="AF10" s="60">
        <v>22</v>
      </c>
      <c r="AG10" s="60">
        <v>18</v>
      </c>
      <c r="AH10" s="64">
        <f t="shared" si="0"/>
        <v>40</v>
      </c>
      <c r="AI10" s="60">
        <v>0</v>
      </c>
      <c r="AJ10" s="60">
        <v>7</v>
      </c>
      <c r="AK10" s="60">
        <v>20</v>
      </c>
      <c r="AL10" s="60">
        <v>0</v>
      </c>
      <c r="AM10" s="65">
        <f t="shared" si="1"/>
        <v>6.0416666666666674E-2</v>
      </c>
      <c r="AN10" s="66" t="s">
        <v>108</v>
      </c>
      <c r="AP10" s="60">
        <f t="shared" si="2"/>
        <v>6</v>
      </c>
    </row>
    <row r="11" spans="1:42" s="60" customFormat="1" ht="15" customHeight="1" outlineLevel="1">
      <c r="A11" s="59" t="s">
        <v>109</v>
      </c>
      <c r="B11" s="70">
        <v>44489</v>
      </c>
      <c r="C11" s="62">
        <v>0.64444444444444449</v>
      </c>
      <c r="D11" s="62">
        <v>0.70625000000000004</v>
      </c>
      <c r="E11" s="62">
        <v>0.6479166666666667</v>
      </c>
      <c r="F11" s="62">
        <v>0.64444444444444449</v>
      </c>
      <c r="G11" s="62">
        <v>0.65069444444444446</v>
      </c>
      <c r="H11" s="62">
        <v>0.65208333333333335</v>
      </c>
      <c r="I11" s="62">
        <v>0.64722222222222225</v>
      </c>
      <c r="J11" s="62">
        <v>0.6479166666666667</v>
      </c>
      <c r="K11" s="62">
        <v>0.65069444444444446</v>
      </c>
      <c r="L11" s="62">
        <v>0.67013888888888884</v>
      </c>
      <c r="M11" s="62">
        <v>0.6791666666666667</v>
      </c>
      <c r="N11" s="62">
        <v>0.70625000000000004</v>
      </c>
      <c r="O11" s="67">
        <v>4.7777777777777781E-4</v>
      </c>
      <c r="P11" s="60">
        <v>37</v>
      </c>
      <c r="Q11" s="60">
        <v>5</v>
      </c>
      <c r="R11" s="60">
        <v>15</v>
      </c>
      <c r="S11" s="60">
        <v>3</v>
      </c>
      <c r="T11" s="60" t="s">
        <v>38</v>
      </c>
      <c r="U11" s="60" t="s">
        <v>38</v>
      </c>
      <c r="V11" s="60" t="s">
        <v>38</v>
      </c>
      <c r="W11" s="60" t="s">
        <v>38</v>
      </c>
      <c r="X11" s="60" t="s">
        <v>38</v>
      </c>
      <c r="Y11" s="60" t="s">
        <v>38</v>
      </c>
      <c r="Z11" s="60" t="s">
        <v>38</v>
      </c>
      <c r="AA11" s="60" t="s">
        <v>38</v>
      </c>
      <c r="AB11" s="60" t="s">
        <v>38</v>
      </c>
      <c r="AC11" s="60" t="s">
        <v>38</v>
      </c>
      <c r="AD11" s="60" t="s">
        <v>38</v>
      </c>
      <c r="AE11" s="60" t="s">
        <v>38</v>
      </c>
      <c r="AF11" s="60">
        <v>31</v>
      </c>
      <c r="AG11" s="60">
        <v>28</v>
      </c>
      <c r="AH11" s="64">
        <f t="shared" si="0"/>
        <v>59</v>
      </c>
      <c r="AI11" s="60">
        <v>0</v>
      </c>
      <c r="AJ11" s="60">
        <v>14</v>
      </c>
      <c r="AK11" s="60">
        <v>35</v>
      </c>
      <c r="AL11" s="60">
        <v>1</v>
      </c>
      <c r="AM11" s="65">
        <f t="shared" si="1"/>
        <v>6.1805555555555558E-2</v>
      </c>
      <c r="AN11" s="66" t="s">
        <v>110</v>
      </c>
      <c r="AP11" s="60">
        <f t="shared" si="2"/>
        <v>6</v>
      </c>
    </row>
    <row r="12" spans="1:42" s="60" customFormat="1" ht="15" customHeight="1" outlineLevel="1">
      <c r="A12" s="59" t="s">
        <v>111</v>
      </c>
      <c r="B12" s="69">
        <v>44495</v>
      </c>
      <c r="C12" s="62">
        <v>0.72986111111111107</v>
      </c>
      <c r="D12" s="62">
        <v>0.80277777777777781</v>
      </c>
      <c r="E12" s="62">
        <v>0.73263888888888884</v>
      </c>
      <c r="F12" s="62">
        <v>0.72986111111111107</v>
      </c>
      <c r="G12" s="62">
        <v>0.73333333333333328</v>
      </c>
      <c r="H12" s="62">
        <v>0.73819444444444449</v>
      </c>
      <c r="I12" s="71">
        <v>0.73055555555555551</v>
      </c>
      <c r="J12" s="62">
        <v>0.73888888888888893</v>
      </c>
      <c r="K12" s="62">
        <v>0.75138888888888888</v>
      </c>
      <c r="L12" s="62">
        <v>0.74791666666666667</v>
      </c>
      <c r="N12" s="62">
        <v>0.80277777777777781</v>
      </c>
      <c r="P12" s="60">
        <v>38</v>
      </c>
      <c r="Q12" s="60">
        <v>9</v>
      </c>
      <c r="R12" s="60">
        <v>10</v>
      </c>
      <c r="S12" s="60">
        <v>9</v>
      </c>
      <c r="T12" s="60" t="s">
        <v>38</v>
      </c>
      <c r="U12" s="60" t="s">
        <v>38</v>
      </c>
      <c r="V12" s="60" t="s">
        <v>38</v>
      </c>
      <c r="W12" s="60" t="s">
        <v>38</v>
      </c>
      <c r="X12" s="60" t="s">
        <v>43</v>
      </c>
      <c r="Y12" s="60" t="s">
        <v>43</v>
      </c>
      <c r="Z12" s="60" t="s">
        <v>38</v>
      </c>
      <c r="AA12" s="60" t="s">
        <v>38</v>
      </c>
      <c r="AB12" s="60" t="s">
        <v>38</v>
      </c>
      <c r="AC12" s="60" t="s">
        <v>38</v>
      </c>
      <c r="AD12" s="60" t="s">
        <v>43</v>
      </c>
      <c r="AE12" s="60" t="s">
        <v>43</v>
      </c>
      <c r="AF12" s="60">
        <v>14</v>
      </c>
      <c r="AG12" s="60">
        <v>14</v>
      </c>
      <c r="AH12" s="64">
        <f t="shared" si="0"/>
        <v>28</v>
      </c>
      <c r="AI12" s="60">
        <v>0</v>
      </c>
      <c r="AJ12" s="60">
        <v>1</v>
      </c>
      <c r="AK12" s="60">
        <v>13</v>
      </c>
      <c r="AL12" s="60">
        <v>0</v>
      </c>
      <c r="AM12" s="65">
        <f t="shared" si="1"/>
        <v>7.2916666666666741E-2</v>
      </c>
      <c r="AN12" s="66" t="s">
        <v>112</v>
      </c>
      <c r="AP12" s="60">
        <f t="shared" si="2"/>
        <v>4</v>
      </c>
    </row>
    <row r="13" spans="1:42" s="60" customFormat="1" ht="15" customHeight="1" outlineLevel="1">
      <c r="A13" s="59" t="s">
        <v>113</v>
      </c>
      <c r="B13" s="61">
        <v>44503</v>
      </c>
      <c r="C13" s="62">
        <v>0.62916666666666665</v>
      </c>
      <c r="D13" s="62">
        <v>0.70208333333333328</v>
      </c>
      <c r="E13" s="62">
        <v>0.63124999999999998</v>
      </c>
      <c r="F13" s="62">
        <v>0.62986111111111109</v>
      </c>
      <c r="G13" s="62">
        <v>0.62986111111111109</v>
      </c>
      <c r="H13" s="62">
        <v>0.63055555555555554</v>
      </c>
      <c r="I13" s="62">
        <v>0.63124999999999998</v>
      </c>
      <c r="J13" s="62">
        <v>0.69930555555555551</v>
      </c>
      <c r="K13" s="62">
        <v>0.70208333333333328</v>
      </c>
      <c r="L13" s="68"/>
      <c r="M13" s="68"/>
      <c r="N13" s="62">
        <v>0.70208333333333328</v>
      </c>
      <c r="O13" s="63"/>
      <c r="P13" s="60">
        <v>34</v>
      </c>
      <c r="Q13" s="60">
        <v>2</v>
      </c>
      <c r="R13" s="60">
        <v>7</v>
      </c>
      <c r="S13" s="60">
        <v>4</v>
      </c>
      <c r="T13" s="60" t="s">
        <v>38</v>
      </c>
      <c r="U13" s="60" t="s">
        <v>38</v>
      </c>
      <c r="V13" s="60" t="s">
        <v>38</v>
      </c>
      <c r="W13" s="60" t="s">
        <v>38</v>
      </c>
      <c r="X13" s="60" t="s">
        <v>43</v>
      </c>
      <c r="Y13" s="60" t="s">
        <v>43</v>
      </c>
      <c r="Z13" s="60" t="s">
        <v>38</v>
      </c>
      <c r="AA13" s="60" t="s">
        <v>38</v>
      </c>
      <c r="AB13" s="60" t="s">
        <v>38</v>
      </c>
      <c r="AC13" s="60" t="s">
        <v>38</v>
      </c>
      <c r="AD13" s="60" t="s">
        <v>43</v>
      </c>
      <c r="AE13" s="60" t="s">
        <v>43</v>
      </c>
      <c r="AF13" s="60">
        <v>22</v>
      </c>
      <c r="AG13" s="60">
        <v>17</v>
      </c>
      <c r="AH13" s="64">
        <f t="shared" si="0"/>
        <v>39</v>
      </c>
      <c r="AI13" s="60">
        <v>0</v>
      </c>
      <c r="AJ13" s="60">
        <v>8</v>
      </c>
      <c r="AK13" s="60">
        <v>21</v>
      </c>
      <c r="AL13" s="60">
        <v>3</v>
      </c>
      <c r="AM13" s="65">
        <f t="shared" si="1"/>
        <v>7.291666666666663E-2</v>
      </c>
      <c r="AN13" s="66" t="s">
        <v>114</v>
      </c>
      <c r="AP13" s="60">
        <f t="shared" si="2"/>
        <v>4</v>
      </c>
    </row>
    <row r="14" spans="1:42" s="60" customFormat="1" ht="15" customHeight="1" outlineLevel="1">
      <c r="A14" s="59" t="s">
        <v>115</v>
      </c>
      <c r="B14" s="69">
        <v>44509</v>
      </c>
      <c r="C14" s="62">
        <v>0.72222222222222221</v>
      </c>
      <c r="D14" s="62">
        <v>0.79513888888888884</v>
      </c>
      <c r="E14" s="62">
        <v>0.7270833333333333</v>
      </c>
      <c r="F14" s="62">
        <v>0.72430555555555554</v>
      </c>
      <c r="G14" s="62">
        <v>0.74236111111111114</v>
      </c>
      <c r="H14" s="62">
        <v>0.74583333333333335</v>
      </c>
      <c r="I14" s="62">
        <v>0.75624999999999998</v>
      </c>
      <c r="J14" s="62">
        <v>0.75694444444444442</v>
      </c>
      <c r="K14" s="62">
        <v>0.7631944444444444</v>
      </c>
      <c r="L14" s="62">
        <v>0.76388888888888884</v>
      </c>
      <c r="M14" s="68"/>
      <c r="N14" s="62">
        <v>0.79513888888888884</v>
      </c>
      <c r="O14" s="63"/>
      <c r="P14" s="60">
        <v>55</v>
      </c>
      <c r="Q14" s="60">
        <v>9</v>
      </c>
      <c r="R14" s="60">
        <v>24</v>
      </c>
      <c r="S14" s="60">
        <v>0</v>
      </c>
      <c r="T14" s="60" t="s">
        <v>38</v>
      </c>
      <c r="U14" s="60" t="s">
        <v>38</v>
      </c>
      <c r="V14" s="60" t="s">
        <v>38</v>
      </c>
      <c r="W14" s="60" t="s">
        <v>38</v>
      </c>
      <c r="X14" s="60" t="s">
        <v>43</v>
      </c>
      <c r="Y14" s="60" t="s">
        <v>43</v>
      </c>
      <c r="Z14" s="60" t="s">
        <v>38</v>
      </c>
      <c r="AA14" s="60" t="s">
        <v>38</v>
      </c>
      <c r="AB14" s="60" t="s">
        <v>38</v>
      </c>
      <c r="AC14" s="60" t="s">
        <v>38</v>
      </c>
      <c r="AD14" s="60" t="s">
        <v>43</v>
      </c>
      <c r="AE14" s="60" t="s">
        <v>43</v>
      </c>
      <c r="AF14" s="60">
        <v>33</v>
      </c>
      <c r="AG14" s="60">
        <v>24</v>
      </c>
      <c r="AH14" s="64">
        <f t="shared" si="0"/>
        <v>57</v>
      </c>
      <c r="AI14" s="60">
        <v>0</v>
      </c>
      <c r="AJ14" s="60">
        <v>7</v>
      </c>
      <c r="AK14" s="60">
        <v>31</v>
      </c>
      <c r="AL14" s="60">
        <v>2</v>
      </c>
      <c r="AM14" s="65">
        <f t="shared" si="1"/>
        <v>7.291666666666663E-2</v>
      </c>
      <c r="AN14" s="66" t="s">
        <v>116</v>
      </c>
      <c r="AP14" s="60">
        <f t="shared" si="2"/>
        <v>4</v>
      </c>
    </row>
    <row r="15" spans="1:42" s="60" customFormat="1" ht="15" customHeight="1" outlineLevel="1">
      <c r="A15" s="59" t="s">
        <v>117</v>
      </c>
      <c r="B15" s="69">
        <v>44515</v>
      </c>
      <c r="C15" s="62">
        <v>0.70277777777777772</v>
      </c>
      <c r="D15" s="62">
        <v>0.77569444444444446</v>
      </c>
      <c r="E15" s="62">
        <v>0.70625000000000004</v>
      </c>
      <c r="F15" s="62">
        <v>0.70625000000000004</v>
      </c>
      <c r="G15" s="62">
        <v>0.71597222222222223</v>
      </c>
      <c r="H15" s="62">
        <v>0.77569444444444446</v>
      </c>
      <c r="I15" s="62">
        <v>0.70972222222222225</v>
      </c>
      <c r="J15" s="62">
        <v>0.74513888888888891</v>
      </c>
      <c r="K15" s="62">
        <v>0.75694444444444442</v>
      </c>
      <c r="L15" s="62">
        <v>0.72083333333333333</v>
      </c>
      <c r="M15" s="68"/>
      <c r="N15" s="62">
        <v>0.77569444444444446</v>
      </c>
      <c r="O15" s="63"/>
      <c r="P15" s="72">
        <v>54</v>
      </c>
      <c r="Q15" s="72">
        <v>9</v>
      </c>
      <c r="R15" s="72">
        <v>33</v>
      </c>
      <c r="S15" s="60">
        <v>1</v>
      </c>
      <c r="T15" s="60" t="s">
        <v>38</v>
      </c>
      <c r="U15" s="60" t="s">
        <v>43</v>
      </c>
      <c r="V15" s="60" t="s">
        <v>38</v>
      </c>
      <c r="W15" s="60" t="s">
        <v>38</v>
      </c>
      <c r="X15" s="60" t="s">
        <v>43</v>
      </c>
      <c r="Y15" s="60" t="s">
        <v>43</v>
      </c>
      <c r="Z15" s="60" t="s">
        <v>43</v>
      </c>
      <c r="AA15" s="60" t="s">
        <v>43</v>
      </c>
      <c r="AB15" s="60" t="s">
        <v>43</v>
      </c>
      <c r="AC15" s="60" t="s">
        <v>43</v>
      </c>
      <c r="AD15" s="60" t="s">
        <v>43</v>
      </c>
      <c r="AE15" s="60" t="s">
        <v>43</v>
      </c>
      <c r="AF15" s="60">
        <v>7</v>
      </c>
      <c r="AG15" s="60">
        <v>4</v>
      </c>
      <c r="AH15" s="64">
        <f t="shared" si="0"/>
        <v>11</v>
      </c>
      <c r="AI15" s="60">
        <v>0</v>
      </c>
      <c r="AJ15" s="60">
        <v>1</v>
      </c>
      <c r="AK15" s="60">
        <v>8</v>
      </c>
      <c r="AL15" s="60">
        <v>3</v>
      </c>
      <c r="AM15" s="65">
        <f t="shared" si="1"/>
        <v>7.2916666666666741E-2</v>
      </c>
      <c r="AN15" s="73" t="s">
        <v>118</v>
      </c>
      <c r="AP15" s="60">
        <f t="shared" si="2"/>
        <v>0</v>
      </c>
    </row>
    <row r="16" spans="1:42" s="60" customFormat="1" ht="15" customHeight="1" outlineLevel="1">
      <c r="A16" s="59" t="s">
        <v>119</v>
      </c>
      <c r="B16" s="69">
        <v>44518</v>
      </c>
      <c r="C16" s="62">
        <v>0.66249999999999998</v>
      </c>
      <c r="D16" s="62">
        <v>0.73541666666666672</v>
      </c>
      <c r="E16" s="62">
        <v>0.66805555555555551</v>
      </c>
      <c r="F16" s="62">
        <v>0.66249999999999998</v>
      </c>
      <c r="G16" s="62">
        <v>0.68125000000000002</v>
      </c>
      <c r="H16" s="62">
        <v>0.68402777777777779</v>
      </c>
      <c r="I16" s="62">
        <v>0.66388888888888886</v>
      </c>
      <c r="J16" s="74">
        <v>0.68263888888888891</v>
      </c>
      <c r="K16" s="62">
        <v>0.68611111111111112</v>
      </c>
      <c r="L16" s="62">
        <v>0.66666666666666663</v>
      </c>
      <c r="M16" s="62">
        <v>0.69166666666666665</v>
      </c>
      <c r="N16" s="62">
        <v>0.73541666666666672</v>
      </c>
      <c r="O16" s="67">
        <v>2.4062499999999998E-4</v>
      </c>
      <c r="P16" s="60">
        <v>64</v>
      </c>
      <c r="Q16" s="60">
        <v>2</v>
      </c>
      <c r="R16" s="60">
        <v>21</v>
      </c>
      <c r="S16" s="60">
        <v>4</v>
      </c>
      <c r="T16" s="60" t="s">
        <v>38</v>
      </c>
      <c r="U16" s="60" t="s">
        <v>38</v>
      </c>
      <c r="V16" s="60" t="s">
        <v>38</v>
      </c>
      <c r="W16" s="60" t="s">
        <v>38</v>
      </c>
      <c r="X16" s="60" t="s">
        <v>38</v>
      </c>
      <c r="Y16" s="60" t="s">
        <v>38</v>
      </c>
      <c r="Z16" s="60" t="s">
        <v>38</v>
      </c>
      <c r="AA16" s="60" t="s">
        <v>38</v>
      </c>
      <c r="AB16" s="60" t="s">
        <v>38</v>
      </c>
      <c r="AC16" s="60" t="s">
        <v>38</v>
      </c>
      <c r="AD16" s="60" t="s">
        <v>38</v>
      </c>
      <c r="AE16" s="60" t="s">
        <v>38</v>
      </c>
      <c r="AF16" s="60">
        <v>15</v>
      </c>
      <c r="AG16" s="60">
        <v>18</v>
      </c>
      <c r="AH16" s="64">
        <f>AG16+AF16</f>
        <v>33</v>
      </c>
      <c r="AI16" s="60">
        <v>0</v>
      </c>
      <c r="AJ16" s="60">
        <v>5</v>
      </c>
      <c r="AK16" s="60">
        <v>17</v>
      </c>
      <c r="AL16" s="60">
        <v>1</v>
      </c>
      <c r="AM16" s="65">
        <f t="shared" si="1"/>
        <v>7.2916666666666741E-2</v>
      </c>
      <c r="AN16" s="66" t="s">
        <v>120</v>
      </c>
      <c r="AP16" s="60">
        <f t="shared" si="2"/>
        <v>6</v>
      </c>
    </row>
    <row r="17" spans="1:42" s="60" customFormat="1" ht="15" customHeight="1" outlineLevel="1">
      <c r="A17" s="59" t="s">
        <v>121</v>
      </c>
      <c r="B17" s="69">
        <v>41235</v>
      </c>
      <c r="C17" s="62">
        <v>0.73055555555555551</v>
      </c>
      <c r="D17" s="62">
        <v>0.78194444444444444</v>
      </c>
      <c r="E17" s="62">
        <v>0.73124999999999996</v>
      </c>
      <c r="F17" s="62">
        <v>0.73124999999999996</v>
      </c>
      <c r="G17" s="62">
        <v>0.74652777777777779</v>
      </c>
      <c r="H17" s="62">
        <v>0.77638888888888891</v>
      </c>
      <c r="I17" s="62">
        <v>0.73124999999999996</v>
      </c>
      <c r="J17" s="62">
        <v>0.77430555555555558</v>
      </c>
      <c r="K17" s="62">
        <v>0.77916666666666667</v>
      </c>
      <c r="L17" s="62">
        <v>0.78125</v>
      </c>
      <c r="M17" s="62">
        <v>0.78194444444444444</v>
      </c>
      <c r="N17" s="62">
        <v>0.78194444444444444</v>
      </c>
      <c r="O17" s="67">
        <v>4.4247685185185183E-4</v>
      </c>
      <c r="P17" s="60">
        <v>24</v>
      </c>
      <c r="Q17" s="60">
        <v>7</v>
      </c>
      <c r="R17" s="60">
        <v>12</v>
      </c>
      <c r="S17" s="60">
        <v>0</v>
      </c>
      <c r="T17" s="60" t="s">
        <v>38</v>
      </c>
      <c r="U17" s="60" t="s">
        <v>38</v>
      </c>
      <c r="V17" s="60" t="s">
        <v>38</v>
      </c>
      <c r="W17" s="60" t="s">
        <v>38</v>
      </c>
      <c r="X17" s="60" t="s">
        <v>38</v>
      </c>
      <c r="Y17" s="60" t="s">
        <v>38</v>
      </c>
      <c r="Z17" s="60" t="s">
        <v>38</v>
      </c>
      <c r="AA17" s="60" t="s">
        <v>38</v>
      </c>
      <c r="AB17" s="60" t="s">
        <v>38</v>
      </c>
      <c r="AC17" s="60" t="s">
        <v>38</v>
      </c>
      <c r="AD17" s="60" t="s">
        <v>38</v>
      </c>
      <c r="AE17" s="60" t="s">
        <v>38</v>
      </c>
      <c r="AF17" s="60">
        <v>23</v>
      </c>
      <c r="AG17" s="60">
        <v>23</v>
      </c>
      <c r="AH17" s="64">
        <f t="shared" ref="AH17:AH18" si="3">AF17+AG17</f>
        <v>46</v>
      </c>
      <c r="AI17" s="60">
        <v>0</v>
      </c>
      <c r="AJ17" s="60">
        <v>13</v>
      </c>
      <c r="AK17" s="60">
        <v>23</v>
      </c>
      <c r="AL17" s="60">
        <v>0</v>
      </c>
      <c r="AM17" s="65">
        <f t="shared" si="1"/>
        <v>5.1388888888888928E-2</v>
      </c>
      <c r="AN17" s="66"/>
      <c r="AP17" s="60">
        <f t="shared" si="2"/>
        <v>6</v>
      </c>
    </row>
    <row r="18" spans="1:42" s="60" customFormat="1" ht="15" customHeight="1" outlineLevel="1">
      <c r="A18" s="59" t="s">
        <v>122</v>
      </c>
      <c r="B18" s="69">
        <v>44530</v>
      </c>
      <c r="C18" s="62">
        <v>0.72777777777777775</v>
      </c>
      <c r="D18" s="62">
        <v>0.80069444444444449</v>
      </c>
      <c r="E18" s="62">
        <v>0.72986111111111107</v>
      </c>
      <c r="F18" s="62">
        <v>0.72847222222222219</v>
      </c>
      <c r="G18" s="62">
        <v>0.75</v>
      </c>
      <c r="H18" s="62">
        <v>0.80069444444444449</v>
      </c>
      <c r="I18" s="62">
        <v>0.72847222222222219</v>
      </c>
      <c r="J18" s="62">
        <v>0.73472222222222228</v>
      </c>
      <c r="K18" s="62">
        <v>0.80069444444444449</v>
      </c>
      <c r="L18" s="62">
        <v>0.72916666666666663</v>
      </c>
      <c r="M18" s="68"/>
      <c r="N18" s="62">
        <v>0.80069444444444449</v>
      </c>
      <c r="O18" s="63"/>
      <c r="P18" s="60">
        <v>27</v>
      </c>
      <c r="Q18" s="60">
        <v>9</v>
      </c>
      <c r="R18" s="60">
        <v>19</v>
      </c>
      <c r="S18" s="60">
        <v>0</v>
      </c>
      <c r="T18" s="60" t="s">
        <v>38</v>
      </c>
      <c r="U18" s="60" t="s">
        <v>43</v>
      </c>
      <c r="V18" s="60" t="s">
        <v>38</v>
      </c>
      <c r="W18" s="60" t="s">
        <v>43</v>
      </c>
      <c r="X18" s="60" t="s">
        <v>43</v>
      </c>
      <c r="Y18" s="60" t="s">
        <v>43</v>
      </c>
      <c r="Z18" s="60" t="s">
        <v>43</v>
      </c>
      <c r="AA18" s="60" t="s">
        <v>43</v>
      </c>
      <c r="AB18" s="60" t="s">
        <v>43</v>
      </c>
      <c r="AC18" s="60" t="s">
        <v>43</v>
      </c>
      <c r="AD18" s="60" t="s">
        <v>43</v>
      </c>
      <c r="AE18" s="60" t="s">
        <v>43</v>
      </c>
      <c r="AF18" s="60">
        <v>11</v>
      </c>
      <c r="AG18" s="60">
        <v>11</v>
      </c>
      <c r="AH18" s="64">
        <f t="shared" si="3"/>
        <v>22</v>
      </c>
      <c r="AI18" s="60">
        <v>0</v>
      </c>
      <c r="AJ18" s="60">
        <v>12</v>
      </c>
      <c r="AK18" s="60">
        <v>14</v>
      </c>
      <c r="AL18" s="60">
        <v>0</v>
      </c>
      <c r="AM18" s="65">
        <f t="shared" si="1"/>
        <v>7.2916666666666741E-2</v>
      </c>
      <c r="AN18" s="66" t="s">
        <v>123</v>
      </c>
      <c r="AP18" s="60">
        <f t="shared" si="2"/>
        <v>0</v>
      </c>
    </row>
    <row r="19" spans="1:42" s="60" customFormat="1" ht="15" customHeight="1" outlineLevel="1">
      <c r="A19" s="59" t="s">
        <v>124</v>
      </c>
      <c r="B19" s="61">
        <v>44536</v>
      </c>
      <c r="C19" s="62">
        <v>0.37777777777777777</v>
      </c>
      <c r="D19" s="62">
        <v>0.45069444444444445</v>
      </c>
      <c r="E19" s="62">
        <v>0.37777777777777777</v>
      </c>
      <c r="F19" s="62">
        <v>0.37847222222222221</v>
      </c>
      <c r="G19" s="62">
        <v>0.38333333333333336</v>
      </c>
      <c r="H19" s="62">
        <v>0.42777777777777776</v>
      </c>
      <c r="I19" s="62">
        <v>0.38750000000000001</v>
      </c>
      <c r="J19" s="62">
        <v>0.42916666666666664</v>
      </c>
      <c r="K19" s="62">
        <v>0.42916666666666664</v>
      </c>
      <c r="L19" s="62">
        <v>0.4</v>
      </c>
      <c r="M19" s="68"/>
      <c r="N19" s="62">
        <v>0.45069444444444445</v>
      </c>
      <c r="O19" s="63"/>
      <c r="P19" s="60">
        <v>47</v>
      </c>
      <c r="Q19" s="60">
        <v>11</v>
      </c>
      <c r="R19" s="60">
        <v>25</v>
      </c>
      <c r="S19" s="60">
        <v>1</v>
      </c>
      <c r="T19" s="60" t="s">
        <v>38</v>
      </c>
      <c r="U19" s="60" t="s">
        <v>38</v>
      </c>
      <c r="V19" s="60" t="s">
        <v>38</v>
      </c>
      <c r="W19" s="60" t="s">
        <v>38</v>
      </c>
      <c r="X19" s="60" t="s">
        <v>43</v>
      </c>
      <c r="Y19" s="60" t="s">
        <v>43</v>
      </c>
      <c r="Z19" s="60" t="s">
        <v>38</v>
      </c>
      <c r="AA19" s="60" t="s">
        <v>38</v>
      </c>
      <c r="AB19" s="60" t="s">
        <v>38</v>
      </c>
      <c r="AC19" s="60" t="s">
        <v>43</v>
      </c>
      <c r="AD19" s="60" t="s">
        <v>43</v>
      </c>
      <c r="AE19" s="60" t="s">
        <v>43</v>
      </c>
      <c r="AF19" s="60">
        <v>12</v>
      </c>
      <c r="AG19" s="60">
        <v>21</v>
      </c>
      <c r="AH19" s="64">
        <f>AG19+AF19</f>
        <v>33</v>
      </c>
      <c r="AI19" s="60">
        <v>0</v>
      </c>
      <c r="AJ19" s="60">
        <v>0</v>
      </c>
      <c r="AK19" s="60">
        <v>19</v>
      </c>
      <c r="AL19" s="60">
        <v>0</v>
      </c>
      <c r="AM19" s="65">
        <f t="shared" si="1"/>
        <v>7.2916666666666685E-2</v>
      </c>
      <c r="AN19" s="66" t="s">
        <v>125</v>
      </c>
      <c r="AP19" s="60">
        <f t="shared" si="2"/>
        <v>3</v>
      </c>
    </row>
    <row r="20" spans="1:42" s="60" customFormat="1" ht="15" customHeight="1" outlineLevel="1">
      <c r="A20" s="59" t="s">
        <v>126</v>
      </c>
      <c r="B20" s="75">
        <v>44539</v>
      </c>
      <c r="C20" s="62">
        <v>0.42916666666666664</v>
      </c>
      <c r="D20" s="62">
        <v>0.49305555555555558</v>
      </c>
      <c r="E20" s="62">
        <v>0.43333333333333335</v>
      </c>
      <c r="F20" s="62">
        <v>0.43125000000000002</v>
      </c>
      <c r="G20" s="62">
        <v>0.44374999999999998</v>
      </c>
      <c r="H20" s="62">
        <v>0.44930555555555557</v>
      </c>
      <c r="I20" s="62">
        <v>0.43263888888888891</v>
      </c>
      <c r="J20" s="62">
        <v>0.43333333333333335</v>
      </c>
      <c r="K20" s="62">
        <v>0.45347222222222222</v>
      </c>
      <c r="L20" s="62">
        <v>0.45347222222222222</v>
      </c>
      <c r="M20" s="62">
        <v>0.49236111111111114</v>
      </c>
      <c r="N20" s="62">
        <v>0.49305555555555558</v>
      </c>
      <c r="O20" s="76">
        <v>3.3495370370370374E-4</v>
      </c>
      <c r="P20" s="60">
        <v>40</v>
      </c>
      <c r="Q20" s="60">
        <v>2</v>
      </c>
      <c r="R20" s="60">
        <v>15</v>
      </c>
      <c r="S20" s="60">
        <v>1</v>
      </c>
      <c r="T20" s="60" t="s">
        <v>38</v>
      </c>
      <c r="U20" s="60" t="s">
        <v>38</v>
      </c>
      <c r="V20" s="60" t="s">
        <v>38</v>
      </c>
      <c r="W20" s="60" t="s">
        <v>38</v>
      </c>
      <c r="X20" s="60" t="s">
        <v>38</v>
      </c>
      <c r="Y20" s="60" t="s">
        <v>38</v>
      </c>
      <c r="Z20" s="60" t="s">
        <v>38</v>
      </c>
      <c r="AA20" s="60" t="s">
        <v>38</v>
      </c>
      <c r="AB20" s="60" t="s">
        <v>38</v>
      </c>
      <c r="AC20" s="60" t="s">
        <v>38</v>
      </c>
      <c r="AD20" s="60" t="s">
        <v>38</v>
      </c>
      <c r="AE20" s="60" t="s">
        <v>38</v>
      </c>
      <c r="AF20" s="60">
        <v>23</v>
      </c>
      <c r="AG20" s="60">
        <v>23</v>
      </c>
      <c r="AH20" s="64">
        <f t="shared" ref="AH20:AH29" si="4">AF20+AG20</f>
        <v>46</v>
      </c>
      <c r="AI20" s="60">
        <v>0</v>
      </c>
      <c r="AJ20" s="60">
        <v>23</v>
      </c>
      <c r="AK20" s="60">
        <v>23</v>
      </c>
      <c r="AL20" s="60">
        <v>4</v>
      </c>
      <c r="AM20" s="65">
        <f t="shared" si="1"/>
        <v>6.3888888888888939E-2</v>
      </c>
      <c r="AN20" s="66" t="s">
        <v>127</v>
      </c>
      <c r="AP20" s="60">
        <f t="shared" si="2"/>
        <v>6</v>
      </c>
    </row>
    <row r="21" spans="1:42" s="60" customFormat="1" ht="15" customHeight="1" outlineLevel="1">
      <c r="A21" s="59" t="s">
        <v>128</v>
      </c>
      <c r="B21" s="70">
        <v>44544</v>
      </c>
      <c r="C21" s="62">
        <v>0.72499999999999998</v>
      </c>
      <c r="D21" s="62">
        <v>0.77361111111111114</v>
      </c>
      <c r="E21" s="62">
        <v>0.72499999999999998</v>
      </c>
      <c r="F21" s="62">
        <v>0.72499999999999998</v>
      </c>
      <c r="G21" s="62">
        <v>0.7270833333333333</v>
      </c>
      <c r="H21" s="62">
        <v>0.73611111111111116</v>
      </c>
      <c r="I21" s="62">
        <v>0.73263888888888884</v>
      </c>
      <c r="J21" s="62">
        <v>0.74444444444444446</v>
      </c>
      <c r="K21" s="62">
        <v>0.74444444444444446</v>
      </c>
      <c r="L21" s="62">
        <v>0.7368055555555556</v>
      </c>
      <c r="M21" s="62">
        <v>0.74513888888888891</v>
      </c>
      <c r="N21" s="62">
        <v>0.77361111111111114</v>
      </c>
      <c r="O21" s="76">
        <v>3.5393518518518516E-4</v>
      </c>
      <c r="P21" s="60">
        <v>34</v>
      </c>
      <c r="Q21" s="60">
        <v>1</v>
      </c>
      <c r="R21" s="60">
        <v>14</v>
      </c>
      <c r="S21" s="60">
        <v>0</v>
      </c>
      <c r="T21" s="60" t="s">
        <v>38</v>
      </c>
      <c r="U21" s="60" t="s">
        <v>38</v>
      </c>
      <c r="V21" s="60" t="s">
        <v>38</v>
      </c>
      <c r="W21" s="60" t="s">
        <v>38</v>
      </c>
      <c r="X21" s="60" t="s">
        <v>38</v>
      </c>
      <c r="Y21" s="60" t="s">
        <v>38</v>
      </c>
      <c r="Z21" s="60" t="s">
        <v>38</v>
      </c>
      <c r="AA21" s="60" t="s">
        <v>38</v>
      </c>
      <c r="AB21" s="60" t="s">
        <v>38</v>
      </c>
      <c r="AC21" s="60" t="s">
        <v>38</v>
      </c>
      <c r="AD21" s="60" t="s">
        <v>38</v>
      </c>
      <c r="AE21" s="60" t="s">
        <v>38</v>
      </c>
      <c r="AF21" s="60">
        <v>23</v>
      </c>
      <c r="AG21" s="60">
        <v>22</v>
      </c>
      <c r="AH21" s="64">
        <f t="shared" si="4"/>
        <v>45</v>
      </c>
      <c r="AI21" s="60">
        <v>0</v>
      </c>
      <c r="AJ21" s="60">
        <v>15</v>
      </c>
      <c r="AK21" s="60">
        <v>21</v>
      </c>
      <c r="AL21" s="60">
        <v>1</v>
      </c>
      <c r="AM21" s="65">
        <f t="shared" si="1"/>
        <v>4.861111111111116E-2</v>
      </c>
      <c r="AN21" s="66" t="s">
        <v>129</v>
      </c>
      <c r="AP21" s="60">
        <f t="shared" si="2"/>
        <v>6</v>
      </c>
    </row>
    <row r="22" spans="1:42" s="60" customFormat="1" ht="15" customHeight="1" outlineLevel="1">
      <c r="A22" s="59" t="s">
        <v>130</v>
      </c>
      <c r="B22" s="61">
        <v>44203</v>
      </c>
      <c r="C22" s="62">
        <v>0.36805555555555558</v>
      </c>
      <c r="D22" s="62">
        <v>0.4201388888888889</v>
      </c>
      <c r="E22" s="62">
        <v>0.36944444444444446</v>
      </c>
      <c r="F22" s="62">
        <v>0.36875000000000002</v>
      </c>
      <c r="G22" s="62">
        <v>0.38819444444444445</v>
      </c>
      <c r="H22" s="62">
        <v>0.39791666666666664</v>
      </c>
      <c r="I22" s="62">
        <v>0.37361111111111112</v>
      </c>
      <c r="J22" s="62">
        <v>0.37847222222222221</v>
      </c>
      <c r="K22" s="62">
        <v>0.37847222222222221</v>
      </c>
      <c r="L22" s="62">
        <v>0.37430555555555556</v>
      </c>
      <c r="M22" s="62">
        <v>0.40763888888888888</v>
      </c>
      <c r="N22" s="62">
        <v>0.4201388888888889</v>
      </c>
      <c r="O22" s="67">
        <v>6.082175925925926E-4</v>
      </c>
      <c r="P22" s="60">
        <v>24</v>
      </c>
      <c r="Q22" s="60">
        <v>2</v>
      </c>
      <c r="R22" s="60">
        <v>16</v>
      </c>
      <c r="S22" s="60">
        <v>0</v>
      </c>
      <c r="T22" s="60" t="s">
        <v>38</v>
      </c>
      <c r="U22" s="60" t="s">
        <v>38</v>
      </c>
      <c r="V22" s="60" t="s">
        <v>38</v>
      </c>
      <c r="W22" s="60" t="s">
        <v>38</v>
      </c>
      <c r="X22" s="60" t="s">
        <v>38</v>
      </c>
      <c r="Y22" s="60" t="s">
        <v>38</v>
      </c>
      <c r="Z22" s="60" t="s">
        <v>38</v>
      </c>
      <c r="AA22" s="60" t="s">
        <v>38</v>
      </c>
      <c r="AB22" s="60" t="s">
        <v>38</v>
      </c>
      <c r="AC22" s="60" t="s">
        <v>38</v>
      </c>
      <c r="AD22" s="60" t="s">
        <v>38</v>
      </c>
      <c r="AE22" s="60" t="s">
        <v>38</v>
      </c>
      <c r="AF22" s="60">
        <v>106</v>
      </c>
      <c r="AG22" s="60">
        <v>107</v>
      </c>
      <c r="AH22" s="64">
        <f t="shared" si="4"/>
        <v>213</v>
      </c>
      <c r="AI22" s="60">
        <v>0</v>
      </c>
      <c r="AJ22" s="60">
        <v>90</v>
      </c>
      <c r="AK22" s="60">
        <v>106</v>
      </c>
      <c r="AL22" s="60">
        <v>0</v>
      </c>
      <c r="AM22" s="65">
        <f t="shared" si="1"/>
        <v>5.2083333333333315E-2</v>
      </c>
      <c r="AN22" s="66" t="s">
        <v>131</v>
      </c>
      <c r="AP22" s="60">
        <f t="shared" si="2"/>
        <v>6</v>
      </c>
    </row>
    <row r="23" spans="1:42" s="60" customFormat="1" ht="15" customHeight="1" outlineLevel="1">
      <c r="A23" s="59" t="s">
        <v>132</v>
      </c>
      <c r="B23" s="69">
        <v>44574</v>
      </c>
      <c r="C23" s="62">
        <v>0.47916666666666669</v>
      </c>
      <c r="D23" s="62">
        <v>0.51875000000000004</v>
      </c>
      <c r="E23" s="62">
        <v>0.48402777777777778</v>
      </c>
      <c r="F23" s="62">
        <v>0.47916666666666669</v>
      </c>
      <c r="G23" s="62">
        <v>0.49444444444444446</v>
      </c>
      <c r="H23" s="62">
        <v>0.50208333333333333</v>
      </c>
      <c r="I23" s="62">
        <v>0.47916666666666669</v>
      </c>
      <c r="J23" s="62">
        <v>0.49027777777777776</v>
      </c>
      <c r="K23" s="62">
        <v>0.5083333333333333</v>
      </c>
      <c r="L23" s="62">
        <v>0.51041666666666663</v>
      </c>
      <c r="M23" s="62">
        <v>0.51875000000000004</v>
      </c>
      <c r="N23" s="62">
        <v>0.51875000000000004</v>
      </c>
      <c r="O23" s="67">
        <v>3.6724537037037037E-4</v>
      </c>
      <c r="P23" s="60">
        <v>19</v>
      </c>
      <c r="Q23" s="60">
        <v>4</v>
      </c>
      <c r="R23" s="60">
        <v>11</v>
      </c>
      <c r="S23" s="60">
        <v>0</v>
      </c>
      <c r="T23" s="60" t="s">
        <v>38</v>
      </c>
      <c r="U23" s="60" t="s">
        <v>38</v>
      </c>
      <c r="V23" s="60" t="s">
        <v>38</v>
      </c>
      <c r="W23" s="60" t="s">
        <v>38</v>
      </c>
      <c r="X23" s="60" t="s">
        <v>38</v>
      </c>
      <c r="Y23" s="60" t="s">
        <v>38</v>
      </c>
      <c r="Z23" s="60" t="s">
        <v>38</v>
      </c>
      <c r="AA23" s="60" t="s">
        <v>38</v>
      </c>
      <c r="AB23" s="60" t="s">
        <v>38</v>
      </c>
      <c r="AC23" s="60" t="s">
        <v>38</v>
      </c>
      <c r="AD23" s="60" t="s">
        <v>38</v>
      </c>
      <c r="AE23" s="60" t="s">
        <v>38</v>
      </c>
      <c r="AF23" s="60">
        <v>20</v>
      </c>
      <c r="AG23" s="60">
        <v>20</v>
      </c>
      <c r="AH23" s="64">
        <f t="shared" si="4"/>
        <v>40</v>
      </c>
      <c r="AI23" s="60">
        <v>0</v>
      </c>
      <c r="AJ23" s="60">
        <v>14</v>
      </c>
      <c r="AK23" s="60">
        <v>14</v>
      </c>
      <c r="AL23" s="60">
        <v>0</v>
      </c>
      <c r="AM23" s="65">
        <f t="shared" si="1"/>
        <v>3.9583333333333359E-2</v>
      </c>
      <c r="AN23" s="66" t="s">
        <v>133</v>
      </c>
      <c r="AP23" s="60">
        <f t="shared" si="2"/>
        <v>6</v>
      </c>
    </row>
    <row r="24" spans="1:42" s="60" customFormat="1" ht="15" customHeight="1" outlineLevel="1">
      <c r="A24" s="59" t="s">
        <v>134</v>
      </c>
      <c r="B24" s="69">
        <v>44575</v>
      </c>
      <c r="C24" s="62">
        <v>0.36805555555555558</v>
      </c>
      <c r="D24" s="62">
        <v>0.44097222222222221</v>
      </c>
      <c r="E24" s="62">
        <v>0.37986111111111109</v>
      </c>
      <c r="F24" s="62">
        <v>0.36875000000000002</v>
      </c>
      <c r="G24" s="62">
        <v>0.3888888888888889</v>
      </c>
      <c r="H24" s="62">
        <v>0.40277777777777779</v>
      </c>
      <c r="I24" s="62">
        <v>0.36875000000000002</v>
      </c>
      <c r="J24" s="62">
        <v>0.40277777777777779</v>
      </c>
      <c r="K24" s="62">
        <v>0.40347222222222223</v>
      </c>
      <c r="L24" s="62">
        <v>0.38611111111111113</v>
      </c>
      <c r="M24" s="62">
        <v>0.43541666666666667</v>
      </c>
      <c r="N24" s="62">
        <v>0.44097222222222221</v>
      </c>
      <c r="O24" s="63"/>
      <c r="P24" s="60">
        <v>24</v>
      </c>
      <c r="Q24" s="60">
        <v>1</v>
      </c>
      <c r="R24" s="60">
        <v>8</v>
      </c>
      <c r="S24" s="60">
        <v>2</v>
      </c>
      <c r="T24" s="60" t="s">
        <v>38</v>
      </c>
      <c r="U24" s="60" t="s">
        <v>38</v>
      </c>
      <c r="V24" s="60" t="s">
        <v>38</v>
      </c>
      <c r="W24" s="60" t="s">
        <v>38</v>
      </c>
      <c r="X24" s="60" t="s">
        <v>38</v>
      </c>
      <c r="Y24" s="60" t="s">
        <v>43</v>
      </c>
      <c r="Z24" s="60" t="s">
        <v>38</v>
      </c>
      <c r="AA24" s="60" t="s">
        <v>38</v>
      </c>
      <c r="AB24" s="60" t="s">
        <v>38</v>
      </c>
      <c r="AC24" s="60" t="s">
        <v>38</v>
      </c>
      <c r="AD24" s="60" t="s">
        <v>38</v>
      </c>
      <c r="AE24" s="60" t="s">
        <v>43</v>
      </c>
      <c r="AF24" s="60">
        <v>18</v>
      </c>
      <c r="AG24" s="60">
        <v>32</v>
      </c>
      <c r="AH24" s="64">
        <f t="shared" si="4"/>
        <v>50</v>
      </c>
      <c r="AI24" s="60">
        <v>0</v>
      </c>
      <c r="AJ24" s="60">
        <v>1</v>
      </c>
      <c r="AK24" s="60">
        <v>20</v>
      </c>
      <c r="AL24" s="60">
        <v>0</v>
      </c>
      <c r="AM24" s="65">
        <f t="shared" si="1"/>
        <v>7.291666666666663E-2</v>
      </c>
      <c r="AN24" s="66" t="s">
        <v>135</v>
      </c>
      <c r="AP24" s="60">
        <f t="shared" si="2"/>
        <v>5</v>
      </c>
    </row>
    <row r="25" spans="1:42" s="60" customFormat="1" ht="15" customHeight="1" outlineLevel="1">
      <c r="A25" s="59" t="s">
        <v>136</v>
      </c>
      <c r="B25" s="69">
        <v>44588</v>
      </c>
      <c r="C25" s="62">
        <v>0.65138888888888891</v>
      </c>
      <c r="D25" s="62">
        <v>0.72430555555555554</v>
      </c>
      <c r="E25" s="62">
        <v>0.65416666666666667</v>
      </c>
      <c r="F25" s="62">
        <v>0.65208333333333335</v>
      </c>
      <c r="G25" s="62">
        <v>0.65416666666666667</v>
      </c>
      <c r="H25" s="62">
        <v>0.66527777777777775</v>
      </c>
      <c r="I25" s="62">
        <v>0.66597222222222219</v>
      </c>
      <c r="J25" s="62">
        <v>0.66805555555555551</v>
      </c>
      <c r="K25" s="62">
        <v>0.67291666666666672</v>
      </c>
      <c r="L25" s="62">
        <v>0.67569444444444449</v>
      </c>
      <c r="M25" s="62">
        <v>0.67777777777777781</v>
      </c>
      <c r="N25" s="62">
        <v>0.72430555555555554</v>
      </c>
      <c r="O25" s="63"/>
      <c r="P25" s="60">
        <v>45</v>
      </c>
      <c r="Q25" s="60">
        <v>3</v>
      </c>
      <c r="R25" s="60">
        <v>19</v>
      </c>
      <c r="S25" s="60">
        <v>0</v>
      </c>
      <c r="T25" s="60" t="s">
        <v>38</v>
      </c>
      <c r="U25" s="60" t="s">
        <v>38</v>
      </c>
      <c r="V25" s="60" t="s">
        <v>38</v>
      </c>
      <c r="W25" s="60" t="s">
        <v>38</v>
      </c>
      <c r="X25" s="60" t="s">
        <v>38</v>
      </c>
      <c r="Y25" s="60" t="s">
        <v>38</v>
      </c>
      <c r="Z25" s="60" t="s">
        <v>38</v>
      </c>
      <c r="AA25" s="60" t="s">
        <v>38</v>
      </c>
      <c r="AB25" s="60" t="s">
        <v>38</v>
      </c>
      <c r="AC25" s="60" t="s">
        <v>38</v>
      </c>
      <c r="AD25" s="60" t="s">
        <v>38</v>
      </c>
      <c r="AE25" s="60" t="s">
        <v>43</v>
      </c>
      <c r="AF25" s="60">
        <v>19</v>
      </c>
      <c r="AG25" s="60">
        <v>22</v>
      </c>
      <c r="AH25" s="64">
        <f t="shared" si="4"/>
        <v>41</v>
      </c>
      <c r="AI25" s="60">
        <v>0</v>
      </c>
      <c r="AJ25" s="60">
        <v>2</v>
      </c>
      <c r="AK25" s="60">
        <v>27</v>
      </c>
      <c r="AL25" s="60">
        <v>0</v>
      </c>
      <c r="AM25" s="65">
        <f t="shared" si="1"/>
        <v>7.291666666666663E-2</v>
      </c>
      <c r="AN25" s="66" t="s">
        <v>137</v>
      </c>
      <c r="AP25" s="60">
        <f t="shared" si="2"/>
        <v>5</v>
      </c>
    </row>
    <row r="26" spans="1:42" s="60" customFormat="1" ht="15" customHeight="1" outlineLevel="1">
      <c r="A26" s="59" t="s">
        <v>138</v>
      </c>
      <c r="B26" s="69">
        <v>44593</v>
      </c>
      <c r="C26" s="62">
        <v>0.65138888888888891</v>
      </c>
      <c r="D26" s="62">
        <v>0.72430555555555554</v>
      </c>
      <c r="E26" s="62">
        <v>0.65277777777777779</v>
      </c>
      <c r="F26" s="62">
        <v>0.65208333333333335</v>
      </c>
      <c r="G26" s="62">
        <v>0.68472222222222223</v>
      </c>
      <c r="H26" s="62">
        <v>0.68888888888888888</v>
      </c>
      <c r="I26" s="62">
        <v>0.65555555555555556</v>
      </c>
      <c r="J26" s="71">
        <v>0.67638888888888893</v>
      </c>
      <c r="K26" s="62">
        <v>0.69513888888888886</v>
      </c>
      <c r="L26" s="62">
        <v>0.66249999999999998</v>
      </c>
      <c r="M26" s="62">
        <v>0.69791666666666663</v>
      </c>
      <c r="N26" s="62">
        <v>0.72430555555555554</v>
      </c>
      <c r="O26" s="63"/>
      <c r="P26" s="60">
        <v>33</v>
      </c>
      <c r="Q26" s="60">
        <v>6</v>
      </c>
      <c r="R26" s="60">
        <v>15</v>
      </c>
      <c r="S26" s="60">
        <v>0</v>
      </c>
      <c r="T26" s="60" t="s">
        <v>38</v>
      </c>
      <c r="U26" s="60" t="s">
        <v>38</v>
      </c>
      <c r="V26" s="60" t="s">
        <v>38</v>
      </c>
      <c r="W26" s="60" t="s">
        <v>38</v>
      </c>
      <c r="X26" s="60" t="s">
        <v>38</v>
      </c>
      <c r="Y26" s="60" t="s">
        <v>38</v>
      </c>
      <c r="Z26" s="60" t="s">
        <v>38</v>
      </c>
      <c r="AA26" s="60" t="s">
        <v>38</v>
      </c>
      <c r="AB26" s="60" t="s">
        <v>38</v>
      </c>
      <c r="AC26" s="60" t="s">
        <v>38</v>
      </c>
      <c r="AD26" s="60" t="s">
        <v>38</v>
      </c>
      <c r="AE26" s="60" t="s">
        <v>43</v>
      </c>
      <c r="AF26" s="60">
        <v>34</v>
      </c>
      <c r="AG26" s="60">
        <v>34</v>
      </c>
      <c r="AH26" s="64">
        <f t="shared" si="4"/>
        <v>68</v>
      </c>
      <c r="AI26" s="60">
        <v>0</v>
      </c>
      <c r="AJ26" s="60">
        <v>19</v>
      </c>
      <c r="AK26" s="60">
        <v>39</v>
      </c>
      <c r="AL26" s="60">
        <v>1</v>
      </c>
      <c r="AM26" s="65">
        <f t="shared" si="1"/>
        <v>7.291666666666663E-2</v>
      </c>
      <c r="AN26" s="66" t="s">
        <v>139</v>
      </c>
      <c r="AP26" s="60">
        <f t="shared" si="2"/>
        <v>5</v>
      </c>
    </row>
    <row r="27" spans="1:42" s="60" customFormat="1" ht="15" customHeight="1" outlineLevel="1">
      <c r="A27" s="59" t="s">
        <v>140</v>
      </c>
      <c r="B27" s="69">
        <v>44600</v>
      </c>
      <c r="C27" s="62">
        <v>0.65</v>
      </c>
      <c r="D27" s="62">
        <v>0.71180555555555558</v>
      </c>
      <c r="E27" s="62">
        <v>0.65208333333333335</v>
      </c>
      <c r="F27" s="62">
        <v>0.65486111111111112</v>
      </c>
      <c r="G27" s="62">
        <v>0.65902777777777777</v>
      </c>
      <c r="H27" s="62">
        <v>0.66111111111111109</v>
      </c>
      <c r="I27" s="62">
        <v>0.65138888888888891</v>
      </c>
      <c r="J27" s="62">
        <v>0.66180555555555554</v>
      </c>
      <c r="K27" s="62">
        <v>0.67291666666666672</v>
      </c>
      <c r="L27" s="62">
        <v>0.67361111111111116</v>
      </c>
      <c r="M27" s="62">
        <v>0.70625000000000004</v>
      </c>
      <c r="N27" s="62">
        <v>0.71180555555555558</v>
      </c>
      <c r="O27" s="76">
        <v>2.4097222222222223E-4</v>
      </c>
      <c r="P27" s="60">
        <v>51</v>
      </c>
      <c r="Q27" s="60">
        <v>4</v>
      </c>
      <c r="R27" s="60">
        <v>18</v>
      </c>
      <c r="S27" s="60">
        <v>7</v>
      </c>
      <c r="T27" s="60" t="s">
        <v>38</v>
      </c>
      <c r="U27" s="60" t="s">
        <v>38</v>
      </c>
      <c r="V27" s="60" t="s">
        <v>38</v>
      </c>
      <c r="W27" s="60" t="s">
        <v>38</v>
      </c>
      <c r="X27" s="60" t="s">
        <v>38</v>
      </c>
      <c r="Y27" s="60" t="s">
        <v>38</v>
      </c>
      <c r="Z27" s="60" t="s">
        <v>38</v>
      </c>
      <c r="AA27" s="60" t="s">
        <v>38</v>
      </c>
      <c r="AB27" s="60" t="s">
        <v>38</v>
      </c>
      <c r="AC27" s="60" t="s">
        <v>38</v>
      </c>
      <c r="AD27" s="60" t="s">
        <v>38</v>
      </c>
      <c r="AE27" s="60" t="s">
        <v>38</v>
      </c>
      <c r="AF27" s="60">
        <v>21</v>
      </c>
      <c r="AG27" s="60">
        <v>23</v>
      </c>
      <c r="AH27" s="64">
        <f t="shared" si="4"/>
        <v>44</v>
      </c>
      <c r="AI27" s="60">
        <v>0</v>
      </c>
      <c r="AJ27" s="60">
        <v>8</v>
      </c>
      <c r="AK27" s="60">
        <v>25</v>
      </c>
      <c r="AL27" s="60">
        <v>0</v>
      </c>
      <c r="AM27" s="65">
        <f t="shared" si="1"/>
        <v>6.1805555555555558E-2</v>
      </c>
      <c r="AN27" s="66" t="s">
        <v>141</v>
      </c>
      <c r="AP27" s="60">
        <f t="shared" si="2"/>
        <v>6</v>
      </c>
    </row>
    <row r="28" spans="1:42" s="60" customFormat="1" ht="15" customHeight="1" outlineLevel="1">
      <c r="A28" s="59" t="s">
        <v>142</v>
      </c>
      <c r="B28" s="69">
        <v>44600</v>
      </c>
      <c r="C28" s="62">
        <v>0.69374999999999998</v>
      </c>
      <c r="D28" s="62">
        <v>0.75347222222222221</v>
      </c>
      <c r="E28" s="62">
        <v>0.69444444444444442</v>
      </c>
      <c r="F28" s="62">
        <v>0.69444444444444442</v>
      </c>
      <c r="G28" s="62">
        <v>0.7006944444444444</v>
      </c>
      <c r="H28" s="62">
        <v>0.70625000000000004</v>
      </c>
      <c r="I28" s="62">
        <v>0.70763888888888893</v>
      </c>
      <c r="J28" s="62">
        <v>0.70972222222222225</v>
      </c>
      <c r="K28" s="62">
        <v>0.71250000000000002</v>
      </c>
      <c r="L28" s="62">
        <v>0.71597222222222223</v>
      </c>
      <c r="M28" s="62">
        <v>0.71666666666666667</v>
      </c>
      <c r="N28" s="74">
        <v>0.75347222222222221</v>
      </c>
      <c r="O28" s="76">
        <v>2.8344907407407404E-4</v>
      </c>
      <c r="P28" s="60">
        <v>31</v>
      </c>
      <c r="Q28" s="60">
        <v>4</v>
      </c>
      <c r="R28" s="60">
        <v>8</v>
      </c>
      <c r="S28" s="60">
        <v>2</v>
      </c>
      <c r="T28" s="60" t="s">
        <v>38</v>
      </c>
      <c r="U28" s="60" t="s">
        <v>38</v>
      </c>
      <c r="V28" s="60" t="s">
        <v>38</v>
      </c>
      <c r="W28" s="60" t="s">
        <v>38</v>
      </c>
      <c r="X28" s="60" t="s">
        <v>38</v>
      </c>
      <c r="Y28" s="60" t="s">
        <v>38</v>
      </c>
      <c r="Z28" s="60" t="s">
        <v>38</v>
      </c>
      <c r="AA28" s="60" t="s">
        <v>38</v>
      </c>
      <c r="AB28" s="60" t="s">
        <v>38</v>
      </c>
      <c r="AC28" s="60" t="s">
        <v>38</v>
      </c>
      <c r="AD28" s="60" t="s">
        <v>38</v>
      </c>
      <c r="AE28" s="60" t="s">
        <v>38</v>
      </c>
      <c r="AF28" s="60">
        <v>17</v>
      </c>
      <c r="AG28" s="60">
        <v>16</v>
      </c>
      <c r="AH28" s="64">
        <f t="shared" si="4"/>
        <v>33</v>
      </c>
      <c r="AI28" s="60">
        <v>0</v>
      </c>
      <c r="AJ28" s="60">
        <v>6</v>
      </c>
      <c r="AK28" s="60">
        <v>17</v>
      </c>
      <c r="AL28" s="60">
        <v>0</v>
      </c>
      <c r="AM28" s="65">
        <f t="shared" si="1"/>
        <v>5.9722222222222232E-2</v>
      </c>
      <c r="AN28" s="66" t="s">
        <v>143</v>
      </c>
      <c r="AP28" s="60">
        <f t="shared" si="2"/>
        <v>6</v>
      </c>
    </row>
    <row r="29" spans="1:42" s="60" customFormat="1" ht="15" customHeight="1">
      <c r="A29" s="59" t="s">
        <v>144</v>
      </c>
      <c r="B29" s="69">
        <v>44610</v>
      </c>
      <c r="C29" s="62">
        <v>0.50694444444444442</v>
      </c>
      <c r="D29" s="62">
        <v>0.57986111111111116</v>
      </c>
      <c r="E29" s="62">
        <v>0.50902777777777775</v>
      </c>
      <c r="F29" s="62">
        <v>0.50694444444444442</v>
      </c>
      <c r="G29" s="62">
        <v>0.50902777777777775</v>
      </c>
      <c r="H29" s="62">
        <v>0.54722222222222228</v>
      </c>
      <c r="I29" s="62">
        <v>0.50763888888888886</v>
      </c>
      <c r="J29" s="62">
        <v>0.50902777777777775</v>
      </c>
      <c r="K29" s="62">
        <v>0.57708333333333328</v>
      </c>
      <c r="L29" s="62">
        <v>0.51597222222222228</v>
      </c>
      <c r="M29" s="68"/>
      <c r="N29" s="68"/>
      <c r="O29" s="67">
        <v>2.8298611111111108E-4</v>
      </c>
      <c r="P29" s="60">
        <v>32</v>
      </c>
      <c r="Q29" s="60">
        <v>3</v>
      </c>
      <c r="R29" s="60">
        <v>8</v>
      </c>
      <c r="S29" s="60">
        <v>3</v>
      </c>
      <c r="T29" s="60" t="s">
        <v>38</v>
      </c>
      <c r="U29" s="60" t="s">
        <v>38</v>
      </c>
      <c r="V29" s="60" t="s">
        <v>38</v>
      </c>
      <c r="W29" s="60" t="s">
        <v>38</v>
      </c>
      <c r="X29" s="60" t="s">
        <v>43</v>
      </c>
      <c r="Y29" s="60" t="s">
        <v>43</v>
      </c>
      <c r="Z29" s="60" t="s">
        <v>38</v>
      </c>
      <c r="AA29" s="60" t="s">
        <v>38</v>
      </c>
      <c r="AB29" s="60" t="s">
        <v>38</v>
      </c>
      <c r="AC29" s="60" t="s">
        <v>38</v>
      </c>
      <c r="AD29" s="60" t="s">
        <v>43</v>
      </c>
      <c r="AE29" s="60" t="s">
        <v>43</v>
      </c>
      <c r="AF29" s="60">
        <v>8</v>
      </c>
      <c r="AG29" s="60">
        <v>8</v>
      </c>
      <c r="AH29" s="64">
        <f t="shared" si="4"/>
        <v>16</v>
      </c>
      <c r="AI29" s="60">
        <v>0</v>
      </c>
      <c r="AJ29" s="60">
        <v>1</v>
      </c>
      <c r="AK29" s="60">
        <v>8</v>
      </c>
      <c r="AL29" s="60">
        <v>5</v>
      </c>
      <c r="AM29" s="65">
        <f t="shared" si="1"/>
        <v>7.2916666666666741E-2</v>
      </c>
      <c r="AN29" s="66" t="s">
        <v>145</v>
      </c>
      <c r="AP29" s="60">
        <f t="shared" si="2"/>
        <v>4</v>
      </c>
    </row>
    <row r="30" spans="1:42" ht="15" customHeight="1">
      <c r="AO30" s="123" t="s">
        <v>194</v>
      </c>
      <c r="AP30" s="60">
        <f>COUNTIF(AP4:AP29, 6)</f>
        <v>12</v>
      </c>
    </row>
    <row r="31" spans="1:42" ht="15" customHeight="1">
      <c r="AM31" s="65"/>
      <c r="AO31" s="123" t="s">
        <v>195</v>
      </c>
      <c r="AP31" s="60">
        <f>COUNTIF(AP4:AP29, 5)</f>
        <v>3</v>
      </c>
    </row>
    <row r="32" spans="1:42" ht="37.5" customHeight="1">
      <c r="P32" s="87" t="s">
        <v>23</v>
      </c>
      <c r="Q32" s="87" t="s">
        <v>24</v>
      </c>
      <c r="R32" s="87" t="s">
        <v>91</v>
      </c>
      <c r="S32" s="87" t="s">
        <v>92</v>
      </c>
      <c r="AO32" s="123" t="s">
        <v>196</v>
      </c>
      <c r="AP32">
        <f>COUNTIF(AP4:AP29, 4)</f>
        <v>4</v>
      </c>
    </row>
    <row r="33" spans="15:42" ht="15" customHeight="1">
      <c r="O33" s="86" t="s">
        <v>177</v>
      </c>
      <c r="P33" s="89">
        <f t="shared" ref="P33:R33" si="5">AVERAGE(P4:P29)</f>
        <v>36.92307692307692</v>
      </c>
      <c r="Q33" s="89">
        <f t="shared" si="5"/>
        <v>6.7692307692307692</v>
      </c>
      <c r="R33" s="89">
        <f t="shared" si="5"/>
        <v>14.846153846153847</v>
      </c>
      <c r="S33" s="89">
        <f>AVERAGE(S4:S29)</f>
        <v>2</v>
      </c>
      <c r="Z33" s="83" t="s">
        <v>14</v>
      </c>
      <c r="AA33" s="83" t="s">
        <v>15</v>
      </c>
      <c r="AB33" s="84" t="s">
        <v>17</v>
      </c>
      <c r="AC33" s="84" t="s">
        <v>18</v>
      </c>
      <c r="AD33" s="84" t="s">
        <v>20</v>
      </c>
      <c r="AE33" s="84" t="s">
        <v>27</v>
      </c>
      <c r="AO33" s="123" t="s">
        <v>197</v>
      </c>
      <c r="AP33">
        <f>COUNTIF(AP4:AP29, 3)</f>
        <v>1</v>
      </c>
    </row>
    <row r="34" spans="15:42" ht="15" customHeight="1">
      <c r="O34" s="86" t="s">
        <v>178</v>
      </c>
      <c r="P34">
        <f>MIN(P4:P29)</f>
        <v>19</v>
      </c>
      <c r="Q34" s="18">
        <f t="shared" ref="Q34:S34" si="6">MIN(Q4:Q29)</f>
        <v>1</v>
      </c>
      <c r="R34" s="18">
        <f t="shared" si="6"/>
        <v>7</v>
      </c>
      <c r="S34" s="18">
        <f t="shared" si="6"/>
        <v>0</v>
      </c>
      <c r="Y34" s="86" t="s">
        <v>175</v>
      </c>
      <c r="Z34">
        <f>COUNTIF(Z4:Z29,"y")</f>
        <v>23</v>
      </c>
      <c r="AA34" s="18">
        <f>COUNTIF(AA4:AA29,"y")</f>
        <v>21</v>
      </c>
      <c r="AB34" s="18">
        <f>COUNTIF(AB4:AB29,"y")</f>
        <v>22</v>
      </c>
      <c r="AC34" s="18">
        <f t="shared" ref="AC34:AE34" si="7">COUNTIF(AC4:AC29,"y")</f>
        <v>19</v>
      </c>
      <c r="AD34" s="18">
        <f t="shared" si="7"/>
        <v>15</v>
      </c>
      <c r="AE34" s="18">
        <f t="shared" si="7"/>
        <v>12</v>
      </c>
      <c r="AL34" s="21"/>
      <c r="AO34" s="123" t="s">
        <v>199</v>
      </c>
      <c r="AP34">
        <f>COUNTIF(AP4:AP29, 2)</f>
        <v>2</v>
      </c>
    </row>
    <row r="35" spans="15:42" ht="15" customHeight="1">
      <c r="O35" s="86" t="s">
        <v>179</v>
      </c>
      <c r="P35">
        <f>MAX(P4:P29)</f>
        <v>64</v>
      </c>
      <c r="Q35" s="18">
        <f t="shared" ref="Q35:S35" si="8">MAX(Q4:Q29)</f>
        <v>21</v>
      </c>
      <c r="R35" s="18">
        <f t="shared" si="8"/>
        <v>33</v>
      </c>
      <c r="S35" s="18">
        <f t="shared" si="8"/>
        <v>9</v>
      </c>
      <c r="Y35" s="86" t="s">
        <v>176</v>
      </c>
      <c r="Z35">
        <f>COUNTIF(Z4:Z29,"n")</f>
        <v>3</v>
      </c>
      <c r="AA35" s="18">
        <f t="shared" ref="AA35:AE35" si="9">COUNTIF(AA4:AA29,"n")</f>
        <v>5</v>
      </c>
      <c r="AB35" s="18">
        <f t="shared" si="9"/>
        <v>4</v>
      </c>
      <c r="AC35" s="18">
        <f t="shared" si="9"/>
        <v>7</v>
      </c>
      <c r="AD35" s="18">
        <f t="shared" si="9"/>
        <v>11</v>
      </c>
      <c r="AE35" s="18">
        <f t="shared" si="9"/>
        <v>14</v>
      </c>
      <c r="AO35" s="123" t="s">
        <v>198</v>
      </c>
      <c r="AP35">
        <f>COUNTIF(AP4:AP29, 1)</f>
        <v>2</v>
      </c>
    </row>
    <row r="36" spans="15:42" ht="15" customHeight="1">
      <c r="O36" s="86" t="s">
        <v>180</v>
      </c>
      <c r="P36" s="89">
        <f>_xlfn.STDEV.P(P4:P29)</f>
        <v>11.835159733487325</v>
      </c>
      <c r="Q36" s="89">
        <f t="shared" ref="Q36:S36" si="10">_xlfn.STDEV.P(Q4:Q29)</f>
        <v>5.0786710277674043</v>
      </c>
      <c r="R36" s="89">
        <f t="shared" si="10"/>
        <v>6.2307692307692308</v>
      </c>
      <c r="S36" s="89">
        <f t="shared" si="10"/>
        <v>2.4494897427831779</v>
      </c>
      <c r="AO36" s="123" t="s">
        <v>200</v>
      </c>
      <c r="AP36">
        <f>COUNTIF(AP4:AP29, 0)</f>
        <v>2</v>
      </c>
    </row>
    <row r="37" spans="15:42" s="18" customFormat="1" ht="15" customHeight="1">
      <c r="O37"/>
      <c r="P37" s="89"/>
      <c r="Q37" s="89"/>
      <c r="R37" s="89"/>
      <c r="S37" s="89"/>
    </row>
    <row r="38" spans="15:42" ht="15" customHeight="1">
      <c r="T38" s="85" t="s">
        <v>14</v>
      </c>
      <c r="U38" s="85" t="s">
        <v>15</v>
      </c>
      <c r="V38" s="85" t="s">
        <v>17</v>
      </c>
      <c r="W38" s="85" t="s">
        <v>18</v>
      </c>
      <c r="X38" s="85" t="s">
        <v>20</v>
      </c>
      <c r="Y38" s="85" t="s">
        <v>27</v>
      </c>
    </row>
    <row r="39" spans="15:42" ht="15" customHeight="1">
      <c r="S39" s="86" t="s">
        <v>175</v>
      </c>
      <c r="T39">
        <f>COUNTIF(T4:T29,"y")</f>
        <v>26</v>
      </c>
      <c r="U39" s="18">
        <f t="shared" ref="U39:Y39" si="11">COUNTIF(U4:U29,"y")</f>
        <v>23</v>
      </c>
      <c r="V39" s="18">
        <f t="shared" si="11"/>
        <v>25</v>
      </c>
      <c r="W39" s="18">
        <f t="shared" si="11"/>
        <v>24</v>
      </c>
      <c r="X39" s="18">
        <f t="shared" si="11"/>
        <v>16</v>
      </c>
      <c r="Y39" s="18">
        <f t="shared" si="11"/>
        <v>14</v>
      </c>
    </row>
    <row r="40" spans="15:42" ht="15" customHeight="1">
      <c r="S40" s="86" t="s">
        <v>176</v>
      </c>
      <c r="T40">
        <f>COUNTIF(T4:T29,"n")</f>
        <v>0</v>
      </c>
      <c r="U40" s="18">
        <f t="shared" ref="U40:Y40" si="12">COUNTIF(U4:U29,"n")</f>
        <v>3</v>
      </c>
      <c r="V40" s="18">
        <f t="shared" si="12"/>
        <v>1</v>
      </c>
      <c r="W40" s="18">
        <f t="shared" si="12"/>
        <v>2</v>
      </c>
      <c r="X40" s="18">
        <f t="shared" si="12"/>
        <v>10</v>
      </c>
      <c r="Y40" s="18">
        <f t="shared" si="12"/>
        <v>12</v>
      </c>
    </row>
    <row r="41" spans="15:42" ht="41.25" customHeight="1">
      <c r="AF41" s="87" t="s">
        <v>93</v>
      </c>
      <c r="AG41" s="87" t="s">
        <v>94</v>
      </c>
      <c r="AH41" s="87" t="s">
        <v>30</v>
      </c>
      <c r="AI41" s="87" t="s">
        <v>31</v>
      </c>
      <c r="AJ41" s="87" t="s">
        <v>32</v>
      </c>
      <c r="AK41" s="87" t="s">
        <v>33</v>
      </c>
      <c r="AL41" s="87" t="s">
        <v>34</v>
      </c>
      <c r="AP41" s="16" t="s">
        <v>35</v>
      </c>
    </row>
    <row r="42" spans="15:42" ht="15" customHeight="1">
      <c r="AE42" s="86" t="s">
        <v>177</v>
      </c>
      <c r="AF42" s="88">
        <f>AVERAGE(AF4:AF29)</f>
        <v>23.307692307692307</v>
      </c>
      <c r="AG42" s="88">
        <f t="shared" ref="AG42:AL42" si="13">AVERAGE(AG4:AG29)</f>
        <v>22.46153846153846</v>
      </c>
      <c r="AH42" s="88">
        <f t="shared" si="13"/>
        <v>45.769230769230766</v>
      </c>
      <c r="AI42" s="88">
        <f t="shared" si="13"/>
        <v>0</v>
      </c>
      <c r="AJ42" s="88">
        <f t="shared" si="13"/>
        <v>10.846153846153847</v>
      </c>
      <c r="AK42" s="88">
        <f t="shared" si="13"/>
        <v>24.307692307692307</v>
      </c>
      <c r="AL42" s="88">
        <f t="shared" si="13"/>
        <v>1.6538461538461537</v>
      </c>
      <c r="AO42" s="86" t="s">
        <v>177</v>
      </c>
      <c r="AP42" s="92">
        <f>AVERAGE(AM4:AM29) * 1440</f>
        <v>92.692307692307679</v>
      </c>
    </row>
    <row r="43" spans="15:42" ht="15" customHeight="1">
      <c r="AE43" s="86" t="s">
        <v>178</v>
      </c>
      <c r="AF43" s="90">
        <f>MIN(AF4:AF29)</f>
        <v>7</v>
      </c>
      <c r="AG43" s="90">
        <f t="shared" ref="AG43:AL43" si="14">MIN(AG4:AG29)</f>
        <v>2</v>
      </c>
      <c r="AH43" s="90">
        <f t="shared" si="14"/>
        <v>11</v>
      </c>
      <c r="AI43" s="90">
        <f t="shared" si="14"/>
        <v>0</v>
      </c>
      <c r="AJ43" s="90">
        <f t="shared" si="14"/>
        <v>0</v>
      </c>
      <c r="AK43" s="90">
        <f t="shared" si="14"/>
        <v>8</v>
      </c>
      <c r="AL43" s="90">
        <f t="shared" si="14"/>
        <v>0</v>
      </c>
      <c r="AO43" s="86" t="s">
        <v>178</v>
      </c>
      <c r="AP43" s="88">
        <f>MIN(AM4:AM29) * 1440</f>
        <v>34.999999999999957</v>
      </c>
    </row>
    <row r="44" spans="15:42" ht="15" customHeight="1">
      <c r="AE44" s="86" t="s">
        <v>179</v>
      </c>
      <c r="AF44" s="88">
        <f>MAX(AF4:AF29)</f>
        <v>106</v>
      </c>
      <c r="AG44" s="88">
        <f t="shared" ref="AG44:AL44" si="15">MAX(AG4:AG29)</f>
        <v>107</v>
      </c>
      <c r="AH44" s="88">
        <f t="shared" si="15"/>
        <v>213</v>
      </c>
      <c r="AI44" s="88">
        <f t="shared" si="15"/>
        <v>0</v>
      </c>
      <c r="AJ44" s="88">
        <f t="shared" si="15"/>
        <v>90</v>
      </c>
      <c r="AK44" s="88">
        <f t="shared" si="15"/>
        <v>106</v>
      </c>
      <c r="AL44" s="88">
        <f t="shared" si="15"/>
        <v>11</v>
      </c>
      <c r="AO44" s="86" t="s">
        <v>179</v>
      </c>
      <c r="AP44" s="88">
        <f>MAX(AM4:AM29) * 1440</f>
        <v>105.00000000000011</v>
      </c>
    </row>
    <row r="45" spans="15:42" ht="15" customHeight="1">
      <c r="AE45" s="86" t="s">
        <v>180</v>
      </c>
      <c r="AF45" s="88">
        <f>_xlfn.STDEV.P(AF4:AF29)</f>
        <v>18.230931515019343</v>
      </c>
      <c r="AG45" s="88">
        <f t="shared" ref="AG45:AL45" si="16">_xlfn.STDEV.P(AG4:AG29)</f>
        <v>18.524891298821057</v>
      </c>
      <c r="AH45" s="88">
        <f t="shared" si="16"/>
        <v>35.907260560320466</v>
      </c>
      <c r="AI45" s="88">
        <f t="shared" si="16"/>
        <v>0</v>
      </c>
      <c r="AJ45" s="88">
        <f t="shared" si="16"/>
        <v>16.929019935493354</v>
      </c>
      <c r="AK45" s="88">
        <f t="shared" si="16"/>
        <v>18.175996916409439</v>
      </c>
      <c r="AL45" s="88">
        <f t="shared" si="16"/>
        <v>2.4798000492022876</v>
      </c>
      <c r="AO45" s="86" t="s">
        <v>180</v>
      </c>
      <c r="AP45" s="88">
        <f>_xlfn.STDEV.P(AM4:AM29) * 1440</f>
        <v>17.86007414656271</v>
      </c>
    </row>
  </sheetData>
  <mergeCells count="8">
    <mergeCell ref="E1:S1"/>
    <mergeCell ref="T1:AN1"/>
    <mergeCell ref="E2:O2"/>
    <mergeCell ref="P2:S2"/>
    <mergeCell ref="T2:Y2"/>
    <mergeCell ref="Z2:AE2"/>
    <mergeCell ref="AF2:AL2"/>
    <mergeCell ref="AM2:AN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5577A-CBE1-4F77-992F-738935A50D96}">
  <sheetPr>
    <tabColor theme="5"/>
  </sheetPr>
  <dimension ref="B2:P105"/>
  <sheetViews>
    <sheetView tabSelected="1" workbookViewId="0">
      <selection activeCell="C15" sqref="C15"/>
    </sheetView>
  </sheetViews>
  <sheetFormatPr defaultRowHeight="14.5"/>
  <cols>
    <col min="2" max="2" width="17.6328125" style="99" customWidth="1"/>
    <col min="3" max="3" width="17.6328125" customWidth="1"/>
    <col min="4" max="4" width="17.6328125" style="99" customWidth="1"/>
    <col min="5" max="5" width="17.6328125" customWidth="1"/>
    <col min="6" max="6" width="17.6328125" style="99" customWidth="1"/>
    <col min="7" max="12" width="17.6328125" customWidth="1"/>
    <col min="13" max="14" width="17.6328125" style="99" customWidth="1"/>
    <col min="15" max="16" width="17.6328125" customWidth="1"/>
  </cols>
  <sheetData>
    <row r="2" spans="2:16" ht="39.75" customHeight="1">
      <c r="B2" s="117" t="s">
        <v>24</v>
      </c>
      <c r="C2" s="117"/>
      <c r="D2" s="117" t="s">
        <v>211</v>
      </c>
      <c r="E2" s="117"/>
      <c r="F2" s="118" t="s">
        <v>212</v>
      </c>
      <c r="G2" s="118"/>
      <c r="H2" s="119" t="s">
        <v>23</v>
      </c>
      <c r="I2" s="119"/>
      <c r="M2"/>
      <c r="N2"/>
    </row>
    <row r="3" spans="2:16">
      <c r="B3" s="124" t="s">
        <v>153</v>
      </c>
      <c r="C3" s="124" t="s">
        <v>156</v>
      </c>
      <c r="D3" s="124" t="s">
        <v>153</v>
      </c>
      <c r="E3" s="124" t="s">
        <v>156</v>
      </c>
      <c r="F3" s="124" t="s">
        <v>153</v>
      </c>
      <c r="G3" s="124" t="s">
        <v>156</v>
      </c>
      <c r="H3" s="124" t="s">
        <v>153</v>
      </c>
      <c r="I3" s="124" t="s">
        <v>156</v>
      </c>
      <c r="M3"/>
      <c r="N3"/>
    </row>
    <row r="4" spans="2:16">
      <c r="B4" s="82">
        <f>'Duplo (Raw)'!Q4</f>
        <v>10</v>
      </c>
      <c r="C4" s="82">
        <f>'RSOY (Raw)'!Q4</f>
        <v>9</v>
      </c>
      <c r="D4" s="82">
        <f>'Duplo (Raw)'!R4</f>
        <v>9</v>
      </c>
      <c r="E4" s="82">
        <f>'RSOY (Raw)'!R4</f>
        <v>11</v>
      </c>
      <c r="F4" s="82">
        <f>'Duplo (Raw)'!S4</f>
        <v>5</v>
      </c>
      <c r="G4" s="82">
        <f>'RSOY (Raw)'!S4</f>
        <v>7</v>
      </c>
      <c r="H4" s="60">
        <f>'Duplo (Raw)'!P4</f>
        <v>64</v>
      </c>
      <c r="I4" s="60">
        <f>'RSOY (Raw)'!P4</f>
        <v>24</v>
      </c>
      <c r="M4"/>
      <c r="N4"/>
    </row>
    <row r="5" spans="2:16">
      <c r="B5" s="82">
        <f>'Duplo (Raw)'!Q5</f>
        <v>4</v>
      </c>
      <c r="C5" s="82">
        <f>'RSOY (Raw)'!Q5</f>
        <v>12</v>
      </c>
      <c r="D5" s="82">
        <f>'Duplo (Raw)'!R5</f>
        <v>10</v>
      </c>
      <c r="E5" s="82">
        <f>'RSOY (Raw)'!R5</f>
        <v>12</v>
      </c>
      <c r="F5" s="82">
        <f>'Duplo (Raw)'!S5</f>
        <v>1</v>
      </c>
      <c r="G5" s="82">
        <f>'RSOY (Raw)'!S5</f>
        <v>1</v>
      </c>
      <c r="H5" s="60">
        <f>'Duplo (Raw)'!P5</f>
        <v>36</v>
      </c>
      <c r="I5" s="60">
        <f>'RSOY (Raw)'!P5</f>
        <v>33</v>
      </c>
      <c r="M5"/>
      <c r="N5"/>
      <c r="O5" s="21"/>
      <c r="P5" s="21"/>
    </row>
    <row r="6" spans="2:16">
      <c r="B6" s="82">
        <f>'Duplo (Raw)'!Q6</f>
        <v>14</v>
      </c>
      <c r="C6" s="82">
        <f>'RSOY (Raw)'!Q6</f>
        <v>21</v>
      </c>
      <c r="D6" s="82">
        <f>'Duplo (Raw)'!R6</f>
        <v>27</v>
      </c>
      <c r="E6" s="82">
        <f>'RSOY (Raw)'!R6</f>
        <v>8</v>
      </c>
      <c r="F6" s="82">
        <f>'Duplo (Raw)'!S6</f>
        <v>6</v>
      </c>
      <c r="G6" s="82">
        <f>'RSOY (Raw)'!S6</f>
        <v>0</v>
      </c>
      <c r="H6" s="60">
        <f>'Duplo (Raw)'!P6</f>
        <v>53</v>
      </c>
      <c r="I6" s="60">
        <f>'RSOY (Raw)'!P6</f>
        <v>47</v>
      </c>
      <c r="M6"/>
      <c r="N6"/>
      <c r="O6" s="21"/>
      <c r="P6" s="21"/>
    </row>
    <row r="7" spans="2:16">
      <c r="B7" s="82">
        <f>'Duplo (Raw)'!Q7</f>
        <v>4</v>
      </c>
      <c r="C7" s="82">
        <f>'RSOY (Raw)'!Q7</f>
        <v>19</v>
      </c>
      <c r="D7" s="82">
        <f>'Duplo (Raw)'!R7</f>
        <v>1</v>
      </c>
      <c r="E7" s="82">
        <f>'RSOY (Raw)'!R7</f>
        <v>20</v>
      </c>
      <c r="F7" s="82">
        <f>'Duplo (Raw)'!S7</f>
        <v>0</v>
      </c>
      <c r="G7" s="82">
        <f>'RSOY (Raw)'!S7</f>
        <v>1</v>
      </c>
      <c r="H7" s="60">
        <f>'Duplo (Raw)'!P7</f>
        <v>29</v>
      </c>
      <c r="I7" s="60">
        <f>'RSOY (Raw)'!P7</f>
        <v>50</v>
      </c>
      <c r="M7"/>
      <c r="N7"/>
      <c r="O7" s="21"/>
      <c r="P7" s="21"/>
    </row>
    <row r="8" spans="2:16">
      <c r="B8" s="82">
        <f>'Duplo (Raw)'!Q8</f>
        <v>2</v>
      </c>
      <c r="C8" s="82">
        <f>'RSOY (Raw)'!Q8</f>
        <v>12</v>
      </c>
      <c r="D8" s="82">
        <f>'Duplo (Raw)'!R8</f>
        <v>8</v>
      </c>
      <c r="E8" s="82">
        <f>'RSOY (Raw)'!R8</f>
        <v>16</v>
      </c>
      <c r="F8" s="82">
        <f>'Duplo (Raw)'!S8</f>
        <v>0</v>
      </c>
      <c r="G8" s="82">
        <f>'RSOY (Raw)'!S8</f>
        <v>3</v>
      </c>
      <c r="H8" s="60">
        <f>'Duplo (Raw)'!P8</f>
        <v>23</v>
      </c>
      <c r="I8" s="60">
        <f>'RSOY (Raw)'!P8</f>
        <v>22</v>
      </c>
      <c r="M8"/>
      <c r="N8"/>
      <c r="O8" s="21"/>
      <c r="P8" s="21"/>
    </row>
    <row r="9" spans="2:16">
      <c r="B9" s="82">
        <f>'Duplo (Raw)'!Q9</f>
        <v>8</v>
      </c>
      <c r="C9" s="82">
        <f>'RSOY (Raw)'!Q9</f>
        <v>6</v>
      </c>
      <c r="D9" s="82">
        <f>'Duplo (Raw)'!R9</f>
        <v>21</v>
      </c>
      <c r="E9" s="82">
        <f>'RSOY (Raw)'!R9</f>
        <v>7</v>
      </c>
      <c r="F9" s="82">
        <f>'Duplo (Raw)'!S9</f>
        <v>7</v>
      </c>
      <c r="G9" s="82">
        <f>'RSOY (Raw)'!S9</f>
        <v>0</v>
      </c>
      <c r="H9" s="60">
        <f>'Duplo (Raw)'!P9</f>
        <v>66</v>
      </c>
      <c r="I9" s="60">
        <f>'RSOY (Raw)'!P9</f>
        <v>25</v>
      </c>
      <c r="M9"/>
      <c r="N9"/>
      <c r="O9" s="21"/>
      <c r="P9" s="21"/>
    </row>
    <row r="10" spans="2:16">
      <c r="B10" s="82">
        <f>'Duplo (Raw)'!Q10</f>
        <v>6</v>
      </c>
      <c r="C10" s="82">
        <f>'RSOY (Raw)'!Q10</f>
        <v>4</v>
      </c>
      <c r="D10" s="82">
        <f>'Duplo (Raw)'!R10</f>
        <v>6</v>
      </c>
      <c r="E10" s="82">
        <f>'RSOY (Raw)'!R10</f>
        <v>14</v>
      </c>
      <c r="F10" s="82">
        <f>'Duplo (Raw)'!S10</f>
        <v>0</v>
      </c>
      <c r="G10" s="82">
        <f>'RSOY (Raw)'!S10</f>
        <v>3</v>
      </c>
      <c r="H10" s="60">
        <f>'Duplo (Raw)'!P10</f>
        <v>34</v>
      </c>
      <c r="I10" s="60">
        <f>'RSOY (Raw)'!P10</f>
        <v>46</v>
      </c>
      <c r="M10"/>
      <c r="N10"/>
      <c r="O10" s="21"/>
      <c r="P10" s="21"/>
    </row>
    <row r="11" spans="2:16">
      <c r="B11" s="82">
        <f>'Duplo (Raw)'!Q11</f>
        <v>6</v>
      </c>
      <c r="C11" s="82">
        <f>'RSOY (Raw)'!Q11</f>
        <v>5</v>
      </c>
      <c r="D11" s="82">
        <f>'Duplo (Raw)'!R11</f>
        <v>17</v>
      </c>
      <c r="E11" s="82">
        <f>'RSOY (Raw)'!R11</f>
        <v>15</v>
      </c>
      <c r="F11" s="82">
        <f>'Duplo (Raw)'!S11</f>
        <v>0</v>
      </c>
      <c r="G11" s="82">
        <f>'RSOY (Raw)'!S11</f>
        <v>3</v>
      </c>
      <c r="H11" s="60">
        <f>'Duplo (Raw)'!P11</f>
        <v>36</v>
      </c>
      <c r="I11" s="60">
        <f>'RSOY (Raw)'!P11</f>
        <v>37</v>
      </c>
      <c r="M11"/>
      <c r="N11"/>
      <c r="O11" s="21"/>
      <c r="P11" s="21"/>
    </row>
    <row r="12" spans="2:16">
      <c r="B12" s="82">
        <f>'Duplo (Raw)'!Q12</f>
        <v>7</v>
      </c>
      <c r="C12" s="82">
        <f>'RSOY (Raw)'!Q12</f>
        <v>9</v>
      </c>
      <c r="D12" s="82">
        <f>'Duplo (Raw)'!R12</f>
        <v>19</v>
      </c>
      <c r="E12" s="82">
        <f>'RSOY (Raw)'!R12</f>
        <v>10</v>
      </c>
      <c r="F12" s="82">
        <f>'Duplo (Raw)'!S12</f>
        <v>0</v>
      </c>
      <c r="G12" s="82">
        <f>'RSOY (Raw)'!S12</f>
        <v>9</v>
      </c>
      <c r="H12" s="60">
        <f>'Duplo (Raw)'!P12</f>
        <v>46</v>
      </c>
      <c r="I12" s="60">
        <f>'RSOY (Raw)'!P12</f>
        <v>38</v>
      </c>
      <c r="M12"/>
      <c r="N12"/>
      <c r="O12" s="21"/>
      <c r="P12" s="21"/>
    </row>
    <row r="13" spans="2:16">
      <c r="B13" s="82">
        <f>'Duplo (Raw)'!Q13</f>
        <v>3</v>
      </c>
      <c r="C13" s="82">
        <f>'RSOY (Raw)'!Q13</f>
        <v>2</v>
      </c>
      <c r="D13" s="82">
        <f>'Duplo (Raw)'!R13</f>
        <v>11</v>
      </c>
      <c r="E13" s="82">
        <f>'RSOY (Raw)'!R13</f>
        <v>7</v>
      </c>
      <c r="F13" s="82">
        <f>'Duplo (Raw)'!S13</f>
        <v>0</v>
      </c>
      <c r="G13" s="82">
        <f>'RSOY (Raw)'!S13</f>
        <v>4</v>
      </c>
      <c r="H13" s="60">
        <f>'Duplo (Raw)'!P13</f>
        <v>29</v>
      </c>
      <c r="I13" s="60">
        <f>'RSOY (Raw)'!P13</f>
        <v>34</v>
      </c>
      <c r="M13"/>
      <c r="N13"/>
      <c r="O13" s="21"/>
      <c r="P13" s="21"/>
    </row>
    <row r="14" spans="2:16">
      <c r="B14" s="82">
        <f>'Duplo (Raw)'!Q14</f>
        <v>15</v>
      </c>
      <c r="C14" s="82">
        <f>'RSOY (Raw)'!Q14</f>
        <v>9</v>
      </c>
      <c r="D14" s="82">
        <f>'Duplo (Raw)'!R14</f>
        <v>10</v>
      </c>
      <c r="E14" s="82">
        <f>'RSOY (Raw)'!R14</f>
        <v>24</v>
      </c>
      <c r="F14" s="82">
        <f>'Duplo (Raw)'!S14</f>
        <v>4</v>
      </c>
      <c r="G14" s="82">
        <f>'RSOY (Raw)'!S14</f>
        <v>0</v>
      </c>
      <c r="H14" s="60">
        <f>'Duplo (Raw)'!P14</f>
        <v>47</v>
      </c>
      <c r="I14" s="60">
        <f>'RSOY (Raw)'!P14</f>
        <v>55</v>
      </c>
      <c r="M14"/>
      <c r="N14"/>
      <c r="O14" s="21"/>
      <c r="P14" s="21"/>
    </row>
    <row r="15" spans="2:16">
      <c r="B15" s="82">
        <f>'Duplo (Raw)'!Q15</f>
        <v>12</v>
      </c>
      <c r="C15" s="82">
        <f>'RSOY (Raw)'!Q15</f>
        <v>9</v>
      </c>
      <c r="D15" s="82">
        <f>'Duplo (Raw)'!R15</f>
        <v>5</v>
      </c>
      <c r="E15" s="82">
        <f>'RSOY (Raw)'!R15</f>
        <v>33</v>
      </c>
      <c r="F15" s="82">
        <f>'Duplo (Raw)'!S15</f>
        <v>8</v>
      </c>
      <c r="G15" s="82">
        <f>'RSOY (Raw)'!S15</f>
        <v>1</v>
      </c>
      <c r="H15" s="60">
        <f>'Duplo (Raw)'!P15</f>
        <v>46</v>
      </c>
      <c r="I15" s="60">
        <f>'RSOY (Raw)'!P15</f>
        <v>54</v>
      </c>
      <c r="M15"/>
      <c r="N15"/>
      <c r="O15" s="21"/>
      <c r="P15" s="21"/>
    </row>
    <row r="16" spans="2:16">
      <c r="B16" s="82">
        <f>'Duplo (Raw)'!Q16</f>
        <v>0</v>
      </c>
      <c r="C16" s="82">
        <f>'RSOY (Raw)'!Q16</f>
        <v>2</v>
      </c>
      <c r="D16" s="82">
        <f>'Duplo (Raw)'!R16</f>
        <v>4</v>
      </c>
      <c r="E16" s="82">
        <f>'RSOY (Raw)'!R16</f>
        <v>21</v>
      </c>
      <c r="F16" s="82">
        <f>'Duplo (Raw)'!S16</f>
        <v>0</v>
      </c>
      <c r="G16" s="82">
        <f>'RSOY (Raw)'!S16</f>
        <v>4</v>
      </c>
      <c r="H16" s="60">
        <f>'Duplo (Raw)'!P16</f>
        <v>9</v>
      </c>
      <c r="I16" s="60">
        <f>'RSOY (Raw)'!P16</f>
        <v>64</v>
      </c>
      <c r="M16"/>
      <c r="N16"/>
      <c r="O16" s="21"/>
      <c r="P16" s="21"/>
    </row>
    <row r="17" spans="2:16">
      <c r="B17" s="82">
        <f>'Duplo (Raw)'!Q17</f>
        <v>7</v>
      </c>
      <c r="C17" s="82">
        <f>'RSOY (Raw)'!Q17</f>
        <v>7</v>
      </c>
      <c r="D17" s="82">
        <f>'Duplo (Raw)'!R17</f>
        <v>4</v>
      </c>
      <c r="E17" s="82">
        <f>'RSOY (Raw)'!R17</f>
        <v>12</v>
      </c>
      <c r="F17" s="82">
        <f>'Duplo (Raw)'!S17</f>
        <v>1</v>
      </c>
      <c r="G17" s="82">
        <f>'RSOY (Raw)'!S17</f>
        <v>0</v>
      </c>
      <c r="H17" s="60">
        <f>'Duplo (Raw)'!P17</f>
        <v>27</v>
      </c>
      <c r="I17" s="60">
        <f>'RSOY (Raw)'!P17</f>
        <v>24</v>
      </c>
      <c r="M17"/>
      <c r="N17"/>
      <c r="O17" s="21"/>
      <c r="P17" s="21"/>
    </row>
    <row r="18" spans="2:16">
      <c r="B18" s="82">
        <f>'Duplo (Raw)'!Q18</f>
        <v>4</v>
      </c>
      <c r="C18" s="82">
        <f>'RSOY (Raw)'!Q18</f>
        <v>9</v>
      </c>
      <c r="D18" s="82">
        <f>'Duplo (Raw)'!R18</f>
        <v>2</v>
      </c>
      <c r="E18" s="82">
        <f>'RSOY (Raw)'!R18</f>
        <v>19</v>
      </c>
      <c r="F18" s="82">
        <f>'Duplo (Raw)'!S18</f>
        <v>0</v>
      </c>
      <c r="G18" s="82">
        <f>'RSOY (Raw)'!S18</f>
        <v>0</v>
      </c>
      <c r="H18" s="60">
        <f>'Duplo (Raw)'!P18</f>
        <v>35</v>
      </c>
      <c r="I18" s="60">
        <f>'RSOY (Raw)'!P18</f>
        <v>27</v>
      </c>
      <c r="M18"/>
      <c r="N18"/>
      <c r="O18" s="21"/>
      <c r="P18" s="21"/>
    </row>
    <row r="19" spans="2:16">
      <c r="B19" s="82">
        <f>'Duplo (Raw)'!Q19</f>
        <v>2</v>
      </c>
      <c r="C19" s="82">
        <f>'RSOY (Raw)'!Q19</f>
        <v>11</v>
      </c>
      <c r="D19" s="82">
        <f>'Duplo (Raw)'!R19</f>
        <v>12</v>
      </c>
      <c r="E19" s="82">
        <f>'RSOY (Raw)'!R19</f>
        <v>25</v>
      </c>
      <c r="F19" s="82">
        <f>'Duplo (Raw)'!S19</f>
        <v>0</v>
      </c>
      <c r="G19" s="82">
        <f>'RSOY (Raw)'!S19</f>
        <v>1</v>
      </c>
      <c r="H19" s="60">
        <f>'Duplo (Raw)'!P19</f>
        <v>24</v>
      </c>
      <c r="I19" s="60">
        <f>'RSOY (Raw)'!P19</f>
        <v>47</v>
      </c>
      <c r="M19"/>
      <c r="N19"/>
      <c r="O19" s="21"/>
      <c r="P19" s="21"/>
    </row>
    <row r="20" spans="2:16">
      <c r="B20" s="82">
        <f>'Duplo (Raw)'!Q20</f>
        <v>1</v>
      </c>
      <c r="C20" s="82">
        <f>'RSOY (Raw)'!Q20</f>
        <v>2</v>
      </c>
      <c r="D20" s="82">
        <f>'Duplo (Raw)'!R20</f>
        <v>2</v>
      </c>
      <c r="E20" s="82">
        <f>'RSOY (Raw)'!R20</f>
        <v>15</v>
      </c>
      <c r="F20" s="82">
        <f>'Duplo (Raw)'!S20</f>
        <v>3</v>
      </c>
      <c r="G20" s="82">
        <f>'RSOY (Raw)'!S20</f>
        <v>1</v>
      </c>
      <c r="H20" s="60">
        <f>'Duplo (Raw)'!P20</f>
        <v>23</v>
      </c>
      <c r="I20" s="60">
        <f>'RSOY (Raw)'!P20</f>
        <v>40</v>
      </c>
      <c r="M20"/>
      <c r="N20"/>
      <c r="O20" s="21"/>
      <c r="P20" s="21"/>
    </row>
    <row r="21" spans="2:16">
      <c r="B21" s="82">
        <f>'Duplo (Raw)'!Q21</f>
        <v>3</v>
      </c>
      <c r="C21" s="82">
        <f>'RSOY (Raw)'!Q21</f>
        <v>1</v>
      </c>
      <c r="D21" s="82">
        <f>'Duplo (Raw)'!R21</f>
        <v>8</v>
      </c>
      <c r="E21" s="82">
        <f>'RSOY (Raw)'!R21</f>
        <v>14</v>
      </c>
      <c r="F21" s="82">
        <f>'Duplo (Raw)'!S21</f>
        <v>0</v>
      </c>
      <c r="G21" s="82">
        <f>'RSOY (Raw)'!S21</f>
        <v>0</v>
      </c>
      <c r="H21" s="60">
        <f>'Duplo (Raw)'!P21</f>
        <v>22</v>
      </c>
      <c r="I21" s="60">
        <f>'RSOY (Raw)'!P21</f>
        <v>34</v>
      </c>
      <c r="M21"/>
      <c r="N21"/>
      <c r="O21" s="21"/>
      <c r="P21" s="21"/>
    </row>
    <row r="22" spans="2:16">
      <c r="B22" s="82">
        <f>'Duplo (Raw)'!Q22</f>
        <v>2</v>
      </c>
      <c r="C22" s="82">
        <f>'RSOY (Raw)'!Q22</f>
        <v>2</v>
      </c>
      <c r="D22" s="82">
        <f>'Duplo (Raw)'!R22</f>
        <v>37</v>
      </c>
      <c r="E22" s="82">
        <f>'RSOY (Raw)'!R22</f>
        <v>16</v>
      </c>
      <c r="F22" s="82">
        <f>'Duplo (Raw)'!S22</f>
        <v>8</v>
      </c>
      <c r="G22" s="82">
        <f>'RSOY (Raw)'!S22</f>
        <v>0</v>
      </c>
      <c r="H22" s="60">
        <f>'Duplo (Raw)'!P22</f>
        <v>67</v>
      </c>
      <c r="I22" s="60">
        <f>'RSOY (Raw)'!P22</f>
        <v>24</v>
      </c>
      <c r="M22"/>
      <c r="N22"/>
      <c r="O22" s="21"/>
      <c r="P22" s="21"/>
    </row>
    <row r="23" spans="2:16">
      <c r="B23" s="82">
        <f>'Duplo (Raw)'!Q23</f>
        <v>3</v>
      </c>
      <c r="C23" s="82">
        <f>'RSOY (Raw)'!Q23</f>
        <v>4</v>
      </c>
      <c r="D23" s="82">
        <f>'Duplo (Raw)'!R23</f>
        <v>23</v>
      </c>
      <c r="E23" s="82">
        <f>'RSOY (Raw)'!R23</f>
        <v>11</v>
      </c>
      <c r="F23" s="82">
        <f>'Duplo (Raw)'!S23</f>
        <v>7</v>
      </c>
      <c r="G23" s="82">
        <f>'RSOY (Raw)'!S23</f>
        <v>0</v>
      </c>
      <c r="H23" s="60">
        <f>'Duplo (Raw)'!P23</f>
        <v>85</v>
      </c>
      <c r="I23" s="60">
        <f>'RSOY (Raw)'!P23</f>
        <v>19</v>
      </c>
      <c r="M23"/>
      <c r="N23"/>
      <c r="O23" s="21"/>
      <c r="P23" s="21"/>
    </row>
    <row r="24" spans="2:16">
      <c r="B24" s="82">
        <f>'Duplo (Raw)'!Q24</f>
        <v>0</v>
      </c>
      <c r="C24" s="82">
        <f>'RSOY (Raw)'!Q24</f>
        <v>1</v>
      </c>
      <c r="D24" s="82">
        <f>'Duplo (Raw)'!R24</f>
        <v>6</v>
      </c>
      <c r="E24" s="82">
        <f>'RSOY (Raw)'!R24</f>
        <v>8</v>
      </c>
      <c r="F24" s="82">
        <f>'Duplo (Raw)'!S24</f>
        <v>0</v>
      </c>
      <c r="G24" s="82">
        <f>'RSOY (Raw)'!S24</f>
        <v>2</v>
      </c>
      <c r="H24" s="60">
        <f>'Duplo (Raw)'!P24</f>
        <v>21</v>
      </c>
      <c r="I24" s="60">
        <f>'RSOY (Raw)'!P24</f>
        <v>24</v>
      </c>
      <c r="M24"/>
      <c r="N24"/>
      <c r="O24" s="21"/>
      <c r="P24" s="21"/>
    </row>
    <row r="25" spans="2:16">
      <c r="B25" s="82">
        <f>'Duplo (Raw)'!Q25</f>
        <v>2</v>
      </c>
      <c r="C25" s="82">
        <f>'RSOY (Raw)'!Q25</f>
        <v>3</v>
      </c>
      <c r="D25" s="82">
        <f>'Duplo (Raw)'!R25</f>
        <v>11</v>
      </c>
      <c r="E25" s="82">
        <f>'RSOY (Raw)'!R25</f>
        <v>19</v>
      </c>
      <c r="F25" s="82">
        <f>'Duplo (Raw)'!S25</f>
        <v>1</v>
      </c>
      <c r="G25" s="82">
        <f>'RSOY (Raw)'!S25</f>
        <v>0</v>
      </c>
      <c r="H25" s="60">
        <f>'Duplo (Raw)'!P25</f>
        <v>38</v>
      </c>
      <c r="I25" s="60">
        <f>'RSOY (Raw)'!P25</f>
        <v>45</v>
      </c>
      <c r="M25"/>
      <c r="N25"/>
      <c r="O25" s="21"/>
      <c r="P25" s="21"/>
    </row>
    <row r="26" spans="2:16">
      <c r="B26" s="82">
        <f>'Duplo (Raw)'!Q26</f>
        <v>1</v>
      </c>
      <c r="C26" s="82">
        <f>'RSOY (Raw)'!Q26</f>
        <v>6</v>
      </c>
      <c r="D26" s="82">
        <f>'Duplo (Raw)'!R26</f>
        <v>9</v>
      </c>
      <c r="E26" s="82">
        <f>'RSOY (Raw)'!R26</f>
        <v>15</v>
      </c>
      <c r="F26" s="82">
        <f>'Duplo (Raw)'!S26</f>
        <v>7</v>
      </c>
      <c r="G26" s="82">
        <f>'RSOY (Raw)'!S26</f>
        <v>0</v>
      </c>
      <c r="H26" s="60">
        <f>'Duplo (Raw)'!P26</f>
        <v>41</v>
      </c>
      <c r="I26" s="60">
        <f>'RSOY (Raw)'!P26</f>
        <v>33</v>
      </c>
      <c r="M26"/>
      <c r="N26"/>
      <c r="O26" s="21"/>
      <c r="P26" s="21"/>
    </row>
    <row r="27" spans="2:16">
      <c r="B27" s="82">
        <f>'Duplo (Raw)'!Q27</f>
        <v>1</v>
      </c>
      <c r="C27" s="82">
        <f>'RSOY (Raw)'!Q27</f>
        <v>4</v>
      </c>
      <c r="D27" s="82">
        <f>'Duplo (Raw)'!R27</f>
        <v>4</v>
      </c>
      <c r="E27" s="82">
        <f>'RSOY (Raw)'!R27</f>
        <v>18</v>
      </c>
      <c r="F27" s="82">
        <f>'Duplo (Raw)'!S27</f>
        <v>0</v>
      </c>
      <c r="G27" s="82">
        <f>'RSOY (Raw)'!S27</f>
        <v>7</v>
      </c>
      <c r="H27" s="60">
        <f>'Duplo (Raw)'!P27</f>
        <v>25</v>
      </c>
      <c r="I27" s="60">
        <f>'RSOY (Raw)'!P27</f>
        <v>51</v>
      </c>
      <c r="M27"/>
      <c r="N27"/>
      <c r="O27" s="21"/>
      <c r="P27" s="21"/>
    </row>
    <row r="28" spans="2:16">
      <c r="B28" s="82">
        <f>'Duplo (Raw)'!Q28</f>
        <v>1</v>
      </c>
      <c r="C28" s="82">
        <f>'RSOY (Raw)'!Q28</f>
        <v>4</v>
      </c>
      <c r="D28" s="82">
        <f>'Duplo (Raw)'!R28</f>
        <v>2</v>
      </c>
      <c r="E28" s="82">
        <f>'RSOY (Raw)'!R28</f>
        <v>8</v>
      </c>
      <c r="F28" s="82">
        <f>'Duplo (Raw)'!S28</f>
        <v>0</v>
      </c>
      <c r="G28" s="82">
        <f>'RSOY (Raw)'!S28</f>
        <v>2</v>
      </c>
      <c r="H28" s="60">
        <f>'Duplo (Raw)'!P28</f>
        <v>9</v>
      </c>
      <c r="I28" s="60">
        <f>'RSOY (Raw)'!P28</f>
        <v>31</v>
      </c>
      <c r="M28"/>
      <c r="N28"/>
      <c r="O28" s="21"/>
      <c r="P28" s="21"/>
    </row>
    <row r="29" spans="2:16">
      <c r="B29"/>
      <c r="D29"/>
      <c r="F29"/>
      <c r="M29"/>
      <c r="N29"/>
    </row>
    <row r="30" spans="2:16" s="105" customFormat="1">
      <c r="B30" s="114" t="s">
        <v>24</v>
      </c>
      <c r="C30" s="114"/>
      <c r="D30" s="114"/>
      <c r="I30" s="131" t="s">
        <v>212</v>
      </c>
      <c r="J30" s="131"/>
      <c r="K30" s="131"/>
    </row>
    <row r="31" spans="2:16" s="105" customFormat="1">
      <c r="B31" s="129" t="s">
        <v>204</v>
      </c>
      <c r="C31" s="129">
        <v>2.2000000000000002</v>
      </c>
      <c r="D31" s="129"/>
      <c r="E31"/>
      <c r="F31"/>
      <c r="G31"/>
      <c r="H31"/>
      <c r="I31" s="129" t="s">
        <v>204</v>
      </c>
      <c r="J31" s="129">
        <v>2.2000000000000002</v>
      </c>
      <c r="K31" s="129"/>
      <c r="L31"/>
      <c r="M31"/>
      <c r="N31"/>
      <c r="O31"/>
      <c r="P31"/>
    </row>
    <row r="32" spans="2:16">
      <c r="B32" s="129"/>
      <c r="C32" s="129"/>
      <c r="D32" s="129"/>
      <c r="F32"/>
      <c r="I32" s="129"/>
      <c r="J32" s="129"/>
      <c r="K32" s="129"/>
      <c r="M32"/>
      <c r="N32"/>
    </row>
    <row r="33" spans="2:14">
      <c r="B33" s="129"/>
      <c r="C33" s="130" t="str">
        <f>B3</f>
        <v>Duplo</v>
      </c>
      <c r="D33" s="130" t="str">
        <f>C3</f>
        <v>RSOY</v>
      </c>
      <c r="F33"/>
      <c r="I33" s="129"/>
      <c r="J33" s="130" t="str">
        <f>F3</f>
        <v>Duplo</v>
      </c>
      <c r="K33" s="130" t="str">
        <f>G3</f>
        <v>RSOY</v>
      </c>
      <c r="M33"/>
      <c r="N33"/>
    </row>
    <row r="34" spans="2:14">
      <c r="B34" s="129" t="s">
        <v>183</v>
      </c>
      <c r="C34" s="129">
        <f>C41-$C48</f>
        <v>0</v>
      </c>
      <c r="D34" s="129">
        <f>D41-$C48</f>
        <v>1</v>
      </c>
      <c r="F34"/>
      <c r="I34" s="129" t="s">
        <v>183</v>
      </c>
      <c r="J34" s="129">
        <f>J41-$J48</f>
        <v>0</v>
      </c>
      <c r="K34" s="129">
        <f>K41-$J48</f>
        <v>0</v>
      </c>
      <c r="M34"/>
      <c r="N34"/>
    </row>
    <row r="35" spans="2:14">
      <c r="B35" s="129" t="s">
        <v>184</v>
      </c>
      <c r="C35" s="129">
        <f>MAX(C42-C41,0)</f>
        <v>2</v>
      </c>
      <c r="D35" s="129">
        <f>MAX(D42-D41,0)</f>
        <v>2</v>
      </c>
      <c r="F35"/>
      <c r="I35" s="129" t="s">
        <v>184</v>
      </c>
      <c r="J35" s="129">
        <f>MAX(J42-J41,0)</f>
        <v>0</v>
      </c>
      <c r="K35" s="129">
        <f>MAX(K42-K41,0)</f>
        <v>0</v>
      </c>
      <c r="M35"/>
      <c r="N35"/>
    </row>
    <row r="36" spans="2:14">
      <c r="B36" s="129" t="s">
        <v>185</v>
      </c>
      <c r="C36" s="129">
        <f t="shared" ref="C36:D38" si="0">MAX(C43-C42,0)</f>
        <v>1</v>
      </c>
      <c r="D36" s="129">
        <f t="shared" si="0"/>
        <v>3</v>
      </c>
      <c r="F36"/>
      <c r="I36" s="129" t="s">
        <v>185</v>
      </c>
      <c r="J36" s="129">
        <f t="shared" ref="J36:K38" si="1">MAX(J43-J42,0)</f>
        <v>0</v>
      </c>
      <c r="K36" s="129">
        <f t="shared" si="1"/>
        <v>1</v>
      </c>
      <c r="M36"/>
      <c r="N36"/>
    </row>
    <row r="37" spans="2:14">
      <c r="B37" s="129" t="s">
        <v>186</v>
      </c>
      <c r="C37" s="129">
        <f t="shared" si="0"/>
        <v>4</v>
      </c>
      <c r="D37" s="129">
        <f t="shared" si="0"/>
        <v>3</v>
      </c>
      <c r="F37"/>
      <c r="I37" s="129" t="s">
        <v>186</v>
      </c>
      <c r="J37" s="129">
        <f t="shared" si="1"/>
        <v>5</v>
      </c>
      <c r="K37" s="129">
        <f t="shared" si="1"/>
        <v>2</v>
      </c>
      <c r="M37"/>
      <c r="N37"/>
    </row>
    <row r="38" spans="2:14">
      <c r="B38" s="129" t="s">
        <v>187</v>
      </c>
      <c r="C38" s="129">
        <f t="shared" si="0"/>
        <v>8</v>
      </c>
      <c r="D38" s="129">
        <f t="shared" si="0"/>
        <v>12</v>
      </c>
      <c r="F38"/>
      <c r="I38" s="129" t="s">
        <v>187</v>
      </c>
      <c r="J38" s="129">
        <f t="shared" si="1"/>
        <v>3</v>
      </c>
      <c r="K38" s="129">
        <f t="shared" si="1"/>
        <v>6</v>
      </c>
      <c r="M38"/>
      <c r="N38"/>
    </row>
    <row r="39" spans="2:14">
      <c r="B39" s="129" t="s">
        <v>181</v>
      </c>
      <c r="C39" s="129">
        <f>C46-$C48</f>
        <v>4.72</v>
      </c>
      <c r="D39" s="129">
        <f>D46-$C48</f>
        <v>6.92</v>
      </c>
      <c r="F39"/>
      <c r="I39" s="129" t="s">
        <v>181</v>
      </c>
      <c r="J39" s="129">
        <f>J46-$J48</f>
        <v>2.3199999999999998</v>
      </c>
      <c r="K39" s="129">
        <f>K46-$J48</f>
        <v>1.96</v>
      </c>
      <c r="M39"/>
      <c r="N39"/>
    </row>
    <row r="40" spans="2:14">
      <c r="B40" s="129"/>
      <c r="C40" s="129"/>
      <c r="D40" s="129"/>
      <c r="F40"/>
      <c r="I40" s="129"/>
      <c r="J40" s="129"/>
      <c r="K40" s="129"/>
      <c r="M40"/>
      <c r="N40"/>
    </row>
    <row r="41" spans="2:14">
      <c r="B41" s="129" t="s">
        <v>183</v>
      </c>
      <c r="C41" s="129">
        <f t="array" ref="C41">MIN(IF(ISBLANK(B4:B28),"",IF(B4:B28&gt;=C42-$C31*(C44-C42),B4:B28,"")))</f>
        <v>0</v>
      </c>
      <c r="D41" s="129">
        <f t="array" ref="D41">MIN(IF(ISBLANK(C4:C28),"",IF(C4:C28&gt;=D42-$C31*(D44-D42),C4:C28,"")))</f>
        <v>1</v>
      </c>
      <c r="F41"/>
      <c r="I41" s="129" t="s">
        <v>183</v>
      </c>
      <c r="J41" s="129">
        <f t="array" ref="J41">MIN(IF(ISBLANK(F4:F28),"",IF(F4:F28&gt;=J42-$J31*(J44-J42),F4:F28,"")))</f>
        <v>0</v>
      </c>
      <c r="K41" s="129">
        <f t="array" ref="K41">MIN(IF(ISBLANK(G4:G28),"",IF(G4:G28&gt;=K42-$J31*(K44-K42),G4:G28,"")))</f>
        <v>0</v>
      </c>
      <c r="M41"/>
      <c r="N41"/>
    </row>
    <row r="42" spans="2:14">
      <c r="B42" s="129" t="s">
        <v>207</v>
      </c>
      <c r="C42" s="129">
        <f>_xlfn.QUARTILE.INC(B4:B28,1)</f>
        <v>2</v>
      </c>
      <c r="D42" s="129">
        <f>_xlfn.QUARTILE.INC(C4:C28,1)</f>
        <v>3</v>
      </c>
      <c r="F42"/>
      <c r="I42" s="129" t="s">
        <v>207</v>
      </c>
      <c r="J42" s="129">
        <f>_xlfn.QUARTILE.INC(F4:F28,1)</f>
        <v>0</v>
      </c>
      <c r="K42" s="129">
        <f>_xlfn.QUARTILE.INC(G4:G28,1)</f>
        <v>0</v>
      </c>
      <c r="M42"/>
      <c r="N42"/>
    </row>
    <row r="43" spans="2:14">
      <c r="B43" s="129" t="s">
        <v>182</v>
      </c>
      <c r="C43" s="129">
        <f>MEDIAN(B4:B28)</f>
        <v>3</v>
      </c>
      <c r="D43" s="129">
        <f>MEDIAN(C4:C28)</f>
        <v>6</v>
      </c>
      <c r="F43"/>
      <c r="I43" s="129" t="s">
        <v>182</v>
      </c>
      <c r="J43" s="129">
        <f>MEDIAN(F4:F28)</f>
        <v>0</v>
      </c>
      <c r="K43" s="129">
        <f>MEDIAN(G4:G28)</f>
        <v>1</v>
      </c>
      <c r="M43"/>
      <c r="N43"/>
    </row>
    <row r="44" spans="2:14">
      <c r="B44" s="129" t="s">
        <v>208</v>
      </c>
      <c r="C44" s="129">
        <f>_xlfn.QUARTILE.INC(B4:B28,3)</f>
        <v>7</v>
      </c>
      <c r="D44" s="129">
        <f>_xlfn.QUARTILE.INC(C4:C28,3)</f>
        <v>9</v>
      </c>
      <c r="F44"/>
      <c r="I44" s="129" t="s">
        <v>208</v>
      </c>
      <c r="J44" s="129">
        <f>_xlfn.QUARTILE.INC(F4:F28,3)</f>
        <v>5</v>
      </c>
      <c r="K44" s="129">
        <f>_xlfn.QUARTILE.INC(G4:G28,3)</f>
        <v>3</v>
      </c>
      <c r="M44"/>
      <c r="N44"/>
    </row>
    <row r="45" spans="2:14">
      <c r="B45" s="129" t="s">
        <v>209</v>
      </c>
      <c r="C45" s="129">
        <f t="array" ref="C45">MAX(IF(ISBLANK(B4:B28),"",IF(B4:B28&lt;=C44+$C31*(C44-C42),B4:B28,"")))</f>
        <v>15</v>
      </c>
      <c r="D45" s="129">
        <f t="array" ref="D45">MAX(IF(ISBLANK(C4:C28),"",IF(C4:C28&lt;=D44+$C31*(D44-D42),C4:C28,"")))</f>
        <v>21</v>
      </c>
      <c r="F45"/>
      <c r="I45" s="129" t="s">
        <v>209</v>
      </c>
      <c r="J45" s="129">
        <f t="array" ref="J45">MAX(IF(ISBLANK(F4:F28),"",IF(F4:F28&lt;=J44+$J31*(J44-J42),F4:F28,"")))</f>
        <v>8</v>
      </c>
      <c r="K45" s="129">
        <f t="array" ref="K45">MAX(IF(ISBLANK(G4:G28),"",IF(G4:G28&lt;=K44+$J31*(K44-K42),G4:G28,"")))</f>
        <v>9</v>
      </c>
      <c r="M45"/>
      <c r="N45"/>
    </row>
    <row r="46" spans="2:14">
      <c r="B46" s="129" t="s">
        <v>181</v>
      </c>
      <c r="C46" s="129">
        <f>AVERAGE(B4:B28)</f>
        <v>4.72</v>
      </c>
      <c r="D46" s="129">
        <f>AVERAGE(C4:C28)</f>
        <v>6.92</v>
      </c>
      <c r="F46"/>
      <c r="I46" s="129" t="s">
        <v>181</v>
      </c>
      <c r="J46" s="129">
        <f>AVERAGE(F4:F28)</f>
        <v>2.3199999999999998</v>
      </c>
      <c r="K46" s="129">
        <f>AVERAGE(G4:G28)</f>
        <v>1.96</v>
      </c>
      <c r="M46"/>
      <c r="N46"/>
    </row>
    <row r="47" spans="2:14">
      <c r="B47" s="129"/>
      <c r="C47" s="129"/>
      <c r="D47" s="129"/>
      <c r="F47"/>
      <c r="I47" s="129"/>
      <c r="J47" s="129"/>
      <c r="K47" s="129"/>
      <c r="M47"/>
      <c r="N47"/>
    </row>
    <row r="48" spans="2:14">
      <c r="B48" s="129" t="s">
        <v>205</v>
      </c>
      <c r="C48" s="129">
        <f>IF(MIN(C41:D41)&gt;=0,0,MIN(C41:D41))</f>
        <v>0</v>
      </c>
      <c r="D48" s="129"/>
      <c r="F48"/>
      <c r="I48" s="129" t="s">
        <v>205</v>
      </c>
      <c r="J48" s="129">
        <f>IF(MIN(J41:K41)&gt;=0,0,MIN(J41:K41))</f>
        <v>0</v>
      </c>
      <c r="K48" s="129"/>
      <c r="M48"/>
      <c r="N48"/>
    </row>
    <row r="49" spans="2:14">
      <c r="B49" s="129"/>
      <c r="C49" s="129"/>
      <c r="D49" s="129"/>
      <c r="F49"/>
      <c r="I49" s="129"/>
      <c r="J49" s="129"/>
      <c r="K49" s="129"/>
      <c r="M49"/>
      <c r="N49"/>
    </row>
    <row r="50" spans="2:14">
      <c r="B50" s="129" t="s">
        <v>206</v>
      </c>
      <c r="C50" s="129" t="s">
        <v>155</v>
      </c>
      <c r="D50" s="129" t="s">
        <v>155</v>
      </c>
      <c r="F50"/>
      <c r="I50" s="129" t="s">
        <v>206</v>
      </c>
      <c r="J50" s="129" t="s">
        <v>155</v>
      </c>
      <c r="K50" s="129" t="s">
        <v>155</v>
      </c>
      <c r="M50"/>
      <c r="N50"/>
    </row>
    <row r="51" spans="2:14">
      <c r="B51"/>
      <c r="D51"/>
      <c r="F51"/>
      <c r="M51"/>
      <c r="N51"/>
    </row>
    <row r="52" spans="2:14">
      <c r="B52" s="114" t="s">
        <v>213</v>
      </c>
      <c r="C52" s="114"/>
      <c r="D52" s="114"/>
      <c r="F52"/>
      <c r="I52" s="114" t="s">
        <v>23</v>
      </c>
      <c r="J52" s="114"/>
      <c r="K52" s="114"/>
      <c r="M52"/>
      <c r="N52"/>
    </row>
    <row r="53" spans="2:14">
      <c r="B53" s="129" t="s">
        <v>204</v>
      </c>
      <c r="C53" s="129">
        <v>2.2000000000000002</v>
      </c>
      <c r="D53" s="129"/>
      <c r="F53"/>
      <c r="I53" s="129" t="s">
        <v>204</v>
      </c>
      <c r="J53" s="129">
        <v>2.2000000000000002</v>
      </c>
      <c r="K53" s="129"/>
      <c r="M53"/>
      <c r="N53"/>
    </row>
    <row r="54" spans="2:14">
      <c r="B54" s="129"/>
      <c r="C54" s="129"/>
      <c r="D54" s="129"/>
      <c r="F54"/>
      <c r="I54" s="129"/>
      <c r="J54" s="129"/>
      <c r="K54" s="129"/>
      <c r="M54"/>
      <c r="N54"/>
    </row>
    <row r="55" spans="2:14">
      <c r="B55" s="129"/>
      <c r="C55" s="130" t="str">
        <f>D3</f>
        <v>Duplo</v>
      </c>
      <c r="D55" s="130" t="str">
        <f>E3</f>
        <v>RSOY</v>
      </c>
      <c r="F55"/>
      <c r="I55" s="129"/>
      <c r="J55" s="130" t="str">
        <f>H3</f>
        <v>Duplo</v>
      </c>
      <c r="K55" s="130" t="str">
        <f>I3</f>
        <v>RSOY</v>
      </c>
      <c r="M55"/>
      <c r="N55"/>
    </row>
    <row r="56" spans="2:14">
      <c r="B56" s="129" t="s">
        <v>183</v>
      </c>
      <c r="C56" s="129">
        <f>C63-$C70</f>
        <v>1</v>
      </c>
      <c r="D56" s="129">
        <f>D63-$C70</f>
        <v>7</v>
      </c>
      <c r="F56"/>
      <c r="I56" s="129" t="s">
        <v>183</v>
      </c>
      <c r="J56" s="129">
        <f>J63-$J70</f>
        <v>9</v>
      </c>
      <c r="K56" s="129">
        <f>K63-$J70</f>
        <v>19</v>
      </c>
      <c r="M56"/>
      <c r="N56"/>
    </row>
    <row r="57" spans="2:14">
      <c r="B57" s="129" t="s">
        <v>184</v>
      </c>
      <c r="C57" s="129">
        <f>MAX(C64-C63,0)</f>
        <v>3</v>
      </c>
      <c r="D57" s="129">
        <f>MAX(D64-D63,0)</f>
        <v>4</v>
      </c>
      <c r="F57"/>
      <c r="I57" s="129" t="s">
        <v>184</v>
      </c>
      <c r="J57" s="129">
        <f>MAX(J64-J63,0)</f>
        <v>15</v>
      </c>
      <c r="K57" s="129">
        <f>MAX(K64-K63,0)</f>
        <v>6</v>
      </c>
      <c r="M57"/>
      <c r="N57"/>
    </row>
    <row r="58" spans="2:14">
      <c r="B58" s="129" t="s">
        <v>185</v>
      </c>
      <c r="C58" s="129">
        <f t="shared" ref="C58:D60" si="2">MAX(C65-C64,0)</f>
        <v>5</v>
      </c>
      <c r="D58" s="129">
        <f t="shared" si="2"/>
        <v>4</v>
      </c>
      <c r="F58"/>
      <c r="I58" s="129" t="s">
        <v>185</v>
      </c>
      <c r="J58" s="129">
        <f t="shared" ref="J58:K60" si="3">MAX(J65-J64,0)</f>
        <v>11</v>
      </c>
      <c r="K58" s="129">
        <f t="shared" si="3"/>
        <v>9</v>
      </c>
      <c r="M58"/>
      <c r="N58"/>
    </row>
    <row r="59" spans="2:14">
      <c r="B59" s="129" t="s">
        <v>186</v>
      </c>
      <c r="C59" s="129">
        <f t="shared" si="2"/>
        <v>3</v>
      </c>
      <c r="D59" s="129">
        <f t="shared" si="2"/>
        <v>4</v>
      </c>
      <c r="F59"/>
      <c r="I59" s="129" t="s">
        <v>186</v>
      </c>
      <c r="J59" s="129">
        <f t="shared" si="3"/>
        <v>11</v>
      </c>
      <c r="K59" s="129">
        <f t="shared" si="3"/>
        <v>13</v>
      </c>
      <c r="M59"/>
      <c r="N59"/>
    </row>
    <row r="60" spans="2:14">
      <c r="B60" s="129" t="s">
        <v>187</v>
      </c>
      <c r="C60" s="129">
        <f t="shared" si="2"/>
        <v>15</v>
      </c>
      <c r="D60" s="129">
        <f t="shared" si="2"/>
        <v>14</v>
      </c>
      <c r="F60"/>
      <c r="I60" s="129" t="s">
        <v>187</v>
      </c>
      <c r="J60" s="129">
        <f t="shared" si="3"/>
        <v>39</v>
      </c>
      <c r="K60" s="129">
        <f t="shared" si="3"/>
        <v>17</v>
      </c>
      <c r="M60"/>
      <c r="N60"/>
    </row>
    <row r="61" spans="2:14">
      <c r="B61" s="129" t="s">
        <v>181</v>
      </c>
      <c r="C61" s="129">
        <f>C68-$C70</f>
        <v>10.72</v>
      </c>
      <c r="D61" s="129">
        <f>D68-$C70</f>
        <v>15.12</v>
      </c>
      <c r="F61"/>
      <c r="I61" s="129" t="s">
        <v>181</v>
      </c>
      <c r="J61" s="129">
        <f>J68-$J70</f>
        <v>37.4</v>
      </c>
      <c r="K61" s="129">
        <f>K68-$J70</f>
        <v>37.119999999999997</v>
      </c>
      <c r="M61"/>
      <c r="N61"/>
    </row>
    <row r="62" spans="2:14">
      <c r="B62" s="129"/>
      <c r="C62" s="129"/>
      <c r="D62" s="129"/>
      <c r="F62"/>
      <c r="I62" s="129"/>
      <c r="J62" s="129"/>
      <c r="K62" s="129"/>
      <c r="M62"/>
      <c r="N62"/>
    </row>
    <row r="63" spans="2:14">
      <c r="B63" s="129" t="s">
        <v>183</v>
      </c>
      <c r="C63" s="129">
        <f t="array" ref="C63">MIN(IF(ISBLANK(D4:D28),"",IF(D4:D28&gt;=C64-$C53*(C66-C64),D4:D28,"")))</f>
        <v>1</v>
      </c>
      <c r="D63" s="129">
        <f t="array" ref="D63">MIN(IF(ISBLANK(E4:E28),"",IF(E4:E28&gt;=D64-$C53*(D66-D64),E4:E28,"")))</f>
        <v>7</v>
      </c>
      <c r="F63"/>
      <c r="I63" s="129" t="s">
        <v>183</v>
      </c>
      <c r="J63" s="129">
        <f t="array" ref="J63">MIN(IF(ISBLANK(H4:H28),"",IF(H4:H28&gt;=J64-$J53*(J66-J64),H4:H28,"")))</f>
        <v>9</v>
      </c>
      <c r="K63" s="129">
        <f t="array" ref="K63">MIN(IF(ISBLANK(I4:I28),"",IF(I4:I28&gt;=K64-$J53*(K66-K64),I4:I28,"")))</f>
        <v>19</v>
      </c>
      <c r="M63"/>
      <c r="N63"/>
    </row>
    <row r="64" spans="2:14">
      <c r="B64" s="129" t="s">
        <v>207</v>
      </c>
      <c r="C64" s="129">
        <f>_xlfn.QUARTILE.INC(D4:D28,1)</f>
        <v>4</v>
      </c>
      <c r="D64" s="129">
        <f>_xlfn.QUARTILE.INC(E4:E28,1)</f>
        <v>11</v>
      </c>
      <c r="F64"/>
      <c r="I64" s="129" t="s">
        <v>207</v>
      </c>
      <c r="J64" s="129">
        <f>_xlfn.QUARTILE.INC(H4:H28,1)</f>
        <v>24</v>
      </c>
      <c r="K64" s="129">
        <f>_xlfn.QUARTILE.INC(I4:I28,1)</f>
        <v>25</v>
      </c>
      <c r="M64"/>
      <c r="N64"/>
    </row>
    <row r="65" spans="2:14">
      <c r="B65" s="129" t="s">
        <v>182</v>
      </c>
      <c r="C65" s="129">
        <f>MEDIAN(D4:D28)</f>
        <v>9</v>
      </c>
      <c r="D65" s="129">
        <f>MEDIAN(E4:E28)</f>
        <v>15</v>
      </c>
      <c r="F65"/>
      <c r="I65" s="129" t="s">
        <v>182</v>
      </c>
      <c r="J65" s="129">
        <f>MEDIAN(H4:H28)</f>
        <v>35</v>
      </c>
      <c r="K65" s="129">
        <f>MEDIAN(I4:I28)</f>
        <v>34</v>
      </c>
      <c r="M65"/>
      <c r="N65"/>
    </row>
    <row r="66" spans="2:14">
      <c r="B66" s="129" t="s">
        <v>208</v>
      </c>
      <c r="C66" s="129">
        <f>_xlfn.QUARTILE.INC(D4:D28,3)</f>
        <v>12</v>
      </c>
      <c r="D66" s="129">
        <f>_xlfn.QUARTILE.INC(E4:E28,3)</f>
        <v>19</v>
      </c>
      <c r="F66"/>
      <c r="I66" s="129" t="s">
        <v>208</v>
      </c>
      <c r="J66" s="129">
        <f>_xlfn.QUARTILE.INC(H4:H28,3)</f>
        <v>46</v>
      </c>
      <c r="K66" s="129">
        <f>_xlfn.QUARTILE.INC(I4:I28,3)</f>
        <v>47</v>
      </c>
      <c r="M66"/>
      <c r="N66"/>
    </row>
    <row r="67" spans="2:14">
      <c r="B67" s="129" t="s">
        <v>209</v>
      </c>
      <c r="C67" s="129">
        <f t="array" ref="C67">MAX(IF(ISBLANK(D4:D28),"",IF(D4:D28&lt;=C66+$C53*(C66-C64),D4:D28,"")))</f>
        <v>27</v>
      </c>
      <c r="D67" s="129">
        <f t="array" ref="D67">MAX(IF(ISBLANK(E4:E28),"",IF(E4:E28&lt;=D66+$C53*(D66-D64),E4:E28,"")))</f>
        <v>33</v>
      </c>
      <c r="F67"/>
      <c r="I67" s="129" t="s">
        <v>209</v>
      </c>
      <c r="J67" s="129">
        <f t="array" ref="J67">MAX(IF(ISBLANK(H4:H28),"",IF(H4:H28&lt;=J66+$J53*(J66-J64),H4:H28,"")))</f>
        <v>85</v>
      </c>
      <c r="K67" s="129">
        <f t="array" ref="K67">MAX(IF(ISBLANK(I4:I28),"",IF(I4:I28&lt;=K66+$J53*(K66-K64),I4:I28,"")))</f>
        <v>64</v>
      </c>
      <c r="M67"/>
      <c r="N67"/>
    </row>
    <row r="68" spans="2:14">
      <c r="B68" s="129" t="s">
        <v>181</v>
      </c>
      <c r="C68" s="129">
        <f>AVERAGE(D4:D28)</f>
        <v>10.72</v>
      </c>
      <c r="D68" s="129">
        <f>AVERAGE(E4:E28)</f>
        <v>15.12</v>
      </c>
      <c r="F68"/>
      <c r="I68" s="129" t="s">
        <v>181</v>
      </c>
      <c r="J68" s="129">
        <f>AVERAGE(H4:H28)</f>
        <v>37.4</v>
      </c>
      <c r="K68" s="129">
        <f>AVERAGE(I4:I28)</f>
        <v>37.119999999999997</v>
      </c>
      <c r="M68"/>
      <c r="N68"/>
    </row>
    <row r="69" spans="2:14">
      <c r="B69" s="129"/>
      <c r="C69" s="129"/>
      <c r="D69" s="129"/>
      <c r="F69"/>
      <c r="I69" s="129"/>
      <c r="J69" s="129"/>
      <c r="K69" s="129"/>
      <c r="M69"/>
      <c r="N69"/>
    </row>
    <row r="70" spans="2:14">
      <c r="B70" s="129" t="s">
        <v>205</v>
      </c>
      <c r="C70" s="129">
        <f>IF(MIN(C63:D63)&gt;=0,0,MIN(C63:D63))</f>
        <v>0</v>
      </c>
      <c r="D70" s="129"/>
      <c r="F70"/>
      <c r="I70" s="129" t="s">
        <v>205</v>
      </c>
      <c r="J70" s="129">
        <f>IF(MIN(J63:K63)&gt;=0,0,MIN(J63:K63))</f>
        <v>0</v>
      </c>
      <c r="K70" s="129"/>
      <c r="M70"/>
      <c r="N70"/>
    </row>
    <row r="71" spans="2:14">
      <c r="B71" s="129"/>
      <c r="C71" s="129"/>
      <c r="D71" s="129"/>
      <c r="F71"/>
      <c r="I71" s="129"/>
      <c r="J71" s="129"/>
      <c r="K71" s="129"/>
      <c r="M71"/>
      <c r="N71"/>
    </row>
    <row r="72" spans="2:14">
      <c r="B72" s="129" t="s">
        <v>206</v>
      </c>
      <c r="C72" s="129">
        <f>D22</f>
        <v>37</v>
      </c>
      <c r="D72" s="129" t="s">
        <v>155</v>
      </c>
      <c r="F72"/>
      <c r="I72" s="129" t="s">
        <v>206</v>
      </c>
      <c r="J72" s="129" t="s">
        <v>155</v>
      </c>
      <c r="K72" s="129" t="s">
        <v>155</v>
      </c>
      <c r="M72"/>
      <c r="N72"/>
    </row>
    <row r="73" spans="2:14">
      <c r="B73"/>
      <c r="D73"/>
      <c r="F73"/>
      <c r="M73"/>
      <c r="N73"/>
    </row>
    <row r="74" spans="2:14">
      <c r="B74"/>
      <c r="D74"/>
      <c r="F74"/>
      <c r="M74"/>
      <c r="N74"/>
    </row>
    <row r="75" spans="2:14">
      <c r="B75"/>
      <c r="D75"/>
      <c r="F75"/>
      <c r="M75"/>
      <c r="N75"/>
    </row>
    <row r="76" spans="2:14">
      <c r="B76"/>
      <c r="D76"/>
      <c r="F76"/>
      <c r="M76"/>
      <c r="N76"/>
    </row>
    <row r="77" spans="2:14">
      <c r="B77"/>
      <c r="D77"/>
      <c r="F77"/>
      <c r="M77"/>
      <c r="N77"/>
    </row>
    <row r="78" spans="2:14">
      <c r="B78"/>
      <c r="D78"/>
      <c r="F78"/>
      <c r="M78"/>
      <c r="N78"/>
    </row>
    <row r="79" spans="2:14">
      <c r="B79"/>
      <c r="D79"/>
      <c r="F79"/>
      <c r="M79"/>
      <c r="N79"/>
    </row>
    <row r="80" spans="2:14">
      <c r="B80"/>
      <c r="D80"/>
      <c r="F80"/>
      <c r="M80"/>
      <c r="N80"/>
    </row>
    <row r="81" spans="2:14">
      <c r="B81"/>
      <c r="D81"/>
      <c r="F81"/>
      <c r="M81"/>
      <c r="N81"/>
    </row>
    <row r="82" spans="2:14">
      <c r="B82"/>
      <c r="D82"/>
      <c r="F82"/>
      <c r="M82"/>
      <c r="N82"/>
    </row>
    <row r="83" spans="2:14">
      <c r="B83"/>
      <c r="D83"/>
      <c r="F83"/>
      <c r="M83"/>
      <c r="N83"/>
    </row>
    <row r="84" spans="2:14">
      <c r="B84"/>
      <c r="D84"/>
      <c r="F84"/>
      <c r="M84"/>
      <c r="N84"/>
    </row>
    <row r="85" spans="2:14">
      <c r="B85"/>
      <c r="D85"/>
      <c r="F85"/>
      <c r="M85"/>
      <c r="N85"/>
    </row>
    <row r="86" spans="2:14">
      <c r="B86"/>
      <c r="D86"/>
      <c r="F86"/>
      <c r="M86"/>
      <c r="N86"/>
    </row>
    <row r="87" spans="2:14">
      <c r="B87"/>
      <c r="D87"/>
      <c r="F87"/>
      <c r="M87"/>
      <c r="N87"/>
    </row>
    <row r="88" spans="2:14">
      <c r="B88"/>
      <c r="D88"/>
      <c r="F88"/>
      <c r="M88"/>
      <c r="N88"/>
    </row>
    <row r="89" spans="2:14">
      <c r="B89"/>
      <c r="D89"/>
      <c r="F89"/>
      <c r="M89"/>
      <c r="N89"/>
    </row>
    <row r="90" spans="2:14">
      <c r="B90"/>
      <c r="D90"/>
      <c r="F90"/>
      <c r="M90"/>
      <c r="N90"/>
    </row>
    <row r="91" spans="2:14">
      <c r="B91"/>
      <c r="D91"/>
      <c r="F91"/>
      <c r="M91"/>
      <c r="N91"/>
    </row>
    <row r="92" spans="2:14">
      <c r="B92"/>
      <c r="D92"/>
      <c r="F92"/>
      <c r="M92"/>
      <c r="N92"/>
    </row>
    <row r="93" spans="2:14">
      <c r="B93"/>
      <c r="D93"/>
      <c r="F93"/>
      <c r="M93"/>
      <c r="N93"/>
    </row>
    <row r="94" spans="2:14">
      <c r="B94"/>
      <c r="D94"/>
      <c r="F94"/>
      <c r="M94"/>
      <c r="N94"/>
    </row>
    <row r="95" spans="2:14">
      <c r="B95"/>
      <c r="D95"/>
      <c r="F95"/>
      <c r="M95"/>
      <c r="N95"/>
    </row>
    <row r="96" spans="2:14">
      <c r="B96"/>
      <c r="D96"/>
      <c r="F96"/>
      <c r="M96"/>
      <c r="N96"/>
    </row>
    <row r="97" spans="2:14">
      <c r="B97"/>
      <c r="D97"/>
      <c r="F97"/>
      <c r="M97"/>
      <c r="N97"/>
    </row>
    <row r="98" spans="2:14">
      <c r="B98"/>
      <c r="D98"/>
      <c r="F98"/>
      <c r="M98"/>
      <c r="N98"/>
    </row>
    <row r="99" spans="2:14">
      <c r="B99"/>
      <c r="D99"/>
      <c r="F99"/>
      <c r="M99"/>
      <c r="N99"/>
    </row>
    <row r="100" spans="2:14">
      <c r="B100"/>
      <c r="D100"/>
      <c r="F100"/>
      <c r="M100"/>
      <c r="N100"/>
    </row>
    <row r="101" spans="2:14">
      <c r="B101"/>
      <c r="D101"/>
      <c r="F101"/>
      <c r="M101"/>
      <c r="N101"/>
    </row>
    <row r="102" spans="2:14">
      <c r="B102"/>
      <c r="D102"/>
      <c r="F102"/>
      <c r="M102"/>
      <c r="N102"/>
    </row>
    <row r="103" spans="2:14">
      <c r="B103"/>
      <c r="D103"/>
      <c r="F103"/>
      <c r="M103"/>
      <c r="N103"/>
    </row>
    <row r="104" spans="2:14">
      <c r="B104"/>
      <c r="D104"/>
      <c r="F104"/>
      <c r="M104"/>
      <c r="N104"/>
    </row>
    <row r="105" spans="2:14">
      <c r="B105"/>
      <c r="D105"/>
      <c r="F105"/>
      <c r="M105"/>
      <c r="N105"/>
    </row>
  </sheetData>
  <mergeCells count="8">
    <mergeCell ref="B2:C2"/>
    <mergeCell ref="D2:E2"/>
    <mergeCell ref="F2:G2"/>
    <mergeCell ref="H2:I2"/>
    <mergeCell ref="B30:D30"/>
    <mergeCell ref="B52:D52"/>
    <mergeCell ref="I30:K30"/>
    <mergeCell ref="I52:K52"/>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2B334-282A-436C-A9B5-DD32B9BCC0EF}">
  <sheetPr>
    <tabColor theme="9" tint="0.39997558519241921"/>
  </sheetPr>
  <dimension ref="B2:O53"/>
  <sheetViews>
    <sheetView workbookViewId="0">
      <selection activeCell="C28" sqref="C28"/>
    </sheetView>
  </sheetViews>
  <sheetFormatPr defaultRowHeight="14.5"/>
  <cols>
    <col min="2" max="14" width="15.6328125" customWidth="1"/>
  </cols>
  <sheetData>
    <row r="2" spans="2:8">
      <c r="B2" s="115" t="s">
        <v>202</v>
      </c>
      <c r="C2" s="115"/>
      <c r="D2" s="115"/>
      <c r="E2" s="115"/>
      <c r="F2" s="115"/>
      <c r="G2" s="115"/>
      <c r="H2" s="115"/>
    </row>
    <row r="3" spans="2:8">
      <c r="B3" s="127" t="s">
        <v>156</v>
      </c>
      <c r="C3" s="127"/>
      <c r="D3" s="127"/>
      <c r="E3" s="127"/>
      <c r="F3" s="127"/>
      <c r="G3" s="127"/>
      <c r="H3" s="127"/>
    </row>
    <row r="4" spans="2:8">
      <c r="B4" s="93"/>
      <c r="C4" s="94" t="s">
        <v>191</v>
      </c>
      <c r="D4" s="94" t="s">
        <v>15</v>
      </c>
      <c r="E4" s="94" t="s">
        <v>192</v>
      </c>
      <c r="F4" s="94" t="s">
        <v>18</v>
      </c>
      <c r="G4" s="94" t="s">
        <v>193</v>
      </c>
      <c r="H4" s="94" t="s">
        <v>27</v>
      </c>
    </row>
    <row r="5" spans="2:8">
      <c r="B5" s="82" t="s">
        <v>189</v>
      </c>
      <c r="C5" s="97">
        <f xml:space="preserve"> 23 / 26</f>
        <v>0.88461538461538458</v>
      </c>
      <c r="D5" s="96">
        <f xml:space="preserve"> 21 / 26</f>
        <v>0.80769230769230771</v>
      </c>
      <c r="E5" s="96">
        <f xml:space="preserve"> 22 / 26</f>
        <v>0.84615384615384615</v>
      </c>
      <c r="F5" s="96">
        <f xml:space="preserve"> 19 / 26</f>
        <v>0.73076923076923073</v>
      </c>
      <c r="G5" s="96">
        <f xml:space="preserve"> 15 / 26</f>
        <v>0.57692307692307687</v>
      </c>
      <c r="H5" s="96">
        <f xml:space="preserve"> 12 / 26</f>
        <v>0.46153846153846156</v>
      </c>
    </row>
    <row r="6" spans="2:8">
      <c r="B6" s="82" t="s">
        <v>190</v>
      </c>
      <c r="C6" s="96">
        <f xml:space="preserve"> 3 / 26</f>
        <v>0.11538461538461539</v>
      </c>
      <c r="D6" s="96">
        <f xml:space="preserve"> 5 / 26</f>
        <v>0.19230769230769232</v>
      </c>
      <c r="E6" s="96">
        <f xml:space="preserve"> 4 / 26</f>
        <v>0.15384615384615385</v>
      </c>
      <c r="F6" s="96">
        <f xml:space="preserve"> 7 / 26</f>
        <v>0.26923076923076922</v>
      </c>
      <c r="G6" s="96">
        <f xml:space="preserve"> 11 / 26</f>
        <v>0.42307692307692307</v>
      </c>
      <c r="H6" s="96">
        <f xml:space="preserve"> 14 / 26</f>
        <v>0.53846153846153844</v>
      </c>
    </row>
    <row r="7" spans="2:8">
      <c r="B7" s="127" t="s">
        <v>153</v>
      </c>
      <c r="C7" s="127"/>
      <c r="D7" s="127"/>
      <c r="E7" s="127"/>
      <c r="F7" s="127"/>
      <c r="G7" s="127"/>
      <c r="H7" s="127"/>
    </row>
    <row r="8" spans="2:8">
      <c r="B8" s="95"/>
      <c r="C8" s="95" t="s">
        <v>191</v>
      </c>
      <c r="D8" s="95" t="s">
        <v>15</v>
      </c>
      <c r="E8" s="95" t="s">
        <v>192</v>
      </c>
      <c r="F8" s="95" t="s">
        <v>18</v>
      </c>
      <c r="G8" s="95" t="s">
        <v>193</v>
      </c>
      <c r="H8" s="95" t="s">
        <v>27</v>
      </c>
    </row>
    <row r="9" spans="2:8">
      <c r="B9" s="82" t="s">
        <v>189</v>
      </c>
      <c r="C9" s="96">
        <f xml:space="preserve"> 26 / 26</f>
        <v>1</v>
      </c>
      <c r="D9" s="96">
        <f xml:space="preserve"> 26 / 26</f>
        <v>1</v>
      </c>
      <c r="E9" s="96">
        <f xml:space="preserve"> 26 / 26</f>
        <v>1</v>
      </c>
      <c r="F9" s="96">
        <f xml:space="preserve"> 25 / 26</f>
        <v>0.96153846153846156</v>
      </c>
      <c r="G9" s="96">
        <f xml:space="preserve"> 22 / 26</f>
        <v>0.84615384615384615</v>
      </c>
      <c r="H9" s="96">
        <f xml:space="preserve"> 22 / 26</f>
        <v>0.84615384615384615</v>
      </c>
    </row>
    <row r="10" spans="2:8">
      <c r="B10" s="82" t="s">
        <v>190</v>
      </c>
      <c r="C10" s="96">
        <f xml:space="preserve"> 0 / 26</f>
        <v>0</v>
      </c>
      <c r="D10" s="96">
        <f xml:space="preserve"> 0 / 26</f>
        <v>0</v>
      </c>
      <c r="E10" s="96">
        <f xml:space="preserve"> 0 / 26</f>
        <v>0</v>
      </c>
      <c r="F10" s="96">
        <f xml:space="preserve"> 1 / 26</f>
        <v>3.8461538461538464E-2</v>
      </c>
      <c r="G10" s="96">
        <f xml:space="preserve"> 4 / 26</f>
        <v>0.15384615384615385</v>
      </c>
      <c r="H10" s="96">
        <f xml:space="preserve"> 4 / 26</f>
        <v>0.15384615384615385</v>
      </c>
    </row>
    <row r="12" spans="2:8">
      <c r="B12" s="116" t="s">
        <v>201</v>
      </c>
      <c r="C12" s="116"/>
      <c r="D12" s="116"/>
      <c r="E12" s="116"/>
      <c r="F12" s="116"/>
      <c r="G12" s="116"/>
      <c r="H12" s="116"/>
    </row>
    <row r="13" spans="2:8">
      <c r="B13" s="125" t="s">
        <v>156</v>
      </c>
      <c r="C13" s="125"/>
      <c r="D13" s="125"/>
      <c r="E13" s="125"/>
      <c r="F13" s="125"/>
      <c r="G13" s="125"/>
      <c r="H13" s="125"/>
    </row>
    <row r="14" spans="2:8">
      <c r="B14" s="100"/>
      <c r="C14" s="101" t="s">
        <v>191</v>
      </c>
      <c r="D14" s="101" t="s">
        <v>15</v>
      </c>
      <c r="E14" s="101" t="s">
        <v>192</v>
      </c>
      <c r="F14" s="101" t="s">
        <v>18</v>
      </c>
      <c r="G14" s="101" t="s">
        <v>193</v>
      </c>
      <c r="H14" s="101" t="s">
        <v>27</v>
      </c>
    </row>
    <row r="15" spans="2:8">
      <c r="B15" s="98" t="s">
        <v>189</v>
      </c>
      <c r="C15" s="102">
        <v>23</v>
      </c>
      <c r="D15" s="103">
        <v>21</v>
      </c>
      <c r="E15" s="103">
        <v>22</v>
      </c>
      <c r="F15" s="103">
        <v>19</v>
      </c>
      <c r="G15" s="103">
        <v>15</v>
      </c>
      <c r="H15" s="103">
        <v>12</v>
      </c>
    </row>
    <row r="16" spans="2:8">
      <c r="B16" s="98" t="s">
        <v>190</v>
      </c>
      <c r="C16" s="103">
        <v>3</v>
      </c>
      <c r="D16" s="103">
        <v>5</v>
      </c>
      <c r="E16" s="103">
        <v>4</v>
      </c>
      <c r="F16" s="103">
        <v>7</v>
      </c>
      <c r="G16" s="103">
        <v>11</v>
      </c>
      <c r="H16" s="103">
        <v>14</v>
      </c>
    </row>
    <row r="17" spans="2:8">
      <c r="B17" s="126" t="s">
        <v>153</v>
      </c>
      <c r="C17" s="126"/>
      <c r="D17" s="126"/>
      <c r="E17" s="126"/>
      <c r="F17" s="126"/>
      <c r="G17" s="126"/>
      <c r="H17" s="126"/>
    </row>
    <row r="18" spans="2:8">
      <c r="B18" s="104"/>
      <c r="C18" s="104" t="s">
        <v>191</v>
      </c>
      <c r="D18" s="104" t="s">
        <v>15</v>
      </c>
      <c r="E18" s="104" t="s">
        <v>192</v>
      </c>
      <c r="F18" s="104" t="s">
        <v>18</v>
      </c>
      <c r="G18" s="104" t="s">
        <v>193</v>
      </c>
      <c r="H18" s="104" t="s">
        <v>27</v>
      </c>
    </row>
    <row r="19" spans="2:8">
      <c r="B19" s="98" t="s">
        <v>189</v>
      </c>
      <c r="C19" s="103">
        <v>26</v>
      </c>
      <c r="D19" s="103">
        <v>26</v>
      </c>
      <c r="E19" s="103">
        <v>26</v>
      </c>
      <c r="F19" s="103">
        <v>25</v>
      </c>
      <c r="G19" s="103">
        <v>22</v>
      </c>
      <c r="H19" s="103">
        <v>22</v>
      </c>
    </row>
    <row r="20" spans="2:8">
      <c r="B20" s="98" t="s">
        <v>190</v>
      </c>
      <c r="C20" s="103">
        <v>0</v>
      </c>
      <c r="D20" s="103">
        <v>0</v>
      </c>
      <c r="E20" s="103">
        <f xml:space="preserve"> 0 / 26</f>
        <v>0</v>
      </c>
      <c r="F20" s="103">
        <v>1</v>
      </c>
      <c r="G20" s="103">
        <v>4</v>
      </c>
      <c r="H20" s="103">
        <v>4</v>
      </c>
    </row>
    <row r="21" spans="2:8">
      <c r="G21" s="128"/>
    </row>
    <row r="22" spans="2:8">
      <c r="B22" s="119" t="s">
        <v>188</v>
      </c>
      <c r="C22" s="119"/>
    </row>
    <row r="23" spans="2:8">
      <c r="B23" s="124" t="s">
        <v>153</v>
      </c>
      <c r="C23" s="124" t="s">
        <v>156</v>
      </c>
    </row>
    <row r="24" spans="2:8">
      <c r="B24" s="89">
        <f>'Duplo (Raw)'!AM21 * 1440</f>
        <v>28.00000000000006</v>
      </c>
      <c r="C24" s="89">
        <f>'RSOY (Raw)'!AM9 * 1440</f>
        <v>34.999999999999957</v>
      </c>
    </row>
    <row r="25" spans="2:8">
      <c r="B25" s="89">
        <f>'Duplo (Raw)'!AM19 * 1440</f>
        <v>31.00000000000005</v>
      </c>
      <c r="C25" s="89">
        <f>'RSOY (Raw)'!AM23 * 1440</f>
        <v>57.000000000000036</v>
      </c>
    </row>
    <row r="26" spans="2:8">
      <c r="B26" s="89">
        <f>'Duplo (Raw)'!AM28 * 1440</f>
        <v>32.000000000000043</v>
      </c>
      <c r="C26" s="89">
        <f>'RSOY (Raw)'!AM21 * 1440</f>
        <v>70.000000000000071</v>
      </c>
    </row>
    <row r="27" spans="2:8">
      <c r="B27" s="89">
        <f>'Duplo (Raw)'!AM10 * 1440</f>
        <v>34.000000000000043</v>
      </c>
      <c r="C27" s="89">
        <f>'RSOY (Raw)'!AM17 * 1440</f>
        <v>74.000000000000057</v>
      </c>
    </row>
    <row r="28" spans="2:8">
      <c r="B28" s="89">
        <f>'Duplo (Raw)'!AM29 * 1440</f>
        <v>36.000000000000028</v>
      </c>
      <c r="C28" s="89">
        <f>'RSOY (Raw)'!AM22 * 1440</f>
        <v>74.999999999999972</v>
      </c>
    </row>
    <row r="29" spans="2:8">
      <c r="B29" s="89">
        <f>'Duplo (Raw)'!AM16 * 1440</f>
        <v>42.000000000000014</v>
      </c>
      <c r="C29" s="89">
        <f>'RSOY (Raw)'!AM5 * 1440</f>
        <v>81.000000000000028</v>
      </c>
    </row>
    <row r="30" spans="2:8">
      <c r="B30" s="89">
        <f>'Duplo (Raw)'!AM24 * 1440</f>
        <v>43.000000000000007</v>
      </c>
      <c r="C30" s="89">
        <f>'RSOY (Raw)'!AM28 * 1440</f>
        <v>86.000000000000014</v>
      </c>
    </row>
    <row r="31" spans="2:8">
      <c r="B31" s="89">
        <f>'Duplo (Raw)'!AM8 * 1440</f>
        <v>47.999999999999986</v>
      </c>
      <c r="C31" s="89">
        <f>'RSOY (Raw)'!AM10 * 1440</f>
        <v>87.000000000000014</v>
      </c>
    </row>
    <row r="32" spans="2:8">
      <c r="B32" s="89">
        <f>'Duplo (Raw)'!AM20 * 1440</f>
        <v>47.999999999999986</v>
      </c>
      <c r="C32" s="89">
        <f>'RSOY (Raw)'!AM11 * 1440</f>
        <v>89</v>
      </c>
    </row>
    <row r="33" spans="2:3">
      <c r="B33" s="89">
        <f>'Duplo (Raw)'!AM27 * 1440</f>
        <v>48.999999999999986</v>
      </c>
      <c r="C33" s="89">
        <f>'RSOY (Raw)'!AM27 * 1440</f>
        <v>89</v>
      </c>
    </row>
    <row r="34" spans="2:3">
      <c r="B34" s="89">
        <f>'Duplo (Raw)'!AM7 * 1440</f>
        <v>52.999999999999972</v>
      </c>
      <c r="C34" s="89">
        <f>'RSOY (Raw)'!AM20 * 1440</f>
        <v>92.000000000000071</v>
      </c>
    </row>
    <row r="35" spans="2:3">
      <c r="B35" s="89">
        <f>'Duplo (Raw)'!AM17 * 1440</f>
        <v>54.999999999999964</v>
      </c>
      <c r="C35" s="89">
        <f>'RSOY (Raw)'!AM4 * 1440</f>
        <v>104.99999999999994</v>
      </c>
    </row>
    <row r="36" spans="2:3">
      <c r="B36" s="89">
        <f>'Duplo (Raw)'!AM11 * 1440</f>
        <v>61.000000000000099</v>
      </c>
      <c r="C36" s="89">
        <f>'RSOY (Raw)'!AM7 * 1440</f>
        <v>104.99999999999994</v>
      </c>
    </row>
    <row r="37" spans="2:3">
      <c r="B37" s="89">
        <f>'Duplo (Raw)'!AM18 * 1440</f>
        <v>66</v>
      </c>
      <c r="C37" s="89">
        <f>'RSOY (Raw)'!AM8 * 1440</f>
        <v>104.99999999999994</v>
      </c>
    </row>
    <row r="38" spans="2:3">
      <c r="B38" s="89">
        <f>'Duplo (Raw)'!AM13 * 1440</f>
        <v>69.999999999999986</v>
      </c>
      <c r="C38" s="89">
        <f>'RSOY (Raw)'!AM13 * 1440</f>
        <v>104.99999999999994</v>
      </c>
    </row>
    <row r="39" spans="2:3">
      <c r="B39" s="89">
        <f>'Duplo (Raw)'!AM4 * 1440</f>
        <v>74.000000000000057</v>
      </c>
      <c r="C39" s="89">
        <f>'RSOY (Raw)'!AM14 * 1440</f>
        <v>104.99999999999994</v>
      </c>
    </row>
    <row r="40" spans="2:3">
      <c r="B40" s="89">
        <f>'Duplo (Raw)'!AM25 * 1440</f>
        <v>78.000000000000043</v>
      </c>
      <c r="C40" s="89">
        <f>'RSOY (Raw)'!AM24 * 1440</f>
        <v>104.99999999999994</v>
      </c>
    </row>
    <row r="41" spans="2:3">
      <c r="B41" s="89">
        <f>'Duplo (Raw)'!AM15 * 1440</f>
        <v>84.999999999999943</v>
      </c>
      <c r="C41" s="89">
        <f>'RSOY (Raw)'!AM25 * 1440</f>
        <v>104.99999999999994</v>
      </c>
    </row>
    <row r="42" spans="2:3">
      <c r="B42" s="89">
        <f>'Duplo (Raw)'!AM5 * 1440</f>
        <v>92</v>
      </c>
      <c r="C42" s="89">
        <f>'RSOY (Raw)'!AM26 * 1440</f>
        <v>104.99999999999994</v>
      </c>
    </row>
    <row r="43" spans="2:3">
      <c r="B43" s="89">
        <f>'Duplo (Raw)'!AM22 * 1440</f>
        <v>93.999999999999986</v>
      </c>
      <c r="C43" s="89">
        <f>'RSOY (Raw)'!AM6 * 1440</f>
        <v>105.00000000000003</v>
      </c>
    </row>
    <row r="44" spans="2:3">
      <c r="B44" s="89">
        <f>'Duplo (Raw)'!AM26 * 1440</f>
        <v>96.999999999999972</v>
      </c>
      <c r="C44" s="89">
        <f>'RSOY (Raw)'!AM19 * 1440</f>
        <v>105.00000000000003</v>
      </c>
    </row>
    <row r="45" spans="2:3">
      <c r="B45" s="89">
        <f>'Duplo (Raw)'!AM12 * 1440</f>
        <v>104.99999999999994</v>
      </c>
      <c r="C45" s="89">
        <f>'RSOY (Raw)'!AM12 * 1440</f>
        <v>105.00000000000011</v>
      </c>
    </row>
    <row r="46" spans="2:3">
      <c r="B46" s="89">
        <f>'Duplo (Raw)'!AM14 * 1440</f>
        <v>104.99999999999994</v>
      </c>
      <c r="C46" s="89">
        <f>'RSOY (Raw)'!AM15 * 1440</f>
        <v>105.00000000000011</v>
      </c>
    </row>
    <row r="47" spans="2:3">
      <c r="B47" s="89">
        <f>'Duplo (Raw)'!AM23 * 1440</f>
        <v>104.99999999999994</v>
      </c>
      <c r="C47" s="89">
        <f>'RSOY (Raw)'!AM16 * 1440</f>
        <v>105.00000000000011</v>
      </c>
    </row>
    <row r="48" spans="2:3">
      <c r="B48" s="89">
        <f>'Duplo (Raw)'!AM6 * 1440</f>
        <v>105.00000000000011</v>
      </c>
      <c r="C48" s="89">
        <f>'RSOY (Raw)'!AM18 * 1440</f>
        <v>105.00000000000011</v>
      </c>
    </row>
    <row r="49" spans="2:15">
      <c r="B49" s="89">
        <f>'Duplo (Raw)'!AM9 * 1440</f>
        <v>105.00000000000011</v>
      </c>
      <c r="C49" s="89">
        <f>'RSOY (Raw)'!AM29 * 1440</f>
        <v>105.00000000000011</v>
      </c>
    </row>
    <row r="53" spans="2:15">
      <c r="O53" s="128" t="s">
        <v>210</v>
      </c>
    </row>
  </sheetData>
  <sortState ref="C24:C49">
    <sortCondition ref="C24"/>
  </sortState>
  <mergeCells count="7">
    <mergeCell ref="B22:C22"/>
    <mergeCell ref="B17:H17"/>
    <mergeCell ref="B3:H3"/>
    <mergeCell ref="B7:H7"/>
    <mergeCell ref="B2:H2"/>
    <mergeCell ref="B12:H12"/>
    <mergeCell ref="B13:H13"/>
  </mergeCells>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AC60"/>
  <sheetViews>
    <sheetView workbookViewId="0"/>
  </sheetViews>
  <sheetFormatPr defaultColWidth="14.36328125" defaultRowHeight="15" customHeight="1"/>
  <cols>
    <col min="4" max="4" width="3" customWidth="1"/>
    <col min="11" max="11" width="3" customWidth="1"/>
  </cols>
  <sheetData>
    <row r="2" spans="1:29">
      <c r="A2" s="120" t="s">
        <v>157</v>
      </c>
      <c r="B2" s="107"/>
      <c r="C2" s="107"/>
    </row>
    <row r="4" spans="1:29">
      <c r="A4" s="120" t="s">
        <v>158</v>
      </c>
      <c r="B4" s="107"/>
      <c r="E4" s="121" t="s">
        <v>159</v>
      </c>
      <c r="F4" s="107"/>
      <c r="L4" s="121" t="s">
        <v>160</v>
      </c>
      <c r="M4" s="107"/>
    </row>
    <row r="5" spans="1:29">
      <c r="G5" s="22"/>
      <c r="Q5" s="23" t="s">
        <v>147</v>
      </c>
      <c r="R5" s="23" t="s">
        <v>148</v>
      </c>
      <c r="S5" s="23" t="s">
        <v>149</v>
      </c>
      <c r="T5" s="23" t="s">
        <v>150</v>
      </c>
      <c r="U5" s="24" t="s">
        <v>151</v>
      </c>
      <c r="V5" s="25" t="s">
        <v>152</v>
      </c>
      <c r="X5" s="23" t="s">
        <v>147</v>
      </c>
      <c r="Y5" s="23" t="s">
        <v>148</v>
      </c>
      <c r="Z5" s="23" t="s">
        <v>149</v>
      </c>
      <c r="AA5" s="23" t="s">
        <v>150</v>
      </c>
      <c r="AB5" s="24" t="s">
        <v>151</v>
      </c>
      <c r="AC5" s="25" t="s">
        <v>152</v>
      </c>
    </row>
    <row r="6" spans="1:29">
      <c r="A6" s="31">
        <v>7.2916666666666671E-2</v>
      </c>
      <c r="E6" s="30" t="s">
        <v>146</v>
      </c>
      <c r="F6" s="30"/>
      <c r="G6" s="22"/>
      <c r="H6" s="27" t="s">
        <v>154</v>
      </c>
      <c r="Q6" s="28" t="e">
        <f>AVERAGE(#REF!:#REF!)</f>
        <v>#REF!</v>
      </c>
      <c r="R6" s="28" t="e">
        <f>AVERAGE(#REF!:#REF!)</f>
        <v>#REF!</v>
      </c>
      <c r="S6" s="28" t="e">
        <f>AVERAGE(#REF!:#REF!)</f>
        <v>#REF!</v>
      </c>
      <c r="T6" s="28" t="e">
        <f>AVERAGE(#REF!:#REF!)</f>
        <v>#REF!</v>
      </c>
      <c r="U6" s="28" t="e">
        <f>AVERAGE(#REF!:#REF!)</f>
        <v>#REF!</v>
      </c>
      <c r="V6" s="28" t="e">
        <f>AVERAGE(#REF!:#REF!)</f>
        <v>#REF!</v>
      </c>
      <c r="X6" s="28" t="e">
        <f>AVERAGE(#REF!:#REF!)</f>
        <v>#REF!</v>
      </c>
      <c r="Y6" s="28" t="e">
        <f>AVERAGE(#REF!:#REF!)</f>
        <v>#REF!</v>
      </c>
      <c r="Z6" s="28" t="e">
        <f>AVERAGE(#REF!:#REF!)</f>
        <v>#REF!</v>
      </c>
      <c r="AA6" s="28" t="e">
        <f>AVERAGE(#REF!:#REF!)</f>
        <v>#REF!</v>
      </c>
      <c r="AB6" s="28" t="e">
        <f>AVERAGE(#REF!:#REF!)</f>
        <v>#REF!</v>
      </c>
      <c r="AC6" s="28" t="e">
        <f>AVERAGE(#REF!:#REF!)</f>
        <v>#REF!</v>
      </c>
    </row>
    <row r="7" spans="1:29">
      <c r="E7" s="30"/>
      <c r="F7" s="30"/>
      <c r="G7" s="22"/>
      <c r="L7" s="27" t="s">
        <v>146</v>
      </c>
      <c r="M7" s="29" t="e">
        <f>SUM('Duplo (Raw)'!AL4:'Duplo (Raw)'!#REF!)</f>
        <v>#REF!</v>
      </c>
      <c r="Q7" s="28" t="e">
        <f>AVERAGE(#REF!:#REF!)</f>
        <v>#REF!</v>
      </c>
      <c r="R7" s="28" t="e">
        <f>AVERAGE(#REF!:#REF!)</f>
        <v>#REF!</v>
      </c>
      <c r="S7" s="28" t="e">
        <f>AVERAGE(#REF!:#REF!)</f>
        <v>#REF!</v>
      </c>
      <c r="T7" s="28" t="e">
        <f>AVERAGE(#REF!:#REF!)</f>
        <v>#REF!</v>
      </c>
      <c r="U7" s="28" t="e">
        <f>AVERAGE(#REF!:#REF!)</f>
        <v>#REF!</v>
      </c>
      <c r="V7" s="28" t="e">
        <f>AVERAGE(#REF!:#REF!)</f>
        <v>#REF!</v>
      </c>
      <c r="X7" s="28" t="e">
        <f>AVERAGE(#REF!:#REF!)</f>
        <v>#REF!</v>
      </c>
      <c r="Y7" s="28" t="e">
        <f>AVERAGE(#REF!:#REF!)</f>
        <v>#REF!</v>
      </c>
      <c r="Z7" s="28" t="e">
        <f>AVERAGE(#REF!:#REF!)</f>
        <v>#REF!</v>
      </c>
      <c r="AA7" s="28" t="e">
        <f>AVERAGE(#REF!:#REF!)</f>
        <v>#REF!</v>
      </c>
      <c r="AB7" s="28" t="e">
        <f>AVERAGE(#REF!:#REF!)</f>
        <v>#REF!</v>
      </c>
      <c r="AC7" s="28" t="e">
        <f>AVERAGE(#REF!:#REF!)</f>
        <v>#REF!</v>
      </c>
    </row>
    <row r="8" spans="1:29">
      <c r="A8" s="32" t="e">
        <f>IF('Duplo (Raw)'!AM4&gt;0,IF('Duplo (Raw)'!#REF!=TRUE,'Duplo (Raw)'!AM4,$A$6),"")</f>
        <v>#REF!</v>
      </c>
      <c r="B8" s="33" t="e">
        <f>IF('RSOY (Raw)'!AM4&gt;0,IF('RSOY (Raw)'!#REF!=TRUE,'RSOY (Raw)'!AM4,$A$6),"")</f>
        <v>#REF!</v>
      </c>
      <c r="E8" s="27" t="s">
        <v>161</v>
      </c>
      <c r="F8" s="29" t="e">
        <f>COUNTIF(#REF!,"y")</f>
        <v>#REF!</v>
      </c>
      <c r="G8" s="22" t="e">
        <f>COUNTIF(#REF!,"y")</f>
        <v>#REF!</v>
      </c>
      <c r="H8" s="27" t="s">
        <v>161</v>
      </c>
      <c r="I8" s="34" t="e">
        <f>COUNTIF(#REF!,"y")</f>
        <v>#REF!</v>
      </c>
      <c r="J8" s="34" t="e">
        <f>COUNTIF(#REF!,"y")</f>
        <v>#REF!</v>
      </c>
      <c r="L8" s="27" t="s">
        <v>154</v>
      </c>
      <c r="M8" s="29" t="e">
        <f>SUM('RSOY (Raw)'!AL4:'RSOY (Raw)'!#REF!)</f>
        <v>#REF!</v>
      </c>
      <c r="Q8" s="35" t="e">
        <f t="shared" ref="Q8:V8" si="0">(Q7-Q6)/Q6</f>
        <v>#REF!</v>
      </c>
      <c r="R8" s="35" t="e">
        <f t="shared" si="0"/>
        <v>#REF!</v>
      </c>
      <c r="S8" s="35" t="e">
        <f t="shared" si="0"/>
        <v>#REF!</v>
      </c>
      <c r="T8" s="35" t="e">
        <f t="shared" si="0"/>
        <v>#REF!</v>
      </c>
      <c r="U8" s="35" t="e">
        <f t="shared" si="0"/>
        <v>#REF!</v>
      </c>
      <c r="V8" s="35" t="e">
        <f t="shared" si="0"/>
        <v>#REF!</v>
      </c>
      <c r="W8" s="35"/>
      <c r="X8" s="35" t="e">
        <f t="shared" ref="X8:AC8" si="1">(X7-X6)/X6</f>
        <v>#REF!</v>
      </c>
      <c r="Y8" s="35" t="e">
        <f t="shared" si="1"/>
        <v>#REF!</v>
      </c>
      <c r="Z8" s="35" t="e">
        <f t="shared" si="1"/>
        <v>#REF!</v>
      </c>
      <c r="AA8" s="35" t="e">
        <f t="shared" si="1"/>
        <v>#REF!</v>
      </c>
      <c r="AB8" s="35" t="e">
        <f t="shared" si="1"/>
        <v>#REF!</v>
      </c>
      <c r="AC8" s="35" t="e">
        <f t="shared" si="1"/>
        <v>#REF!</v>
      </c>
    </row>
    <row r="9" spans="1:29">
      <c r="A9" s="32" t="e">
        <f>IF('Duplo (Raw)'!AM5&gt;0,IF('Duplo (Raw)'!#REF!=TRUE,'Duplo (Raw)'!AM5,$A$6),"")</f>
        <v>#REF!</v>
      </c>
      <c r="B9" s="33" t="e">
        <f>IF('RSOY (Raw)'!AM5&gt;0,IF('RSOY (Raw)'!#REF!=TRUE,'RSOY (Raw)'!AM5,$A$6),"")</f>
        <v>#REF!</v>
      </c>
      <c r="E9" s="27" t="s">
        <v>162</v>
      </c>
      <c r="F9" s="29" t="e">
        <f>COUNTIF(#REF!,"N")</f>
        <v>#REF!</v>
      </c>
      <c r="G9" s="22" t="e">
        <f>COUNTIF(#REF!,"N")</f>
        <v>#REF!</v>
      </c>
      <c r="H9" s="27" t="s">
        <v>162</v>
      </c>
      <c r="I9" s="34" t="e">
        <f>COUNTIF(#REF!,"n")</f>
        <v>#REF!</v>
      </c>
      <c r="J9" s="34" t="e">
        <f>COUNTIF(#REF!,"n")</f>
        <v>#REF!</v>
      </c>
      <c r="Q9" s="36" t="e">
        <f t="shared" ref="Q9:V9" si="2">Q8*100</f>
        <v>#REF!</v>
      </c>
      <c r="R9" s="36" t="e">
        <f t="shared" si="2"/>
        <v>#REF!</v>
      </c>
      <c r="S9" s="36" t="e">
        <f t="shared" si="2"/>
        <v>#REF!</v>
      </c>
      <c r="T9" s="36" t="e">
        <f t="shared" si="2"/>
        <v>#REF!</v>
      </c>
      <c r="U9" s="36" t="e">
        <f t="shared" si="2"/>
        <v>#REF!</v>
      </c>
      <c r="V9" s="36" t="e">
        <f t="shared" si="2"/>
        <v>#REF!</v>
      </c>
      <c r="W9" s="36"/>
      <c r="X9" s="36" t="e">
        <f t="shared" ref="X9:AC9" si="3">X8*100</f>
        <v>#REF!</v>
      </c>
      <c r="Y9" s="36" t="e">
        <f t="shared" si="3"/>
        <v>#REF!</v>
      </c>
      <c r="Z9" s="36" t="e">
        <f t="shared" si="3"/>
        <v>#REF!</v>
      </c>
      <c r="AA9" s="36" t="e">
        <f t="shared" si="3"/>
        <v>#REF!</v>
      </c>
      <c r="AB9" s="36" t="e">
        <f t="shared" si="3"/>
        <v>#REF!</v>
      </c>
      <c r="AC9" s="36" t="e">
        <f t="shared" si="3"/>
        <v>#REF!</v>
      </c>
    </row>
    <row r="10" spans="1:29">
      <c r="A10" s="37" t="e">
        <f>IF('Duplo (Raw)'!AM6&gt;0,IF('Duplo (Raw)'!#REF!=TRUE,'Duplo (Raw)'!AM6,$A$6),"")</f>
        <v>#REF!</v>
      </c>
      <c r="B10" s="38" t="e">
        <f>IF('RSOY (Raw)'!AM6&gt;0,IF('RSOY (Raw)'!#REF!=TRUE,'RSOY (Raw)'!AM6,$A$6),"")</f>
        <v>#REF!</v>
      </c>
      <c r="E10" s="27" t="s">
        <v>163</v>
      </c>
      <c r="F10" s="29" t="e">
        <f t="shared" ref="F10:G10" si="4">SUM(F8:F9)</f>
        <v>#REF!</v>
      </c>
      <c r="G10" s="22" t="e">
        <f t="shared" si="4"/>
        <v>#REF!</v>
      </c>
      <c r="H10" s="27" t="s">
        <v>163</v>
      </c>
      <c r="I10" s="29" t="e">
        <f t="shared" ref="I10:J10" si="5">SUM(I8:I9)</f>
        <v>#REF!</v>
      </c>
      <c r="J10" s="29" t="e">
        <f t="shared" si="5"/>
        <v>#REF!</v>
      </c>
    </row>
    <row r="11" spans="1:29">
      <c r="A11" s="32" t="e">
        <f>IF('Duplo (Raw)'!AM7&gt;0,IF('Duplo (Raw)'!#REF!=TRUE,'Duplo (Raw)'!AM7,$A$6),"")</f>
        <v>#REF!</v>
      </c>
      <c r="B11" s="38" t="e">
        <f>IF('RSOY (Raw)'!AM7&gt;0,IF('RSOY (Raw)'!#REF!=TRUE,'RSOY (Raw)'!AM7,$A$6),"")</f>
        <v>#REF!</v>
      </c>
      <c r="E11" s="39" t="b">
        <v>1</v>
      </c>
      <c r="F11" s="34" t="e">
        <f>COUNTIFS(#REF!:#REF!,"TRUE")</f>
        <v>#REF!</v>
      </c>
      <c r="G11" s="22"/>
      <c r="H11" s="39" t="b">
        <v>1</v>
      </c>
      <c r="I11" s="34" t="e">
        <f>COUNTIFS(#REF!:#REF!,"TRUE")</f>
        <v>#REF!</v>
      </c>
    </row>
    <row r="12" spans="1:29">
      <c r="A12" s="32" t="e">
        <f>IF('Duplo (Raw)'!AM8&gt;0,IF('Duplo (Raw)'!#REF!=TRUE,'Duplo (Raw)'!AM8,$A$6),"")</f>
        <v>#REF!</v>
      </c>
      <c r="B12" s="38" t="e">
        <f>IF('RSOY (Raw)'!AM8&gt;0,IF('RSOY (Raw)'!#REF!=TRUE,'RSOY (Raw)'!AM8,$A$6),"")</f>
        <v>#REF!</v>
      </c>
      <c r="E12" s="27" t="s">
        <v>164</v>
      </c>
      <c r="F12" s="29" t="e">
        <f t="shared" ref="F12:G12" si="6">((F8-$F$11)/F10)*100</f>
        <v>#REF!</v>
      </c>
      <c r="G12" s="22" t="e">
        <f t="shared" si="6"/>
        <v>#REF!</v>
      </c>
      <c r="H12" s="27" t="s">
        <v>164</v>
      </c>
      <c r="I12" s="29" t="e">
        <f t="shared" ref="I12:J12" si="7">((I8-$I$11)/I10)*100</f>
        <v>#REF!</v>
      </c>
      <c r="J12" s="29" t="e">
        <f t="shared" si="7"/>
        <v>#REF!</v>
      </c>
      <c r="Q12" s="20" t="s">
        <v>14</v>
      </c>
      <c r="R12" s="20" t="s">
        <v>15</v>
      </c>
      <c r="S12" s="15" t="s">
        <v>17</v>
      </c>
      <c r="T12" s="15" t="s">
        <v>18</v>
      </c>
      <c r="U12" s="15" t="s">
        <v>20</v>
      </c>
      <c r="V12" s="15" t="s">
        <v>27</v>
      </c>
      <c r="X12" s="20" t="s">
        <v>14</v>
      </c>
      <c r="Y12" s="20" t="s">
        <v>15</v>
      </c>
      <c r="Z12" s="15" t="s">
        <v>17</v>
      </c>
      <c r="AA12" s="15" t="s">
        <v>18</v>
      </c>
      <c r="AB12" s="15" t="s">
        <v>20</v>
      </c>
      <c r="AC12" s="15" t="s">
        <v>27</v>
      </c>
    </row>
    <row r="13" spans="1:29">
      <c r="A13" s="37" t="e">
        <f>IF('Duplo (Raw)'!AM9&gt;0,IF('Duplo (Raw)'!#REF!=TRUE,'Duplo (Raw)'!AM9,$A$6),"")</f>
        <v>#REF!</v>
      </c>
      <c r="B13" s="33" t="e">
        <f>IF('RSOY (Raw)'!AM9&gt;0,IF('RSOY (Raw)'!#REF!=TRUE,'RSOY (Raw)'!AM9,$A$6),"")</f>
        <v>#REF!</v>
      </c>
      <c r="E13" s="40" t="s">
        <v>165</v>
      </c>
      <c r="F13" s="29" t="e">
        <f t="shared" ref="F13:G13" si="8">100-F12</f>
        <v>#REF!</v>
      </c>
      <c r="G13" s="22" t="e">
        <f t="shared" si="8"/>
        <v>#REF!</v>
      </c>
      <c r="H13" s="40" t="s">
        <v>165</v>
      </c>
      <c r="I13" s="29" t="e">
        <f t="shared" ref="I13:J13" si="9">100-I12</f>
        <v>#REF!</v>
      </c>
      <c r="J13" s="29" t="e">
        <f t="shared" si="9"/>
        <v>#REF!</v>
      </c>
      <c r="Q13" s="29" t="e">
        <f>COUNTIF(#REF!:#REF!,"y")</f>
        <v>#REF!</v>
      </c>
      <c r="R13" s="29" t="e">
        <f>COUNTIF(#REF!:#REF!,"y")</f>
        <v>#REF!</v>
      </c>
      <c r="S13" s="29" t="e">
        <f>COUNTIF(#REF!:#REF!,"y")</f>
        <v>#REF!</v>
      </c>
      <c r="T13" s="29" t="e">
        <f>COUNTIF(#REF!:#REF!,"y")</f>
        <v>#REF!</v>
      </c>
      <c r="U13" s="29" t="e">
        <f>COUNTIF(#REF!:#REF!,"y")</f>
        <v>#REF!</v>
      </c>
      <c r="V13" s="29" t="e">
        <f>COUNTIF(#REF!:#REF!,"y")</f>
        <v>#REF!</v>
      </c>
      <c r="X13" s="29" t="e">
        <f>COUNTIF(#REF!:#REF!,"y")</f>
        <v>#REF!</v>
      </c>
      <c r="Y13" s="29" t="e">
        <f>COUNTIF(#REF!:#REF!,"y")</f>
        <v>#REF!</v>
      </c>
      <c r="Z13" s="29" t="e">
        <f>COUNTIF(#REF!:#REF!,"y")</f>
        <v>#REF!</v>
      </c>
      <c r="AA13" s="29" t="e">
        <f>COUNTIF(#REF!:#REF!,"y")</f>
        <v>#REF!</v>
      </c>
      <c r="AB13" s="29" t="e">
        <f>COUNTIF(#REF!:#REF!,"y")</f>
        <v>#REF!</v>
      </c>
      <c r="AC13" s="29" t="e">
        <f>COUNTIF(#REF!:#REF!,"y")</f>
        <v>#REF!</v>
      </c>
    </row>
    <row r="14" spans="1:29">
      <c r="A14" s="32" t="e">
        <f>IF('Duplo (Raw)'!AM10&gt;0,IF('Duplo (Raw)'!#REF!=TRUE,'Duplo (Raw)'!AM10,$A$6),"")</f>
        <v>#REF!</v>
      </c>
      <c r="B14" s="33" t="e">
        <f>IF('RSOY (Raw)'!AM10&gt;0,IF('RSOY (Raw)'!#REF!=TRUE,'RSOY (Raw)'!AM10,$A$6),"")</f>
        <v>#REF!</v>
      </c>
      <c r="G14" s="22"/>
      <c r="Q14" s="41" t="e">
        <f>COUNTIF(#REF!:#REF!,"n")</f>
        <v>#REF!</v>
      </c>
      <c r="R14" s="41" t="e">
        <f>COUNTIF(#REF!:#REF!,"n")</f>
        <v>#REF!</v>
      </c>
      <c r="S14" s="41" t="e">
        <f>COUNTIF(#REF!:#REF!,"n")</f>
        <v>#REF!</v>
      </c>
      <c r="T14" s="41" t="e">
        <f>COUNTIF(#REF!:#REF!,"n")</f>
        <v>#REF!</v>
      </c>
      <c r="U14" s="41" t="e">
        <f>COUNTIF(#REF!:#REF!,"n")</f>
        <v>#REF!</v>
      </c>
      <c r="V14" s="41" t="e">
        <f>COUNTIF(#REF!:#REF!,"n")</f>
        <v>#REF!</v>
      </c>
      <c r="W14" s="42"/>
      <c r="X14" s="42" t="e">
        <f>COUNTIF(#REF!:#REF!,"n")</f>
        <v>#REF!</v>
      </c>
      <c r="Y14" s="42" t="e">
        <f>COUNTIF(#REF!:#REF!,"n")</f>
        <v>#REF!</v>
      </c>
      <c r="Z14" s="42" t="e">
        <f>COUNTIF(#REF!:#REF!,"n")</f>
        <v>#REF!</v>
      </c>
      <c r="AA14" s="42" t="e">
        <f>COUNTIF(#REF!:#REF!,"n")</f>
        <v>#REF!</v>
      </c>
      <c r="AB14" s="42" t="e">
        <f>COUNTIF(#REF!:#REF!,"n")</f>
        <v>#REF!</v>
      </c>
      <c r="AC14" s="42" t="e">
        <f>COUNTIF(#REF!:#REF!,"n")</f>
        <v>#REF!</v>
      </c>
    </row>
    <row r="15" spans="1:29">
      <c r="A15" s="32" t="e">
        <f>IF('Duplo (Raw)'!AM11&gt;0,IF('Duplo (Raw)'!#REF!=TRUE,'Duplo (Raw)'!AM11,$A$6),"")</f>
        <v>#REF!</v>
      </c>
      <c r="B15" s="33" t="e">
        <f>IF('RSOY (Raw)'!AM11&gt;0,IF('RSOY (Raw)'!#REF!=TRUE,'RSOY (Raw)'!AM11,$A$6),"")</f>
        <v>#REF!</v>
      </c>
      <c r="Q15" s="29" t="e">
        <f>COUNTIF(#REF!:#REF!,"y")</f>
        <v>#REF!</v>
      </c>
      <c r="R15" s="29" t="e">
        <f>COUNTIF(#REF!:#REF!,"y")</f>
        <v>#REF!</v>
      </c>
      <c r="S15" s="29" t="e">
        <f>COUNTIF(#REF!:#REF!,"y")</f>
        <v>#REF!</v>
      </c>
      <c r="T15" s="29" t="e">
        <f>COUNTIF(#REF!:#REF!,"y")</f>
        <v>#REF!</v>
      </c>
      <c r="U15" s="29" t="e">
        <f>COUNTIF(#REF!:#REF!,"y")</f>
        <v>#REF!</v>
      </c>
      <c r="V15" s="29" t="e">
        <f>COUNTIF(#REF!:#REF!,"y")</f>
        <v>#REF!</v>
      </c>
      <c r="X15" s="29" t="e">
        <f>COUNTIF(#REF!:#REF!,"y")</f>
        <v>#REF!</v>
      </c>
      <c r="Y15" s="29" t="e">
        <f>COUNTIF(#REF!:#REF!,"y")</f>
        <v>#REF!</v>
      </c>
      <c r="Z15" s="29" t="e">
        <f>COUNTIF(#REF!:#REF!,"y")</f>
        <v>#REF!</v>
      </c>
      <c r="AA15" s="29" t="e">
        <f>COUNTIF(#REF!:#REF!,"y")</f>
        <v>#REF!</v>
      </c>
      <c r="AB15" s="29" t="e">
        <f>COUNTIF(#REF!:#REF!,"y")</f>
        <v>#REF!</v>
      </c>
      <c r="AC15" s="29" t="e">
        <f>COUNTIF(#REF!:#REF!,"y")</f>
        <v>#REF!</v>
      </c>
    </row>
    <row r="16" spans="1:29">
      <c r="A16" s="37" t="e">
        <f>IF('Duplo (Raw)'!AM12&gt;0,IF('Duplo (Raw)'!#REF!=TRUE,'Duplo (Raw)'!AM12,$A$6),"")</f>
        <v>#REF!</v>
      </c>
      <c r="B16" s="38" t="e">
        <f>IF('RSOY (Raw)'!AM12&gt;0,IF('RSOY (Raw)'!#REF!=TRUE,'RSOY (Raw)'!AM12,$A$6),"")</f>
        <v>#REF!</v>
      </c>
      <c r="Q16" s="29" t="e">
        <f>COUNTIF(#REF!:#REF!,"n")</f>
        <v>#REF!</v>
      </c>
      <c r="R16" s="29" t="e">
        <f>COUNTIF(#REF!:#REF!,"n")</f>
        <v>#REF!</v>
      </c>
      <c r="S16" s="29" t="e">
        <f>COUNTIF(#REF!:#REF!,"n")</f>
        <v>#REF!</v>
      </c>
      <c r="T16" s="29" t="e">
        <f>COUNTIF(#REF!:#REF!,"n")</f>
        <v>#REF!</v>
      </c>
      <c r="U16" s="29" t="e">
        <f>COUNTIF(#REF!:#REF!,"n")</f>
        <v>#REF!</v>
      </c>
      <c r="V16" s="29" t="e">
        <f>COUNTIF(#REF!:#REF!,"n")</f>
        <v>#REF!</v>
      </c>
      <c r="X16" s="29" t="e">
        <f>COUNTIF(#REF!:#REF!,"n")</f>
        <v>#REF!</v>
      </c>
      <c r="Y16" s="29" t="e">
        <f>COUNTIF(#REF!:#REF!,"n")</f>
        <v>#REF!</v>
      </c>
      <c r="Z16" s="29" t="e">
        <f>COUNTIF(#REF!:#REF!,"n")</f>
        <v>#REF!</v>
      </c>
      <c r="AA16" s="29" t="e">
        <f>COUNTIF(#REF!:#REF!,"n")</f>
        <v>#REF!</v>
      </c>
      <c r="AB16" s="29" t="e">
        <f>COUNTIF(#REF!:#REF!,"n")</f>
        <v>#REF!</v>
      </c>
      <c r="AC16" s="29" t="e">
        <f>COUNTIF(#REF!:#REF!,"n")</f>
        <v>#REF!</v>
      </c>
    </row>
    <row r="17" spans="1:29">
      <c r="A17" s="32" t="e">
        <f>IF('Duplo (Raw)'!AM13&gt;0,IF('Duplo (Raw)'!#REF!=TRUE,'Duplo (Raw)'!AM13,$A$6),"")</f>
        <v>#REF!</v>
      </c>
      <c r="B17" s="38" t="e">
        <f>IF('RSOY (Raw)'!AM13&gt;0,IF('RSOY (Raw)'!#REF!=TRUE,'RSOY (Raw)'!AM13,$A$6),"")</f>
        <v>#REF!</v>
      </c>
    </row>
    <row r="18" spans="1:29">
      <c r="A18" s="37" t="e">
        <f>IF('Duplo (Raw)'!AM14&gt;0,IF('Duplo (Raw)'!#REF!=TRUE,'Duplo (Raw)'!AM14,$A$6),"")</f>
        <v>#REF!</v>
      </c>
      <c r="B18" s="38" t="e">
        <f>IF('RSOY (Raw)'!AM14&gt;0,IF('RSOY (Raw)'!#REF!=TRUE,'RSOY (Raw)'!AM14,$A$6),"")</f>
        <v>#REF!</v>
      </c>
      <c r="Q18" s="29" t="e">
        <f t="shared" ref="Q18:V18" si="10">(Q13/20)*100</f>
        <v>#REF!</v>
      </c>
      <c r="R18" s="29" t="e">
        <f t="shared" si="10"/>
        <v>#REF!</v>
      </c>
      <c r="S18" s="29" t="e">
        <f t="shared" si="10"/>
        <v>#REF!</v>
      </c>
      <c r="T18" s="29" t="e">
        <f t="shared" si="10"/>
        <v>#REF!</v>
      </c>
      <c r="U18" s="29" t="e">
        <f t="shared" si="10"/>
        <v>#REF!</v>
      </c>
      <c r="V18" s="29" t="e">
        <f t="shared" si="10"/>
        <v>#REF!</v>
      </c>
      <c r="X18" s="29" t="e">
        <f t="shared" ref="X18:AC18" si="11">(X13/20)*100</f>
        <v>#REF!</v>
      </c>
      <c r="Y18" s="29" t="e">
        <f t="shared" si="11"/>
        <v>#REF!</v>
      </c>
      <c r="Z18" s="29" t="e">
        <f t="shared" si="11"/>
        <v>#REF!</v>
      </c>
      <c r="AA18" s="29" t="e">
        <f t="shared" si="11"/>
        <v>#REF!</v>
      </c>
      <c r="AB18" s="29" t="e">
        <f t="shared" si="11"/>
        <v>#REF!</v>
      </c>
      <c r="AC18" s="29" t="e">
        <f t="shared" si="11"/>
        <v>#REF!</v>
      </c>
    </row>
    <row r="19" spans="1:29">
      <c r="A19" s="32" t="e">
        <f>IF('Duplo (Raw)'!AM15&gt;0,IF('Duplo (Raw)'!#REF!=TRUE,'Duplo (Raw)'!AM15,$A$6),"")</f>
        <v>#REF!</v>
      </c>
      <c r="B19" s="38" t="e">
        <f>IF('RSOY (Raw)'!AM15&gt;0,IF('RSOY (Raw)'!#REF!=TRUE,'RSOY (Raw)'!AM15,$A$6),"")</f>
        <v>#REF!</v>
      </c>
      <c r="Q19" s="43" t="e">
        <f t="shared" ref="Q19:V19" si="12">(Q15/24)*100</f>
        <v>#REF!</v>
      </c>
      <c r="R19" s="43" t="e">
        <f t="shared" si="12"/>
        <v>#REF!</v>
      </c>
      <c r="S19" s="43" t="e">
        <f t="shared" si="12"/>
        <v>#REF!</v>
      </c>
      <c r="T19" s="43" t="e">
        <f t="shared" si="12"/>
        <v>#REF!</v>
      </c>
      <c r="U19" s="43" t="e">
        <f t="shared" si="12"/>
        <v>#REF!</v>
      </c>
      <c r="V19" s="43" t="e">
        <f t="shared" si="12"/>
        <v>#REF!</v>
      </c>
      <c r="X19" s="43" t="e">
        <f t="shared" ref="X19:AC19" si="13">(X15/24)*100</f>
        <v>#REF!</v>
      </c>
      <c r="Y19" s="43" t="e">
        <f t="shared" si="13"/>
        <v>#REF!</v>
      </c>
      <c r="Z19" s="43" t="e">
        <f t="shared" si="13"/>
        <v>#REF!</v>
      </c>
      <c r="AA19" s="43" t="e">
        <f t="shared" si="13"/>
        <v>#REF!</v>
      </c>
      <c r="AB19" s="43" t="e">
        <f t="shared" si="13"/>
        <v>#REF!</v>
      </c>
      <c r="AC19" s="43" t="e">
        <f t="shared" si="13"/>
        <v>#REF!</v>
      </c>
    </row>
    <row r="20" spans="1:29">
      <c r="A20" s="32" t="e">
        <f>IF('Duplo (Raw)'!AM16&gt;0,IF('Duplo (Raw)'!#REF!=TRUE,'Duplo (Raw)'!AM16,$A$6),"")</f>
        <v>#REF!</v>
      </c>
      <c r="B20" s="33" t="e">
        <f>IF('RSOY (Raw)'!AM16&gt;0,IF('RSOY (Raw)'!#REF!=TRUE,'RSOY (Raw)'!AM16,$A$6),"")</f>
        <v>#REF!</v>
      </c>
      <c r="Q20" s="44" t="e">
        <f t="shared" ref="Q20:V20" si="14">Q18-Q19</f>
        <v>#REF!</v>
      </c>
      <c r="R20" s="44" t="e">
        <f t="shared" si="14"/>
        <v>#REF!</v>
      </c>
      <c r="S20" s="44" t="e">
        <f t="shared" si="14"/>
        <v>#REF!</v>
      </c>
      <c r="T20" s="44" t="e">
        <f t="shared" si="14"/>
        <v>#REF!</v>
      </c>
      <c r="U20" s="44" t="e">
        <f t="shared" si="14"/>
        <v>#REF!</v>
      </c>
      <c r="V20" s="44" t="e">
        <f t="shared" si="14"/>
        <v>#REF!</v>
      </c>
      <c r="W20" s="45"/>
      <c r="X20" s="44" t="e">
        <f t="shared" ref="X20:AC20" si="15">X18-X19</f>
        <v>#REF!</v>
      </c>
      <c r="Y20" s="44" t="e">
        <f t="shared" si="15"/>
        <v>#REF!</v>
      </c>
      <c r="Z20" s="44" t="e">
        <f t="shared" si="15"/>
        <v>#REF!</v>
      </c>
      <c r="AA20" s="44" t="e">
        <f t="shared" si="15"/>
        <v>#REF!</v>
      </c>
      <c r="AB20" s="44" t="e">
        <f t="shared" si="15"/>
        <v>#REF!</v>
      </c>
      <c r="AC20" s="44" t="e">
        <f t="shared" si="15"/>
        <v>#REF!</v>
      </c>
    </row>
    <row r="21" spans="1:29">
      <c r="A21" s="32" t="e">
        <f>IF('Duplo (Raw)'!AM17&gt;0,IF('Duplo (Raw)'!#REF!=TRUE,'Duplo (Raw)'!AM17,$A$6),"")</f>
        <v>#REF!</v>
      </c>
      <c r="B21" s="33" t="e">
        <f>IF('RSOY (Raw)'!AM17&gt;0,IF('RSOY (Raw)'!#REF!=TRUE,'RSOY (Raw)'!AM17,$A$6),"")</f>
        <v>#REF!</v>
      </c>
    </row>
    <row r="22" spans="1:29">
      <c r="A22" s="32" t="e">
        <f>IF('Duplo (Raw)'!AM18&gt;0,IF('Duplo (Raw)'!#REF!=TRUE,'Duplo (Raw)'!AM18,$A$6),"")</f>
        <v>#REF!</v>
      </c>
      <c r="B22" s="38" t="e">
        <f>IF('RSOY (Raw)'!AM18&gt;0,IF('RSOY (Raw)'!#REF!=TRUE,'RSOY (Raw)'!AM18,$A$6),"")</f>
        <v>#REF!</v>
      </c>
    </row>
    <row r="23" spans="1:29">
      <c r="A23" s="32" t="e">
        <f>IF('Duplo (Raw)'!AM19&gt;0,IF('Duplo (Raw)'!#REF!=TRUE,'Duplo (Raw)'!AM19,$A$6),"")</f>
        <v>#REF!</v>
      </c>
      <c r="B23" s="38" t="e">
        <f>IF('RSOY (Raw)'!AM19&gt;0,IF('RSOY (Raw)'!#REF!=TRUE,'RSOY (Raw)'!AM19,$A$6),"")</f>
        <v>#REF!</v>
      </c>
    </row>
    <row r="24" spans="1:29">
      <c r="A24" s="32" t="e">
        <f>IF('Duplo (Raw)'!AM20&gt;0,IF('Duplo (Raw)'!#REF!=TRUE,'Duplo (Raw)'!AM20,$A$6),"")</f>
        <v>#REF!</v>
      </c>
      <c r="B24" s="33" t="e">
        <f>IF('RSOY (Raw)'!AM20&gt;0,IF('RSOY (Raw)'!#REF!=TRUE,'RSOY (Raw)'!AM20,$A$6),"")</f>
        <v>#REF!</v>
      </c>
    </row>
    <row r="25" spans="1:29">
      <c r="A25" s="32" t="e">
        <f>IF('Duplo (Raw)'!AM21&gt;0,IF('Duplo (Raw)'!#REF!=TRUE,'Duplo (Raw)'!AM21,$A$6),"")</f>
        <v>#REF!</v>
      </c>
      <c r="B25" s="33" t="e">
        <f>IF('RSOY (Raw)'!AM21&gt;0,IF('RSOY (Raw)'!#REF!=TRUE,'RSOY (Raw)'!AM21,$A$6),"")</f>
        <v>#REF!</v>
      </c>
      <c r="P25" s="46"/>
    </row>
    <row r="26" spans="1:29">
      <c r="A26" s="32" t="e">
        <f>IF('Duplo (Raw)'!AM22&gt;0,IF('Duplo (Raw)'!#REF!=TRUE,'Duplo (Raw)'!AM22,$A$6),"")</f>
        <v>#REF!</v>
      </c>
      <c r="B26" s="33" t="e">
        <f>IF('RSOY (Raw)'!AM22&gt;0,IF('RSOY (Raw)'!#REF!=TRUE,'RSOY (Raw)'!AM22,$A$6),"")</f>
        <v>#REF!</v>
      </c>
    </row>
    <row r="27" spans="1:29">
      <c r="A27" s="37" t="e">
        <f>IF('Duplo (Raw)'!AM23&gt;0,IF('Duplo (Raw)'!#REF!=TRUE,'Duplo (Raw)'!AM23,$A$6),"")</f>
        <v>#REF!</v>
      </c>
      <c r="B27" s="33" t="e">
        <f>IF('RSOY (Raw)'!AM23&gt;0,IF('RSOY (Raw)'!#REF!=TRUE,'RSOY (Raw)'!AM23,$A$6),"")</f>
        <v>#REF!</v>
      </c>
    </row>
    <row r="28" spans="1:29">
      <c r="A28" s="32" t="e">
        <f>IF('Duplo (Raw)'!AM24&gt;0,IF('Duplo (Raw)'!#REF!=TRUE,'Duplo (Raw)'!AM24,$A$6),"")</f>
        <v>#REF!</v>
      </c>
      <c r="B28" s="38" t="e">
        <f>IF('RSOY (Raw)'!AM24&gt;0,IF('RSOY (Raw)'!#REF!=TRUE,'RSOY (Raw)'!AM24,$A$6),"")</f>
        <v>#REF!</v>
      </c>
    </row>
    <row r="29" spans="1:29">
      <c r="A29" s="32" t="e">
        <f>IF('Duplo (Raw)'!AM25&gt;0,IF('Duplo (Raw)'!#REF!=TRUE,'Duplo (Raw)'!AM25,$A$6),"")</f>
        <v>#REF!</v>
      </c>
      <c r="B29" s="38" t="e">
        <f>IF('RSOY (Raw)'!AM25&gt;0,IF('RSOY (Raw)'!#REF!=TRUE,'RSOY (Raw)'!AM25,$A$6),"")</f>
        <v>#REF!</v>
      </c>
    </row>
    <row r="30" spans="1:29">
      <c r="A30" s="32" t="e">
        <f>IF('Duplo (Raw)'!AM26&gt;0,IF('Duplo (Raw)'!#REF!=TRUE,'Duplo (Raw)'!AM26,$A$6),"")</f>
        <v>#REF!</v>
      </c>
      <c r="B30" s="38" t="e">
        <f>IF('RSOY (Raw)'!AM26&gt;0,IF('RSOY (Raw)'!#REF!=TRUE,'RSOY (Raw)'!AM26,$A$6),"")</f>
        <v>#REF!</v>
      </c>
    </row>
    <row r="31" spans="1:29">
      <c r="A31" s="32" t="e">
        <f>IF('Duplo (Raw)'!AM27&gt;0,IF('Duplo (Raw)'!#REF!=TRUE,'Duplo (Raw)'!AM27,$A$6),"")</f>
        <v>#REF!</v>
      </c>
      <c r="B31" s="33" t="e">
        <f>IF('RSOY (Raw)'!AM27&gt;0,IF('RSOY (Raw)'!#REF!=TRUE,'RSOY (Raw)'!AM27,$A$6),"")</f>
        <v>#REF!</v>
      </c>
    </row>
    <row r="32" spans="1:29">
      <c r="A32" s="32" t="e">
        <f>IF('Duplo (Raw)'!AM28&gt;0,IF('Duplo (Raw)'!#REF!=TRUE,'Duplo (Raw)'!AM28,$A$6),"")</f>
        <v>#REF!</v>
      </c>
      <c r="B32" s="33" t="e">
        <f>IF('RSOY (Raw)'!AM28&gt;0,IF('RSOY (Raw)'!#REF!=TRUE,'RSOY (Raw)'!AM28,$A$6),"")</f>
        <v>#REF!</v>
      </c>
    </row>
    <row r="33" spans="1:2">
      <c r="A33" s="32" t="e">
        <f>IF('Duplo (Raw)'!AM29&gt;0,IF('Duplo (Raw)'!#REF!=TRUE,'Duplo (Raw)'!AM29,$A$6),"")</f>
        <v>#REF!</v>
      </c>
      <c r="B33" s="38" t="e">
        <f>IF('RSOY (Raw)'!AM29&gt;0,IF('RSOY (Raw)'!#REF!=TRUE,'RSOY (Raw)'!AM29,$A$6),"")</f>
        <v>#REF!</v>
      </c>
    </row>
    <row r="34" spans="1:2">
      <c r="A34" s="47" t="e">
        <f>IF('Duplo (Raw)'!#REF!&gt;0,IF('Duplo (Raw)'!#REF!=TRUE,'Duplo (Raw)'!#REF!,$A$6),"")</f>
        <v>#REF!</v>
      </c>
      <c r="B34" s="48" t="e">
        <f>IF('RSOY (Raw)'!#REF!&gt;0,IF('RSOY (Raw)'!#REF!=TRUE,'RSOY (Raw)'!#REF!,$A$6),"")</f>
        <v>#REF!</v>
      </c>
    </row>
    <row r="35" spans="1:2">
      <c r="A35" s="47" t="e">
        <f>IF('Duplo (Raw)'!#REF!&gt;0,IF('Duplo (Raw)'!#REF!=TRUE,'Duplo (Raw)'!#REF!,$A$6),"")</f>
        <v>#REF!</v>
      </c>
      <c r="B35" s="48" t="e">
        <f>IF('RSOY (Raw)'!#REF!&gt;0,IF('RSOY (Raw)'!#REF!=TRUE,'RSOY (Raw)'!#REF!,$A$6),"")</f>
        <v>#REF!</v>
      </c>
    </row>
    <row r="36" spans="1:2">
      <c r="A36" s="47" t="e">
        <f>IF('Duplo (Raw)'!#REF!&gt;0,IF('Duplo (Raw)'!#REF!=TRUE,'Duplo (Raw)'!#REF!,$A$6),"")</f>
        <v>#REF!</v>
      </c>
      <c r="B36" s="48" t="e">
        <f>IF('RSOY (Raw)'!#REF!&gt;0,IF('RSOY (Raw)'!#REF!=TRUE,'RSOY (Raw)'!#REF!,$A$6),"")</f>
        <v>#REF!</v>
      </c>
    </row>
    <row r="37" spans="1:2">
      <c r="A37" s="47" t="e">
        <f>IF('Duplo (Raw)'!#REF!&gt;0,IF('Duplo (Raw)'!#REF!=TRUE,'Duplo (Raw)'!#REF!,$A$6),"")</f>
        <v>#REF!</v>
      </c>
      <c r="B37" s="48" t="e">
        <f>IF('RSOY (Raw)'!#REF!&gt;0,IF('RSOY (Raw)'!#REF!=TRUE,'RSOY (Raw)'!#REF!,$A$6),"")</f>
        <v>#REF!</v>
      </c>
    </row>
    <row r="38" spans="1:2">
      <c r="A38" s="47" t="e">
        <f>IF('Duplo (Raw)'!#REF!&gt;0,IF('Duplo (Raw)'!#REF!=TRUE,'Duplo (Raw)'!#REF!,$A$6),"")</f>
        <v>#REF!</v>
      </c>
      <c r="B38" s="48" t="e">
        <f>IF('RSOY (Raw)'!#REF!&gt;0,IF('RSOY (Raw)'!#REF!=TRUE,'RSOY (Raw)'!#REF!,$A$6),"")</f>
        <v>#REF!</v>
      </c>
    </row>
    <row r="39" spans="1:2">
      <c r="A39" s="47" t="e">
        <f>IF('Duplo (Raw)'!#REF!&gt;0,IF('Duplo (Raw)'!#REF!=TRUE,'Duplo (Raw)'!#REF!,$A$6),"")</f>
        <v>#REF!</v>
      </c>
      <c r="B39" s="48" t="e">
        <f>IF('RSOY (Raw)'!#REF!&gt;0,IF('RSOY (Raw)'!#REF!=TRUE,'RSOY (Raw)'!#REF!,$A$6),"")</f>
        <v>#REF!</v>
      </c>
    </row>
    <row r="40" spans="1:2">
      <c r="A40" s="47" t="e">
        <f>IF('Duplo (Raw)'!#REF!&gt;0,IF('Duplo (Raw)'!#REF!=TRUE,'Duplo (Raw)'!#REF!,$A$6),"")</f>
        <v>#REF!</v>
      </c>
      <c r="B40" s="48" t="e">
        <f>IF('RSOY (Raw)'!#REF!&gt;0,IF('RSOY (Raw)'!#REF!=TRUE,'RSOY (Raw)'!#REF!,$A$6),"")</f>
        <v>#REF!</v>
      </c>
    </row>
    <row r="41" spans="1:2">
      <c r="A41" s="47" t="e">
        <f>IF('Duplo (Raw)'!#REF!&gt;0,IF('Duplo (Raw)'!#REF!=TRUE,'Duplo (Raw)'!#REF!,$A$6),"")</f>
        <v>#REF!</v>
      </c>
      <c r="B41" s="48" t="e">
        <f>IF('RSOY (Raw)'!#REF!&gt;0,IF('RSOY (Raw)'!#REF!=TRUE,'RSOY (Raw)'!#REF!,$A$6),"")</f>
        <v>#REF!</v>
      </c>
    </row>
    <row r="42" spans="1:2">
      <c r="A42" s="47" t="e">
        <f>IF('Duplo (Raw)'!#REF!&gt;0,IF('Duplo (Raw)'!#REF!=TRUE,'Duplo (Raw)'!#REF!,$A$6),"")</f>
        <v>#REF!</v>
      </c>
      <c r="B42" s="48" t="e">
        <f>IF('RSOY (Raw)'!#REF!&gt;0,IF('RSOY (Raw)'!#REF!=TRUE,'RSOY (Raw)'!#REF!,$A$6),"")</f>
        <v>#REF!</v>
      </c>
    </row>
    <row r="43" spans="1:2">
      <c r="A43" s="49" t="e">
        <f>IF('Duplo (Raw)'!AM23&gt;0,IF('Duplo (Raw)'!#REF!=TRUE,'Duplo (Raw)'!AM23,$A$6),"")</f>
        <v>#REF!</v>
      </c>
      <c r="B43" s="50" t="e">
        <f>IF('RSOY (Raw)'!AM24&gt;0,IF('RSOY (Raw)'!#REF!=TRUE,'RSOY (Raw)'!AM24,$A$6),"")</f>
        <v>#REF!</v>
      </c>
    </row>
    <row r="44" spans="1:2">
      <c r="A44" s="51" t="e">
        <f>IF('Duplo (Raw)'!AM24&gt;0,IF('Duplo (Raw)'!#REF!=TRUE,'Duplo (Raw)'!AM24,$A$6),"")</f>
        <v>#REF!</v>
      </c>
      <c r="B44" s="52" t="e">
        <f>IF('RSOY (Raw)'!AM25&gt;0,IF('RSOY (Raw)'!#REF!=TRUE,'RSOY (Raw)'!AM25,$A$6),"")</f>
        <v>#REF!</v>
      </c>
    </row>
    <row r="45" spans="1:2">
      <c r="A45" s="51" t="e">
        <f>IF('Duplo (Raw)'!AM25&gt;0,IF('Duplo (Raw)'!#REF!=TRUE,'Duplo (Raw)'!AM25,$A$6),"")</f>
        <v>#REF!</v>
      </c>
      <c r="B45" s="52" t="e">
        <f>IF('RSOY (Raw)'!AM26&gt;0,IF('RSOY (Raw)'!#REF!=TRUE,'RSOY (Raw)'!AM26,$A$6),"")</f>
        <v>#REF!</v>
      </c>
    </row>
    <row r="46" spans="1:2">
      <c r="A46" s="51" t="e">
        <f>IF('Duplo (Raw)'!AM26&gt;0,IF('Duplo (Raw)'!#REF!=TRUE,'Duplo (Raw)'!AM26,$A$6),"")</f>
        <v>#REF!</v>
      </c>
      <c r="B46" s="53" t="e">
        <f>IF('RSOY (Raw)'!AM27&gt;0,IF('RSOY (Raw)'!#REF!=TRUE,'RSOY (Raw)'!AM27,$A$6),"")</f>
        <v>#REF!</v>
      </c>
    </row>
    <row r="47" spans="1:2">
      <c r="A47" s="51" t="e">
        <f>IF('Duplo (Raw)'!AM27&gt;0,IF('Duplo (Raw)'!#REF!=TRUE,'Duplo (Raw)'!AM27,$A$6),"")</f>
        <v>#REF!</v>
      </c>
      <c r="B47" s="53" t="e">
        <f>IF('RSOY (Raw)'!AM28&gt;0,IF('RSOY (Raw)'!#REF!=TRUE,'RSOY (Raw)'!AM28,$A$6),"")</f>
        <v>#REF!</v>
      </c>
    </row>
    <row r="48" spans="1:2">
      <c r="A48" s="51" t="e">
        <f>IF('Duplo (Raw)'!AM28&gt;0,IF('Duplo (Raw)'!#REF!=TRUE,'Duplo (Raw)'!AM28,$A$6),"")</f>
        <v>#REF!</v>
      </c>
      <c r="B48" s="52" t="e">
        <f>IF('RSOY (Raw)'!AM29&gt;0,IF('RSOY (Raw)'!#REF!=TRUE,'RSOY (Raw)'!AM29,$A$6),"")</f>
        <v>#REF!</v>
      </c>
    </row>
    <row r="49" spans="1:2">
      <c r="A49" s="51" t="e">
        <f>IF('Duplo (Raw)'!AM29&gt;0,IF('Duplo (Raw)'!#REF!=TRUE,'Duplo (Raw)'!AM29,$A$6),"")</f>
        <v>#REF!</v>
      </c>
      <c r="B49" s="54" t="e">
        <f>IF('RSOY (Raw)'!#REF!&gt;0,IF('RSOY (Raw)'!#REF!=TRUE,'RSOY (Raw)'!#REF!,$A$6),"")</f>
        <v>#REF!</v>
      </c>
    </row>
    <row r="50" spans="1:2">
      <c r="A50" s="55" t="e">
        <f>IF('Duplo (Raw)'!#REF!&gt;0,IF('Duplo (Raw)'!#REF!=TRUE,'Duplo (Raw)'!#REF!,$A$6),"")</f>
        <v>#REF!</v>
      </c>
      <c r="B50" s="54" t="e">
        <f>IF('RSOY (Raw)'!#REF!&gt;0,IF('RSOY (Raw)'!#REF!=TRUE,'RSOY (Raw)'!#REF!,$A$6),"")</f>
        <v>#REF!</v>
      </c>
    </row>
    <row r="51" spans="1:2">
      <c r="A51" s="55" t="e">
        <f>IF('Duplo (Raw)'!#REF!&gt;0,IF('Duplo (Raw)'!#REF!=TRUE,'Duplo (Raw)'!#REF!,$A$6),"")</f>
        <v>#REF!</v>
      </c>
      <c r="B51" s="54" t="e">
        <f>IF('RSOY (Raw)'!#REF!&gt;0,IF('RSOY (Raw)'!#REF!=TRUE,'RSOY (Raw)'!#REF!,$A$6),"")</f>
        <v>#REF!</v>
      </c>
    </row>
    <row r="52" spans="1:2">
      <c r="A52" s="55" t="e">
        <f>IF('Duplo (Raw)'!#REF!&gt;0,IF('Duplo (Raw)'!#REF!=TRUE,'Duplo (Raw)'!#REF!,$A$6),"")</f>
        <v>#REF!</v>
      </c>
      <c r="B52" s="54" t="e">
        <f>IF('RSOY (Raw)'!#REF!&gt;0,IF('RSOY (Raw)'!#REF!=TRUE,'RSOY (Raw)'!#REF!,$A$6),"")</f>
        <v>#REF!</v>
      </c>
    </row>
    <row r="53" spans="1:2">
      <c r="A53" s="55" t="e">
        <f>IF('Duplo (Raw)'!#REF!&gt;0,IF('Duplo (Raw)'!#REF!=TRUE,'Duplo (Raw)'!#REF!,$A$6),"")</f>
        <v>#REF!</v>
      </c>
      <c r="B53" s="54" t="e">
        <f>IF('RSOY (Raw)'!#REF!&gt;0,IF('RSOY (Raw)'!#REF!=TRUE,'RSOY (Raw)'!#REF!,$A$6),"")</f>
        <v>#REF!</v>
      </c>
    </row>
    <row r="54" spans="1:2">
      <c r="A54" s="55" t="e">
        <f>IF('Duplo (Raw)'!#REF!&gt;0,IF('Duplo (Raw)'!#REF!=TRUE,'Duplo (Raw)'!#REF!,$A$6),"")</f>
        <v>#REF!</v>
      </c>
      <c r="B54" s="54" t="e">
        <f>IF('RSOY (Raw)'!#REF!&gt;0,IF('RSOY (Raw)'!#REF!=TRUE,'RSOY (Raw)'!#REF!,$A$6),"")</f>
        <v>#REF!</v>
      </c>
    </row>
    <row r="55" spans="1:2">
      <c r="A55" s="55" t="e">
        <f>IF('Duplo (Raw)'!#REF!&gt;0,IF('Duplo (Raw)'!#REF!=TRUE,'Duplo (Raw)'!#REF!,$A$6),"")</f>
        <v>#REF!</v>
      </c>
      <c r="B55" s="54" t="e">
        <f>IF('RSOY (Raw)'!#REF!&gt;0,IF('RSOY (Raw)'!#REF!=TRUE,'RSOY (Raw)'!#REF!,$A$6),"")</f>
        <v>#REF!</v>
      </c>
    </row>
    <row r="56" spans="1:2">
      <c r="A56" s="55" t="e">
        <f>IF('Duplo (Raw)'!#REF!&gt;0,IF('Duplo (Raw)'!#REF!=TRUE,'Duplo (Raw)'!#REF!,$A$6),"")</f>
        <v>#REF!</v>
      </c>
      <c r="B56" s="54" t="e">
        <f>IF('RSOY (Raw)'!#REF!&gt;0,IF('RSOY (Raw)'!#REF!=TRUE,'RSOY (Raw)'!#REF!,$A$6),"")</f>
        <v>#REF!</v>
      </c>
    </row>
    <row r="57" spans="1:2">
      <c r="A57" s="55" t="e">
        <f>IF('Duplo (Raw)'!#REF!&gt;0,IF('Duplo (Raw)'!#REF!=TRUE,'Duplo (Raw)'!#REF!,$A$6),"")</f>
        <v>#REF!</v>
      </c>
      <c r="B57" s="54" t="e">
        <f>IF('RSOY (Raw)'!#REF!&gt;0,IF('RSOY (Raw)'!#REF!=TRUE,'RSOY (Raw)'!#REF!,$A$6),"")</f>
        <v>#REF!</v>
      </c>
    </row>
    <row r="58" spans="1:2">
      <c r="A58" s="56" t="e">
        <f>IF('Duplo (Raw)'!#REF!&gt;0,IF('Duplo (Raw)'!#REF!=TRUE,'Duplo (Raw)'!#REF!,$A$6),"")</f>
        <v>#REF!</v>
      </c>
      <c r="B58" s="57"/>
    </row>
    <row r="60" spans="1:2">
      <c r="A60" s="58"/>
    </row>
  </sheetData>
  <mergeCells count="4">
    <mergeCell ref="A2:C2"/>
    <mergeCell ref="A4:B4"/>
    <mergeCell ref="E4:F4"/>
    <mergeCell ref="L4:M4"/>
  </mergeCells>
  <hyperlinks>
    <hyperlink ref="E13" r:id="rId1" xr:uid="{00000000-0004-0000-0400-000000000000}"/>
    <hyperlink ref="H13" r:id="rId2"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75"/>
  <sheetViews>
    <sheetView workbookViewId="0"/>
  </sheetViews>
  <sheetFormatPr defaultColWidth="14.36328125" defaultRowHeight="15" customHeight="1"/>
  <cols>
    <col min="2" max="2" width="19.7265625" customWidth="1"/>
  </cols>
  <sheetData>
    <row r="1" spans="1:3">
      <c r="A1" s="27" t="s">
        <v>166</v>
      </c>
      <c r="B1" s="27" t="s">
        <v>167</v>
      </c>
      <c r="C1" s="27" t="s">
        <v>168</v>
      </c>
    </row>
    <row r="2" spans="1:3">
      <c r="A2" s="27" t="s">
        <v>153</v>
      </c>
      <c r="B2" s="27" t="s">
        <v>169</v>
      </c>
      <c r="C2" s="29">
        <v>14</v>
      </c>
    </row>
    <row r="3" spans="1:3">
      <c r="A3" s="27" t="s">
        <v>153</v>
      </c>
      <c r="B3" s="27" t="s">
        <v>169</v>
      </c>
      <c r="C3" s="29">
        <v>11</v>
      </c>
    </row>
    <row r="4" spans="1:3">
      <c r="A4" s="27" t="s">
        <v>153</v>
      </c>
      <c r="B4" s="27" t="s">
        <v>169</v>
      </c>
      <c r="C4" s="29">
        <v>33</v>
      </c>
    </row>
    <row r="5" spans="1:3">
      <c r="A5" s="27" t="s">
        <v>153</v>
      </c>
      <c r="B5" s="27" t="s">
        <v>169</v>
      </c>
      <c r="C5" s="29">
        <v>1</v>
      </c>
    </row>
    <row r="6" spans="1:3">
      <c r="A6" s="27" t="s">
        <v>153</v>
      </c>
      <c r="B6" s="27" t="s">
        <v>169</v>
      </c>
      <c r="C6" s="29">
        <v>8</v>
      </c>
    </row>
    <row r="7" spans="1:3">
      <c r="A7" s="27" t="s">
        <v>153</v>
      </c>
      <c r="B7" s="27" t="s">
        <v>169</v>
      </c>
      <c r="C7" s="29">
        <v>28</v>
      </c>
    </row>
    <row r="8" spans="1:3">
      <c r="A8" s="27" t="s">
        <v>153</v>
      </c>
      <c r="B8" s="27" t="s">
        <v>169</v>
      </c>
      <c r="C8" s="29">
        <v>6</v>
      </c>
    </row>
    <row r="9" spans="1:3">
      <c r="A9" s="27" t="s">
        <v>153</v>
      </c>
      <c r="B9" s="27" t="s">
        <v>169</v>
      </c>
      <c r="C9" s="29">
        <v>17</v>
      </c>
    </row>
    <row r="10" spans="1:3">
      <c r="A10" s="27" t="s">
        <v>153</v>
      </c>
      <c r="B10" s="27" t="s">
        <v>169</v>
      </c>
      <c r="C10" s="29">
        <v>19</v>
      </c>
    </row>
    <row r="11" spans="1:3">
      <c r="A11" s="27" t="s">
        <v>153</v>
      </c>
      <c r="B11" s="27" t="s">
        <v>169</v>
      </c>
      <c r="C11" s="29">
        <v>11</v>
      </c>
    </row>
    <row r="12" spans="1:3">
      <c r="A12" s="27" t="s">
        <v>153</v>
      </c>
      <c r="B12" s="27" t="s">
        <v>169</v>
      </c>
      <c r="C12" s="29">
        <v>14</v>
      </c>
    </row>
    <row r="13" spans="1:3">
      <c r="A13" s="27" t="s">
        <v>153</v>
      </c>
      <c r="B13" s="27" t="s">
        <v>169</v>
      </c>
      <c r="C13" s="29">
        <v>13</v>
      </c>
    </row>
    <row r="14" spans="1:3">
      <c r="A14" s="27" t="s">
        <v>153</v>
      </c>
      <c r="B14" s="27" t="s">
        <v>169</v>
      </c>
      <c r="C14" s="29">
        <v>4</v>
      </c>
    </row>
    <row r="15" spans="1:3">
      <c r="A15" s="27" t="s">
        <v>153</v>
      </c>
      <c r="B15" s="27" t="s">
        <v>169</v>
      </c>
      <c r="C15" s="29">
        <v>5</v>
      </c>
    </row>
    <row r="16" spans="1:3">
      <c r="A16" s="27" t="s">
        <v>153</v>
      </c>
      <c r="B16" s="27" t="s">
        <v>169</v>
      </c>
      <c r="C16" s="29">
        <v>2</v>
      </c>
    </row>
    <row r="17" spans="1:3">
      <c r="A17" s="27" t="s">
        <v>154</v>
      </c>
      <c r="B17" s="27" t="s">
        <v>169</v>
      </c>
      <c r="C17" s="29">
        <v>18</v>
      </c>
    </row>
    <row r="18" spans="1:3">
      <c r="A18" s="27" t="s">
        <v>154</v>
      </c>
      <c r="B18" s="27" t="s">
        <v>169</v>
      </c>
      <c r="C18" s="29">
        <v>13</v>
      </c>
    </row>
    <row r="19" spans="1:3">
      <c r="A19" s="27" t="s">
        <v>154</v>
      </c>
      <c r="B19" s="27" t="s">
        <v>169</v>
      </c>
      <c r="C19" s="29">
        <v>8</v>
      </c>
    </row>
    <row r="20" spans="1:3">
      <c r="A20" s="27" t="s">
        <v>154</v>
      </c>
      <c r="B20" s="27" t="s">
        <v>169</v>
      </c>
      <c r="C20" s="29">
        <v>21</v>
      </c>
    </row>
    <row r="21" spans="1:3">
      <c r="A21" s="27" t="s">
        <v>154</v>
      </c>
      <c r="B21" s="27" t="s">
        <v>169</v>
      </c>
      <c r="C21" s="29">
        <v>19</v>
      </c>
    </row>
    <row r="22" spans="1:3">
      <c r="A22" s="27" t="s">
        <v>154</v>
      </c>
      <c r="B22" s="27" t="s">
        <v>169</v>
      </c>
      <c r="C22" s="29">
        <v>7</v>
      </c>
    </row>
    <row r="23" spans="1:3">
      <c r="A23" s="27" t="s">
        <v>154</v>
      </c>
      <c r="B23" s="27" t="s">
        <v>169</v>
      </c>
      <c r="C23" s="29">
        <v>17</v>
      </c>
    </row>
    <row r="24" spans="1:3">
      <c r="A24" s="27" t="s">
        <v>154</v>
      </c>
      <c r="B24" s="27" t="s">
        <v>169</v>
      </c>
      <c r="C24" s="29">
        <v>18</v>
      </c>
    </row>
    <row r="25" spans="1:3">
      <c r="A25" s="27" t="s">
        <v>154</v>
      </c>
      <c r="B25" s="27" t="s">
        <v>169</v>
      </c>
      <c r="C25" s="29">
        <v>19</v>
      </c>
    </row>
    <row r="26" spans="1:3">
      <c r="A26" s="27" t="s">
        <v>154</v>
      </c>
      <c r="B26" s="27" t="s">
        <v>169</v>
      </c>
      <c r="C26" s="29">
        <v>11</v>
      </c>
    </row>
    <row r="27" spans="1:3">
      <c r="A27" s="27" t="s">
        <v>154</v>
      </c>
      <c r="B27" s="27" t="s">
        <v>169</v>
      </c>
      <c r="C27" s="29">
        <v>24</v>
      </c>
    </row>
    <row r="28" spans="1:3">
      <c r="A28" s="27" t="s">
        <v>154</v>
      </c>
      <c r="B28" s="27" t="s">
        <v>169</v>
      </c>
      <c r="C28" s="29">
        <v>34</v>
      </c>
    </row>
    <row r="29" spans="1:3">
      <c r="A29" s="27" t="s">
        <v>154</v>
      </c>
      <c r="B29" s="27" t="s">
        <v>169</v>
      </c>
      <c r="C29" s="29">
        <v>25</v>
      </c>
    </row>
    <row r="30" spans="1:3">
      <c r="A30" s="27" t="s">
        <v>154</v>
      </c>
      <c r="B30" s="27" t="s">
        <v>169</v>
      </c>
      <c r="C30" s="29">
        <v>12</v>
      </c>
    </row>
    <row r="31" spans="1:3">
      <c r="A31" s="27" t="s">
        <v>153</v>
      </c>
      <c r="B31" s="27" t="s">
        <v>170</v>
      </c>
      <c r="C31" s="27">
        <v>9</v>
      </c>
    </row>
    <row r="32" spans="1:3">
      <c r="A32" s="27" t="s">
        <v>153</v>
      </c>
      <c r="B32" s="27" t="s">
        <v>170</v>
      </c>
      <c r="C32" s="27">
        <v>10</v>
      </c>
    </row>
    <row r="33" spans="1:3">
      <c r="A33" s="27" t="s">
        <v>153</v>
      </c>
      <c r="B33" s="27" t="s">
        <v>170</v>
      </c>
      <c r="C33" s="27">
        <v>27</v>
      </c>
    </row>
    <row r="34" spans="1:3">
      <c r="A34" s="27" t="s">
        <v>153</v>
      </c>
      <c r="B34" s="27" t="s">
        <v>170</v>
      </c>
      <c r="C34" s="27">
        <v>1</v>
      </c>
    </row>
    <row r="35" spans="1:3">
      <c r="A35" s="27" t="s">
        <v>153</v>
      </c>
      <c r="B35" s="27" t="s">
        <v>170</v>
      </c>
      <c r="C35" s="27">
        <v>8</v>
      </c>
    </row>
    <row r="36" spans="1:3">
      <c r="A36" s="27" t="s">
        <v>153</v>
      </c>
      <c r="B36" s="27" t="s">
        <v>170</v>
      </c>
      <c r="C36" s="27">
        <v>21</v>
      </c>
    </row>
    <row r="37" spans="1:3">
      <c r="A37" s="27" t="s">
        <v>153</v>
      </c>
      <c r="B37" s="27" t="s">
        <v>170</v>
      </c>
      <c r="C37" s="27">
        <v>6</v>
      </c>
    </row>
    <row r="38" spans="1:3">
      <c r="A38" s="27" t="s">
        <v>153</v>
      </c>
      <c r="B38" s="27" t="s">
        <v>170</v>
      </c>
      <c r="C38" s="27">
        <v>17</v>
      </c>
    </row>
    <row r="39" spans="1:3">
      <c r="A39" s="27" t="s">
        <v>153</v>
      </c>
      <c r="B39" s="27" t="s">
        <v>170</v>
      </c>
      <c r="C39" s="27">
        <v>19</v>
      </c>
    </row>
    <row r="40" spans="1:3">
      <c r="A40" s="27" t="s">
        <v>153</v>
      </c>
      <c r="B40" s="27" t="s">
        <v>170</v>
      </c>
      <c r="C40" s="27">
        <v>11</v>
      </c>
    </row>
    <row r="41" spans="1:3">
      <c r="A41" s="27" t="s">
        <v>153</v>
      </c>
      <c r="B41" s="27" t="s">
        <v>170</v>
      </c>
      <c r="C41" s="27">
        <v>10</v>
      </c>
    </row>
    <row r="42" spans="1:3">
      <c r="A42" s="27" t="s">
        <v>153</v>
      </c>
      <c r="B42" s="27" t="s">
        <v>170</v>
      </c>
      <c r="C42" s="27">
        <v>5</v>
      </c>
    </row>
    <row r="43" spans="1:3">
      <c r="A43" s="27" t="s">
        <v>153</v>
      </c>
      <c r="B43" s="27" t="s">
        <v>170</v>
      </c>
      <c r="C43" s="27">
        <v>4</v>
      </c>
    </row>
    <row r="44" spans="1:3">
      <c r="A44" s="27" t="s">
        <v>153</v>
      </c>
      <c r="B44" s="27" t="s">
        <v>170</v>
      </c>
      <c r="C44" s="27">
        <v>4</v>
      </c>
    </row>
    <row r="45" spans="1:3">
      <c r="A45" s="27" t="s">
        <v>153</v>
      </c>
      <c r="B45" s="27" t="s">
        <v>170</v>
      </c>
      <c r="C45" s="27">
        <v>2</v>
      </c>
    </row>
    <row r="46" spans="1:3">
      <c r="A46" s="27" t="s">
        <v>154</v>
      </c>
      <c r="B46" s="27" t="s">
        <v>170</v>
      </c>
      <c r="C46" s="27">
        <v>11</v>
      </c>
    </row>
    <row r="47" spans="1:3">
      <c r="A47" s="27" t="s">
        <v>154</v>
      </c>
      <c r="B47" s="27" t="s">
        <v>170</v>
      </c>
      <c r="C47" s="27">
        <v>12</v>
      </c>
    </row>
    <row r="48" spans="1:3">
      <c r="A48" s="27" t="s">
        <v>154</v>
      </c>
      <c r="B48" s="27" t="s">
        <v>170</v>
      </c>
      <c r="C48" s="27">
        <v>8</v>
      </c>
    </row>
    <row r="49" spans="1:3">
      <c r="A49" s="27" t="s">
        <v>154</v>
      </c>
      <c r="B49" s="27" t="s">
        <v>170</v>
      </c>
      <c r="C49" s="27">
        <v>20</v>
      </c>
    </row>
    <row r="50" spans="1:3">
      <c r="A50" s="27" t="s">
        <v>154</v>
      </c>
      <c r="B50" s="27" t="s">
        <v>170</v>
      </c>
      <c r="C50" s="27">
        <v>16</v>
      </c>
    </row>
    <row r="51" spans="1:3">
      <c r="A51" s="27" t="s">
        <v>154</v>
      </c>
      <c r="B51" s="27" t="s">
        <v>170</v>
      </c>
      <c r="C51" s="27">
        <v>7</v>
      </c>
    </row>
    <row r="52" spans="1:3">
      <c r="A52" s="27" t="s">
        <v>154</v>
      </c>
      <c r="B52" s="27" t="s">
        <v>170</v>
      </c>
      <c r="C52" s="27">
        <v>14</v>
      </c>
    </row>
    <row r="53" spans="1:3">
      <c r="A53" s="27" t="s">
        <v>154</v>
      </c>
      <c r="B53" s="27" t="s">
        <v>170</v>
      </c>
      <c r="C53" s="27">
        <v>15</v>
      </c>
    </row>
    <row r="54" spans="1:3">
      <c r="A54" s="27" t="s">
        <v>154</v>
      </c>
      <c r="B54" s="27" t="s">
        <v>170</v>
      </c>
      <c r="C54" s="27">
        <v>10</v>
      </c>
    </row>
    <row r="55" spans="1:3">
      <c r="A55" s="27" t="s">
        <v>154</v>
      </c>
      <c r="B55" s="27" t="s">
        <v>170</v>
      </c>
      <c r="C55" s="27">
        <v>7</v>
      </c>
    </row>
    <row r="56" spans="1:3">
      <c r="A56" s="27" t="s">
        <v>154</v>
      </c>
      <c r="B56" s="27" t="s">
        <v>170</v>
      </c>
      <c r="C56" s="27">
        <v>24</v>
      </c>
    </row>
    <row r="57" spans="1:3">
      <c r="A57" s="27" t="s">
        <v>154</v>
      </c>
      <c r="B57" s="27" t="s">
        <v>170</v>
      </c>
      <c r="C57" s="27">
        <v>33</v>
      </c>
    </row>
    <row r="58" spans="1:3">
      <c r="A58" s="27" t="s">
        <v>154</v>
      </c>
      <c r="B58" s="27" t="s">
        <v>170</v>
      </c>
      <c r="C58" s="27">
        <v>21</v>
      </c>
    </row>
    <row r="59" spans="1:3">
      <c r="A59" s="27" t="s">
        <v>154</v>
      </c>
      <c r="B59" s="27" t="s">
        <v>170</v>
      </c>
      <c r="C59" s="27">
        <v>12</v>
      </c>
    </row>
    <row r="60" spans="1:3">
      <c r="A60" s="27" t="s">
        <v>153</v>
      </c>
      <c r="B60" s="27" t="s">
        <v>171</v>
      </c>
      <c r="C60" s="26">
        <v>5</v>
      </c>
    </row>
    <row r="61" spans="1:3">
      <c r="A61" s="27" t="s">
        <v>153</v>
      </c>
      <c r="B61" s="27" t="s">
        <v>171</v>
      </c>
      <c r="C61" s="26">
        <v>1</v>
      </c>
    </row>
    <row r="62" spans="1:3">
      <c r="A62" s="27" t="s">
        <v>153</v>
      </c>
      <c r="B62" s="27" t="s">
        <v>171</v>
      </c>
      <c r="C62" s="26">
        <v>6</v>
      </c>
    </row>
    <row r="63" spans="1:3">
      <c r="A63" s="27" t="s">
        <v>153</v>
      </c>
      <c r="B63" s="27" t="s">
        <v>171</v>
      </c>
      <c r="C63" s="26">
        <v>0</v>
      </c>
    </row>
    <row r="64" spans="1:3">
      <c r="A64" s="27" t="s">
        <v>153</v>
      </c>
      <c r="B64" s="27" t="s">
        <v>171</v>
      </c>
      <c r="C64" s="26">
        <v>0</v>
      </c>
    </row>
    <row r="65" spans="1:3">
      <c r="A65" s="27" t="s">
        <v>153</v>
      </c>
      <c r="B65" s="27" t="s">
        <v>171</v>
      </c>
      <c r="C65" s="26">
        <v>7</v>
      </c>
    </row>
    <row r="66" spans="1:3">
      <c r="A66" s="27" t="s">
        <v>153</v>
      </c>
      <c r="B66" s="27" t="s">
        <v>171</v>
      </c>
      <c r="C66" s="26">
        <v>0</v>
      </c>
    </row>
    <row r="67" spans="1:3">
      <c r="A67" s="27" t="s">
        <v>153</v>
      </c>
      <c r="B67" s="27" t="s">
        <v>171</v>
      </c>
      <c r="C67" s="26">
        <v>0</v>
      </c>
    </row>
    <row r="68" spans="1:3">
      <c r="A68" s="27" t="s">
        <v>153</v>
      </c>
      <c r="B68" s="27" t="s">
        <v>171</v>
      </c>
      <c r="C68" s="26">
        <v>0</v>
      </c>
    </row>
    <row r="69" spans="1:3">
      <c r="A69" s="27" t="s">
        <v>153</v>
      </c>
      <c r="B69" s="27" t="s">
        <v>171</v>
      </c>
      <c r="C69" s="26">
        <v>0</v>
      </c>
    </row>
    <row r="70" spans="1:3">
      <c r="A70" s="27" t="s">
        <v>153</v>
      </c>
      <c r="B70" s="27" t="s">
        <v>171</v>
      </c>
      <c r="C70" s="26">
        <v>4</v>
      </c>
    </row>
    <row r="71" spans="1:3">
      <c r="A71" s="27" t="s">
        <v>153</v>
      </c>
      <c r="B71" s="27" t="s">
        <v>171</v>
      </c>
      <c r="C71" s="26">
        <v>8</v>
      </c>
    </row>
    <row r="72" spans="1:3">
      <c r="A72" s="27" t="s">
        <v>153</v>
      </c>
      <c r="B72" s="27" t="s">
        <v>171</v>
      </c>
      <c r="C72" s="26">
        <v>0</v>
      </c>
    </row>
    <row r="73" spans="1:3">
      <c r="A73" s="27" t="s">
        <v>153</v>
      </c>
      <c r="B73" s="27" t="s">
        <v>171</v>
      </c>
      <c r="C73" s="26">
        <v>1</v>
      </c>
    </row>
    <row r="74" spans="1:3">
      <c r="A74" s="27" t="s">
        <v>153</v>
      </c>
      <c r="B74" s="27" t="s">
        <v>171</v>
      </c>
      <c r="C74" s="26">
        <v>0</v>
      </c>
    </row>
    <row r="75" spans="1:3">
      <c r="A75" s="27" t="s">
        <v>154</v>
      </c>
      <c r="B75" s="27" t="s">
        <v>171</v>
      </c>
      <c r="C75" s="26">
        <v>7</v>
      </c>
    </row>
    <row r="76" spans="1:3">
      <c r="A76" s="27" t="s">
        <v>154</v>
      </c>
      <c r="B76" s="27" t="s">
        <v>171</v>
      </c>
      <c r="C76" s="26">
        <v>1</v>
      </c>
    </row>
    <row r="77" spans="1:3">
      <c r="A77" s="27" t="s">
        <v>154</v>
      </c>
      <c r="B77" s="27" t="s">
        <v>171</v>
      </c>
      <c r="C77" s="26">
        <v>0</v>
      </c>
    </row>
    <row r="78" spans="1:3">
      <c r="A78" s="27" t="s">
        <v>154</v>
      </c>
      <c r="B78" s="27" t="s">
        <v>171</v>
      </c>
      <c r="C78" s="26">
        <v>1</v>
      </c>
    </row>
    <row r="79" spans="1:3">
      <c r="A79" s="27" t="s">
        <v>154</v>
      </c>
      <c r="B79" s="27" t="s">
        <v>171</v>
      </c>
      <c r="C79" s="26">
        <v>3</v>
      </c>
    </row>
    <row r="80" spans="1:3">
      <c r="A80" s="27" t="s">
        <v>154</v>
      </c>
      <c r="B80" s="27" t="s">
        <v>171</v>
      </c>
      <c r="C80" s="26">
        <v>0</v>
      </c>
    </row>
    <row r="81" spans="1:3">
      <c r="A81" s="27" t="s">
        <v>154</v>
      </c>
      <c r="B81" s="27" t="s">
        <v>171</v>
      </c>
      <c r="C81" s="26">
        <v>3</v>
      </c>
    </row>
    <row r="82" spans="1:3">
      <c r="A82" s="27" t="s">
        <v>154</v>
      </c>
      <c r="B82" s="27" t="s">
        <v>171</v>
      </c>
      <c r="C82" s="26">
        <v>3</v>
      </c>
    </row>
    <row r="83" spans="1:3">
      <c r="A83" s="27" t="s">
        <v>154</v>
      </c>
      <c r="B83" s="27" t="s">
        <v>171</v>
      </c>
      <c r="C83" s="26">
        <v>9</v>
      </c>
    </row>
    <row r="84" spans="1:3">
      <c r="A84" s="27" t="s">
        <v>154</v>
      </c>
      <c r="B84" s="27" t="s">
        <v>171</v>
      </c>
      <c r="C84" s="26">
        <v>4</v>
      </c>
    </row>
    <row r="85" spans="1:3">
      <c r="A85" s="27" t="s">
        <v>154</v>
      </c>
      <c r="B85" s="27" t="s">
        <v>171</v>
      </c>
      <c r="C85" s="26">
        <v>0</v>
      </c>
    </row>
    <row r="86" spans="1:3">
      <c r="A86" s="27" t="s">
        <v>154</v>
      </c>
      <c r="B86" s="27" t="s">
        <v>171</v>
      </c>
      <c r="C86" s="26">
        <v>1</v>
      </c>
    </row>
    <row r="87" spans="1:3">
      <c r="A87" s="27" t="s">
        <v>154</v>
      </c>
      <c r="B87" s="27" t="s">
        <v>171</v>
      </c>
      <c r="C87" s="26">
        <v>4</v>
      </c>
    </row>
    <row r="88" spans="1:3">
      <c r="A88" s="27" t="s">
        <v>154</v>
      </c>
      <c r="B88" s="27" t="s">
        <v>171</v>
      </c>
      <c r="C88" s="26">
        <v>0</v>
      </c>
    </row>
    <row r="89" spans="1:3">
      <c r="A89" s="27" t="s">
        <v>153</v>
      </c>
      <c r="B89" s="27" t="s">
        <v>172</v>
      </c>
      <c r="C89" s="29">
        <v>10</v>
      </c>
    </row>
    <row r="90" spans="1:3">
      <c r="A90" s="27" t="s">
        <v>153</v>
      </c>
      <c r="B90" s="27" t="s">
        <v>172</v>
      </c>
      <c r="C90" s="29">
        <v>4</v>
      </c>
    </row>
    <row r="91" spans="1:3">
      <c r="A91" s="27" t="s">
        <v>153</v>
      </c>
      <c r="B91" s="27" t="s">
        <v>172</v>
      </c>
      <c r="C91" s="29">
        <v>14</v>
      </c>
    </row>
    <row r="92" spans="1:3">
      <c r="A92" s="27" t="s">
        <v>153</v>
      </c>
      <c r="B92" s="27" t="s">
        <v>172</v>
      </c>
      <c r="C92" s="29">
        <v>4</v>
      </c>
    </row>
    <row r="93" spans="1:3">
      <c r="A93" s="27" t="s">
        <v>153</v>
      </c>
      <c r="B93" s="27" t="s">
        <v>172</v>
      </c>
      <c r="C93" s="29">
        <v>2</v>
      </c>
    </row>
    <row r="94" spans="1:3">
      <c r="A94" s="27" t="s">
        <v>153</v>
      </c>
      <c r="B94" s="27" t="s">
        <v>172</v>
      </c>
      <c r="C94" s="29">
        <v>8</v>
      </c>
    </row>
    <row r="95" spans="1:3">
      <c r="A95" s="27" t="s">
        <v>153</v>
      </c>
      <c r="B95" s="27" t="s">
        <v>172</v>
      </c>
      <c r="C95" s="29">
        <v>6</v>
      </c>
    </row>
    <row r="96" spans="1:3">
      <c r="A96" s="27" t="s">
        <v>153</v>
      </c>
      <c r="B96" s="27" t="s">
        <v>172</v>
      </c>
      <c r="C96" s="29">
        <v>6</v>
      </c>
    </row>
    <row r="97" spans="1:3">
      <c r="A97" s="27" t="s">
        <v>153</v>
      </c>
      <c r="B97" s="27" t="s">
        <v>172</v>
      </c>
      <c r="C97" s="29">
        <v>7</v>
      </c>
    </row>
    <row r="98" spans="1:3">
      <c r="A98" s="27" t="s">
        <v>153</v>
      </c>
      <c r="B98" s="27" t="s">
        <v>172</v>
      </c>
      <c r="C98" s="29">
        <v>3</v>
      </c>
    </row>
    <row r="99" spans="1:3">
      <c r="A99" s="27" t="s">
        <v>153</v>
      </c>
      <c r="B99" s="27" t="s">
        <v>172</v>
      </c>
      <c r="C99" s="29">
        <v>15</v>
      </c>
    </row>
    <row r="100" spans="1:3">
      <c r="A100" s="27" t="s">
        <v>153</v>
      </c>
      <c r="B100" s="27" t="s">
        <v>172</v>
      </c>
      <c r="C100" s="29">
        <v>12</v>
      </c>
    </row>
    <row r="101" spans="1:3">
      <c r="A101" s="27" t="s">
        <v>153</v>
      </c>
      <c r="B101" s="27" t="s">
        <v>172</v>
      </c>
      <c r="C101" s="29">
        <v>0</v>
      </c>
    </row>
    <row r="102" spans="1:3">
      <c r="A102" s="27" t="s">
        <v>153</v>
      </c>
      <c r="B102" s="27" t="s">
        <v>172</v>
      </c>
      <c r="C102" s="29">
        <v>7</v>
      </c>
    </row>
    <row r="103" spans="1:3">
      <c r="A103" s="27" t="s">
        <v>153</v>
      </c>
      <c r="B103" s="27" t="s">
        <v>172</v>
      </c>
      <c r="C103" s="29">
        <v>4</v>
      </c>
    </row>
    <row r="104" spans="1:3">
      <c r="A104" s="27" t="s">
        <v>154</v>
      </c>
      <c r="B104" s="27" t="s">
        <v>172</v>
      </c>
      <c r="C104" s="29">
        <v>9</v>
      </c>
    </row>
    <row r="105" spans="1:3">
      <c r="A105" s="27" t="s">
        <v>154</v>
      </c>
      <c r="B105" s="27" t="s">
        <v>172</v>
      </c>
      <c r="C105" s="29">
        <v>12</v>
      </c>
    </row>
    <row r="106" spans="1:3">
      <c r="A106" s="27" t="s">
        <v>154</v>
      </c>
      <c r="B106" s="27" t="s">
        <v>172</v>
      </c>
      <c r="C106" s="29">
        <v>21</v>
      </c>
    </row>
    <row r="107" spans="1:3">
      <c r="A107" s="27" t="s">
        <v>154</v>
      </c>
      <c r="B107" s="27" t="s">
        <v>172</v>
      </c>
      <c r="C107" s="29">
        <v>19</v>
      </c>
    </row>
    <row r="108" spans="1:3">
      <c r="A108" s="27" t="s">
        <v>154</v>
      </c>
      <c r="B108" s="27" t="s">
        <v>172</v>
      </c>
      <c r="C108" s="29">
        <v>12</v>
      </c>
    </row>
    <row r="109" spans="1:3">
      <c r="A109" s="27" t="s">
        <v>154</v>
      </c>
      <c r="B109" s="27" t="s">
        <v>172</v>
      </c>
      <c r="C109" s="29">
        <v>6</v>
      </c>
    </row>
    <row r="110" spans="1:3">
      <c r="A110" s="27" t="s">
        <v>154</v>
      </c>
      <c r="B110" s="27" t="s">
        <v>172</v>
      </c>
      <c r="C110" s="29">
        <v>4</v>
      </c>
    </row>
    <row r="111" spans="1:3">
      <c r="A111" s="27" t="s">
        <v>154</v>
      </c>
      <c r="B111" s="27" t="s">
        <v>172</v>
      </c>
      <c r="C111" s="29">
        <v>5</v>
      </c>
    </row>
    <row r="112" spans="1:3">
      <c r="A112" s="27" t="s">
        <v>154</v>
      </c>
      <c r="B112" s="27" t="s">
        <v>172</v>
      </c>
      <c r="C112" s="29">
        <v>9</v>
      </c>
    </row>
    <row r="113" spans="1:3">
      <c r="A113" s="27" t="s">
        <v>154</v>
      </c>
      <c r="B113" s="27" t="s">
        <v>172</v>
      </c>
      <c r="C113" s="29">
        <v>2</v>
      </c>
    </row>
    <row r="114" spans="1:3">
      <c r="A114" s="27" t="s">
        <v>154</v>
      </c>
      <c r="B114" s="27" t="s">
        <v>172</v>
      </c>
      <c r="C114" s="29">
        <v>9</v>
      </c>
    </row>
    <row r="115" spans="1:3">
      <c r="A115" s="27" t="s">
        <v>154</v>
      </c>
      <c r="B115" s="27" t="s">
        <v>172</v>
      </c>
      <c r="C115" s="29">
        <v>9</v>
      </c>
    </row>
    <row r="116" spans="1:3">
      <c r="A116" s="27" t="s">
        <v>154</v>
      </c>
      <c r="B116" s="27" t="s">
        <v>172</v>
      </c>
      <c r="C116" s="29">
        <v>2</v>
      </c>
    </row>
    <row r="117" spans="1:3">
      <c r="A117" s="27" t="s">
        <v>154</v>
      </c>
      <c r="B117" s="27" t="s">
        <v>172</v>
      </c>
      <c r="C117" s="29">
        <v>7</v>
      </c>
    </row>
    <row r="118" spans="1:3">
      <c r="A118" s="27" t="s">
        <v>153</v>
      </c>
      <c r="B118" s="27" t="s">
        <v>173</v>
      </c>
      <c r="C118" s="29">
        <v>14</v>
      </c>
    </row>
    <row r="119" spans="1:3">
      <c r="A119" s="27" t="s">
        <v>153</v>
      </c>
      <c r="B119" s="27" t="s">
        <v>173</v>
      </c>
      <c r="C119" s="29">
        <v>3</v>
      </c>
    </row>
    <row r="120" spans="1:3">
      <c r="A120" s="27" t="s">
        <v>153</v>
      </c>
      <c r="B120" s="27" t="s">
        <v>173</v>
      </c>
      <c r="C120" s="29">
        <v>17</v>
      </c>
    </row>
    <row r="121" spans="1:3">
      <c r="A121" s="27" t="s">
        <v>153</v>
      </c>
      <c r="B121" s="27" t="s">
        <v>173</v>
      </c>
      <c r="C121" s="29">
        <v>20</v>
      </c>
    </row>
    <row r="122" spans="1:3">
      <c r="A122" s="27" t="s">
        <v>153</v>
      </c>
      <c r="B122" s="27" t="s">
        <v>173</v>
      </c>
      <c r="C122" s="29">
        <v>21</v>
      </c>
    </row>
    <row r="123" spans="1:3">
      <c r="A123" s="27" t="s">
        <v>153</v>
      </c>
      <c r="B123" s="27" t="s">
        <v>173</v>
      </c>
      <c r="C123" s="29">
        <v>19</v>
      </c>
    </row>
    <row r="124" spans="1:3">
      <c r="A124" s="27" t="s">
        <v>153</v>
      </c>
      <c r="B124" s="27" t="s">
        <v>173</v>
      </c>
      <c r="C124" s="29">
        <v>11</v>
      </c>
    </row>
    <row r="125" spans="1:3">
      <c r="A125" s="27" t="s">
        <v>153</v>
      </c>
      <c r="B125" s="27" t="s">
        <v>173</v>
      </c>
      <c r="C125" s="29">
        <v>15</v>
      </c>
    </row>
    <row r="126" spans="1:3">
      <c r="A126" s="27" t="s">
        <v>153</v>
      </c>
      <c r="B126" s="27" t="s">
        <v>173</v>
      </c>
      <c r="C126" s="29">
        <v>15</v>
      </c>
    </row>
    <row r="127" spans="1:3">
      <c r="A127" s="27" t="s">
        <v>153</v>
      </c>
      <c r="B127" s="27" t="s">
        <v>173</v>
      </c>
      <c r="C127" s="29">
        <v>25</v>
      </c>
    </row>
    <row r="128" spans="1:3">
      <c r="A128" s="27" t="s">
        <v>153</v>
      </c>
      <c r="B128" s="27" t="s">
        <v>173</v>
      </c>
      <c r="C128" s="29">
        <v>19</v>
      </c>
    </row>
    <row r="129" spans="1:3">
      <c r="A129" s="27" t="s">
        <v>153</v>
      </c>
      <c r="B129" s="27" t="s">
        <v>173</v>
      </c>
      <c r="C129" s="29">
        <v>17</v>
      </c>
    </row>
    <row r="130" spans="1:3">
      <c r="A130" s="27" t="s">
        <v>153</v>
      </c>
      <c r="B130" s="27" t="s">
        <v>173</v>
      </c>
      <c r="C130" s="29">
        <v>18</v>
      </c>
    </row>
    <row r="131" spans="1:3">
      <c r="A131" s="27" t="s">
        <v>153</v>
      </c>
      <c r="B131" s="27" t="s">
        <v>173</v>
      </c>
      <c r="C131" s="29">
        <v>22</v>
      </c>
    </row>
    <row r="132" spans="1:3">
      <c r="A132" s="27" t="s">
        <v>153</v>
      </c>
      <c r="B132" s="27" t="s">
        <v>173</v>
      </c>
      <c r="C132" s="29">
        <v>11</v>
      </c>
    </row>
    <row r="133" spans="1:3">
      <c r="A133" s="27" t="s">
        <v>154</v>
      </c>
      <c r="B133" s="27" t="s">
        <v>173</v>
      </c>
      <c r="C133" s="29">
        <v>8</v>
      </c>
    </row>
    <row r="134" spans="1:3">
      <c r="A134" s="27" t="s">
        <v>154</v>
      </c>
      <c r="B134" s="27" t="s">
        <v>173</v>
      </c>
      <c r="C134" s="29">
        <v>14</v>
      </c>
    </row>
    <row r="135" spans="1:3">
      <c r="A135" s="27" t="s">
        <v>154</v>
      </c>
      <c r="B135" s="27" t="s">
        <v>173</v>
      </c>
      <c r="C135" s="29">
        <v>28</v>
      </c>
    </row>
    <row r="136" spans="1:3">
      <c r="A136" s="27" t="s">
        <v>154</v>
      </c>
      <c r="B136" s="27" t="s">
        <v>173</v>
      </c>
      <c r="C136" s="29">
        <v>23</v>
      </c>
    </row>
    <row r="137" spans="1:3">
      <c r="A137" s="27" t="s">
        <v>154</v>
      </c>
      <c r="B137" s="27" t="s">
        <v>173</v>
      </c>
      <c r="C137" s="29">
        <v>33</v>
      </c>
    </row>
    <row r="138" spans="1:3">
      <c r="A138" s="27" t="s">
        <v>154</v>
      </c>
      <c r="B138" s="27" t="s">
        <v>173</v>
      </c>
      <c r="C138" s="29">
        <v>25</v>
      </c>
    </row>
    <row r="139" spans="1:3">
      <c r="A139" s="27" t="s">
        <v>154</v>
      </c>
      <c r="B139" s="27" t="s">
        <v>173</v>
      </c>
      <c r="C139" s="29">
        <v>20</v>
      </c>
    </row>
    <row r="140" spans="1:3">
      <c r="A140" s="27" t="s">
        <v>154</v>
      </c>
      <c r="B140" s="27" t="s">
        <v>173</v>
      </c>
      <c r="C140" s="29">
        <v>35</v>
      </c>
    </row>
    <row r="141" spans="1:3">
      <c r="A141" s="27" t="s">
        <v>154</v>
      </c>
      <c r="B141" s="27" t="s">
        <v>173</v>
      </c>
      <c r="C141" s="29">
        <v>13</v>
      </c>
    </row>
    <row r="142" spans="1:3">
      <c r="A142" s="27" t="s">
        <v>154</v>
      </c>
      <c r="B142" s="27" t="s">
        <v>173</v>
      </c>
      <c r="C142" s="29">
        <v>21</v>
      </c>
    </row>
    <row r="143" spans="1:3">
      <c r="A143" s="27" t="s">
        <v>154</v>
      </c>
      <c r="B143" s="27" t="s">
        <v>173</v>
      </c>
      <c r="C143" s="29">
        <v>31</v>
      </c>
    </row>
    <row r="144" spans="1:3">
      <c r="A144" s="27" t="s">
        <v>154</v>
      </c>
      <c r="B144" s="27" t="s">
        <v>173</v>
      </c>
      <c r="C144" s="29">
        <v>8</v>
      </c>
    </row>
    <row r="145" spans="1:3">
      <c r="A145" s="27" t="s">
        <v>154</v>
      </c>
      <c r="B145" s="27" t="s">
        <v>173</v>
      </c>
      <c r="C145" s="29">
        <v>17</v>
      </c>
    </row>
    <row r="146" spans="1:3">
      <c r="A146" s="27" t="s">
        <v>154</v>
      </c>
      <c r="B146" s="27" t="s">
        <v>173</v>
      </c>
      <c r="C146" s="29">
        <v>23</v>
      </c>
    </row>
    <row r="147" spans="1:3">
      <c r="A147" s="27" t="s">
        <v>153</v>
      </c>
      <c r="B147" s="27" t="s">
        <v>174</v>
      </c>
      <c r="C147" s="29">
        <v>26</v>
      </c>
    </row>
    <row r="148" spans="1:3">
      <c r="A148" s="27" t="s">
        <v>153</v>
      </c>
      <c r="B148" s="27" t="s">
        <v>174</v>
      </c>
      <c r="C148" s="29">
        <v>34</v>
      </c>
    </row>
    <row r="149" spans="1:3">
      <c r="A149" s="27" t="s">
        <v>153</v>
      </c>
      <c r="B149" s="27" t="s">
        <v>174</v>
      </c>
      <c r="C149" s="29">
        <v>34</v>
      </c>
    </row>
    <row r="150" spans="1:3">
      <c r="A150" s="27" t="s">
        <v>153</v>
      </c>
      <c r="B150" s="27" t="s">
        <v>174</v>
      </c>
      <c r="C150" s="29">
        <v>43</v>
      </c>
    </row>
    <row r="151" spans="1:3">
      <c r="A151" s="27" t="s">
        <v>153</v>
      </c>
      <c r="B151" s="27" t="s">
        <v>174</v>
      </c>
      <c r="C151" s="29">
        <v>37</v>
      </c>
    </row>
    <row r="152" spans="1:3">
      <c r="A152" s="27" t="s">
        <v>153</v>
      </c>
      <c r="B152" s="27" t="s">
        <v>174</v>
      </c>
      <c r="C152" s="29">
        <v>38</v>
      </c>
    </row>
    <row r="153" spans="1:3">
      <c r="A153" s="27" t="s">
        <v>153</v>
      </c>
      <c r="B153" s="27" t="s">
        <v>174</v>
      </c>
      <c r="C153" s="29">
        <v>32</v>
      </c>
    </row>
    <row r="154" spans="1:3">
      <c r="A154" s="27" t="s">
        <v>153</v>
      </c>
      <c r="B154" s="27" t="s">
        <v>174</v>
      </c>
      <c r="C154" s="29">
        <v>32</v>
      </c>
    </row>
    <row r="155" spans="1:3">
      <c r="A155" s="27" t="s">
        <v>153</v>
      </c>
      <c r="B155" s="27" t="s">
        <v>174</v>
      </c>
      <c r="C155" s="29">
        <v>24</v>
      </c>
    </row>
    <row r="156" spans="1:3">
      <c r="A156" s="27" t="s">
        <v>153</v>
      </c>
      <c r="B156" s="27" t="s">
        <v>174</v>
      </c>
      <c r="C156" s="29">
        <v>44</v>
      </c>
    </row>
    <row r="157" spans="1:3">
      <c r="A157" s="27" t="s">
        <v>153</v>
      </c>
      <c r="B157" s="27" t="s">
        <v>174</v>
      </c>
      <c r="C157" s="29">
        <v>37</v>
      </c>
    </row>
    <row r="158" spans="1:3">
      <c r="A158" s="27" t="s">
        <v>153</v>
      </c>
      <c r="B158" s="27" t="s">
        <v>174</v>
      </c>
      <c r="C158" s="29">
        <v>36</v>
      </c>
    </row>
    <row r="159" spans="1:3">
      <c r="A159" s="27" t="s">
        <v>153</v>
      </c>
      <c r="B159" s="27" t="s">
        <v>174</v>
      </c>
      <c r="C159" s="29">
        <v>44</v>
      </c>
    </row>
    <row r="160" spans="1:3">
      <c r="A160" s="27" t="s">
        <v>153</v>
      </c>
      <c r="B160" s="27" t="s">
        <v>174</v>
      </c>
      <c r="C160" s="29">
        <v>36</v>
      </c>
    </row>
    <row r="161" spans="1:3">
      <c r="A161" s="27" t="s">
        <v>153</v>
      </c>
      <c r="B161" s="27" t="s">
        <v>174</v>
      </c>
      <c r="C161" s="29">
        <v>32</v>
      </c>
    </row>
    <row r="162" spans="1:3">
      <c r="A162" s="27" t="s">
        <v>154</v>
      </c>
      <c r="B162" s="27" t="s">
        <v>174</v>
      </c>
      <c r="C162" s="29">
        <v>22</v>
      </c>
    </row>
    <row r="163" spans="1:3">
      <c r="A163" s="27" t="s">
        <v>154</v>
      </c>
      <c r="B163" s="27" t="s">
        <v>174</v>
      </c>
      <c r="C163" s="29">
        <v>32</v>
      </c>
    </row>
    <row r="164" spans="1:3">
      <c r="A164" s="27" t="s">
        <v>154</v>
      </c>
      <c r="B164" s="27" t="s">
        <v>174</v>
      </c>
      <c r="C164" s="29">
        <v>38</v>
      </c>
    </row>
    <row r="165" spans="1:3">
      <c r="A165" s="27" t="s">
        <v>154</v>
      </c>
      <c r="B165" s="27" t="s">
        <v>174</v>
      </c>
      <c r="C165" s="29">
        <v>31</v>
      </c>
    </row>
    <row r="166" spans="1:3">
      <c r="A166" s="27" t="s">
        <v>154</v>
      </c>
      <c r="B166" s="27" t="s">
        <v>174</v>
      </c>
      <c r="C166" s="29">
        <v>56</v>
      </c>
    </row>
    <row r="167" spans="1:3">
      <c r="A167" s="27" t="s">
        <v>154</v>
      </c>
      <c r="B167" s="27" t="s">
        <v>174</v>
      </c>
      <c r="C167" s="29">
        <v>47</v>
      </c>
    </row>
    <row r="168" spans="1:3">
      <c r="A168" s="27" t="s">
        <v>154</v>
      </c>
      <c r="B168" s="27" t="s">
        <v>174</v>
      </c>
      <c r="C168" s="29">
        <v>40</v>
      </c>
    </row>
    <row r="169" spans="1:3">
      <c r="A169" s="27" t="s">
        <v>154</v>
      </c>
      <c r="B169" s="27" t="s">
        <v>174</v>
      </c>
      <c r="C169" s="29">
        <v>59</v>
      </c>
    </row>
    <row r="170" spans="1:3">
      <c r="A170" s="27" t="s">
        <v>154</v>
      </c>
      <c r="B170" s="27" t="s">
        <v>174</v>
      </c>
      <c r="C170" s="29">
        <v>28</v>
      </c>
    </row>
    <row r="171" spans="1:3">
      <c r="A171" s="27" t="s">
        <v>154</v>
      </c>
      <c r="B171" s="27" t="s">
        <v>174</v>
      </c>
      <c r="C171" s="29">
        <v>39</v>
      </c>
    </row>
    <row r="172" spans="1:3">
      <c r="A172" s="27" t="s">
        <v>154</v>
      </c>
      <c r="B172" s="27" t="s">
        <v>174</v>
      </c>
      <c r="C172" s="29">
        <v>57</v>
      </c>
    </row>
    <row r="173" spans="1:3">
      <c r="A173" s="27" t="s">
        <v>154</v>
      </c>
      <c r="B173" s="27" t="s">
        <v>174</v>
      </c>
      <c r="C173" s="29">
        <v>11</v>
      </c>
    </row>
    <row r="174" spans="1:3">
      <c r="A174" s="27" t="s">
        <v>154</v>
      </c>
      <c r="B174" s="27" t="s">
        <v>174</v>
      </c>
      <c r="C174" s="29">
        <v>33</v>
      </c>
    </row>
    <row r="175" spans="1:3">
      <c r="A175" s="27" t="s">
        <v>154</v>
      </c>
      <c r="B175" s="27" t="s">
        <v>174</v>
      </c>
      <c r="C175" s="29">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75"/>
  <sheetViews>
    <sheetView workbookViewId="0"/>
  </sheetViews>
  <sheetFormatPr defaultColWidth="14.36328125" defaultRowHeight="15" customHeight="1"/>
  <cols>
    <col min="2" max="2" width="19.7265625" customWidth="1"/>
  </cols>
  <sheetData>
    <row r="1" spans="1:3">
      <c r="A1" s="27" t="s">
        <v>166</v>
      </c>
      <c r="B1" s="27" t="s">
        <v>167</v>
      </c>
      <c r="C1" s="27" t="s">
        <v>168</v>
      </c>
    </row>
    <row r="2" spans="1:3">
      <c r="A2" s="27" t="s">
        <v>153</v>
      </c>
      <c r="B2" s="27" t="s">
        <v>169</v>
      </c>
      <c r="C2" s="29">
        <v>14</v>
      </c>
    </row>
    <row r="3" spans="1:3">
      <c r="A3" s="27" t="s">
        <v>153</v>
      </c>
      <c r="B3" s="27" t="s">
        <v>169</v>
      </c>
      <c r="C3" s="29">
        <v>11</v>
      </c>
    </row>
    <row r="4" spans="1:3">
      <c r="A4" s="27" t="s">
        <v>153</v>
      </c>
      <c r="B4" s="27" t="s">
        <v>169</v>
      </c>
      <c r="C4" s="29">
        <v>33</v>
      </c>
    </row>
    <row r="5" spans="1:3">
      <c r="A5" s="27" t="s">
        <v>153</v>
      </c>
      <c r="B5" s="27" t="s">
        <v>169</v>
      </c>
      <c r="C5" s="29">
        <v>1</v>
      </c>
    </row>
    <row r="6" spans="1:3">
      <c r="A6" s="27" t="s">
        <v>153</v>
      </c>
      <c r="B6" s="27" t="s">
        <v>169</v>
      </c>
      <c r="C6" s="29">
        <v>8</v>
      </c>
    </row>
    <row r="7" spans="1:3">
      <c r="A7" s="27" t="s">
        <v>153</v>
      </c>
      <c r="B7" s="27" t="s">
        <v>169</v>
      </c>
      <c r="C7" s="29">
        <v>28</v>
      </c>
    </row>
    <row r="8" spans="1:3">
      <c r="A8" s="27" t="s">
        <v>153</v>
      </c>
      <c r="B8" s="27" t="s">
        <v>169</v>
      </c>
      <c r="C8" s="29">
        <v>6</v>
      </c>
    </row>
    <row r="9" spans="1:3">
      <c r="A9" s="27" t="s">
        <v>153</v>
      </c>
      <c r="B9" s="27" t="s">
        <v>169</v>
      </c>
      <c r="C9" s="29">
        <v>17</v>
      </c>
    </row>
    <row r="10" spans="1:3">
      <c r="A10" s="27" t="s">
        <v>153</v>
      </c>
      <c r="B10" s="27" t="s">
        <v>169</v>
      </c>
      <c r="C10" s="29">
        <v>19</v>
      </c>
    </row>
    <row r="11" spans="1:3">
      <c r="A11" s="27" t="s">
        <v>153</v>
      </c>
      <c r="B11" s="27" t="s">
        <v>169</v>
      </c>
      <c r="C11" s="29">
        <v>11</v>
      </c>
    </row>
    <row r="12" spans="1:3">
      <c r="A12" s="27" t="s">
        <v>153</v>
      </c>
      <c r="B12" s="27" t="s">
        <v>169</v>
      </c>
      <c r="C12" s="29">
        <v>14</v>
      </c>
    </row>
    <row r="13" spans="1:3">
      <c r="A13" s="27" t="s">
        <v>153</v>
      </c>
      <c r="B13" s="27" t="s">
        <v>169</v>
      </c>
      <c r="C13" s="29">
        <v>13</v>
      </c>
    </row>
    <row r="14" spans="1:3">
      <c r="A14" s="27" t="s">
        <v>153</v>
      </c>
      <c r="B14" s="27" t="s">
        <v>169</v>
      </c>
      <c r="C14" s="29">
        <v>4</v>
      </c>
    </row>
    <row r="15" spans="1:3">
      <c r="A15" s="27" t="s">
        <v>153</v>
      </c>
      <c r="B15" s="27" t="s">
        <v>169</v>
      </c>
      <c r="C15" s="29">
        <v>5</v>
      </c>
    </row>
    <row r="16" spans="1:3">
      <c r="A16" s="27" t="s">
        <v>153</v>
      </c>
      <c r="B16" s="27" t="s">
        <v>169</v>
      </c>
      <c r="C16" s="29">
        <v>2</v>
      </c>
    </row>
    <row r="17" spans="1:3">
      <c r="A17" s="27" t="s">
        <v>154</v>
      </c>
      <c r="B17" s="27" t="s">
        <v>169</v>
      </c>
      <c r="C17" s="29">
        <v>18</v>
      </c>
    </row>
    <row r="18" spans="1:3">
      <c r="A18" s="27" t="s">
        <v>154</v>
      </c>
      <c r="B18" s="27" t="s">
        <v>169</v>
      </c>
      <c r="C18" s="29">
        <v>13</v>
      </c>
    </row>
    <row r="19" spans="1:3">
      <c r="A19" s="27" t="s">
        <v>154</v>
      </c>
      <c r="B19" s="27" t="s">
        <v>169</v>
      </c>
      <c r="C19" s="29">
        <v>8</v>
      </c>
    </row>
    <row r="20" spans="1:3">
      <c r="A20" s="27" t="s">
        <v>154</v>
      </c>
      <c r="B20" s="27" t="s">
        <v>169</v>
      </c>
      <c r="C20" s="29">
        <v>21</v>
      </c>
    </row>
    <row r="21" spans="1:3">
      <c r="A21" s="27" t="s">
        <v>154</v>
      </c>
      <c r="B21" s="27" t="s">
        <v>169</v>
      </c>
      <c r="C21" s="29">
        <v>19</v>
      </c>
    </row>
    <row r="22" spans="1:3">
      <c r="A22" s="27" t="s">
        <v>154</v>
      </c>
      <c r="B22" s="27" t="s">
        <v>169</v>
      </c>
      <c r="C22" s="29">
        <v>7</v>
      </c>
    </row>
    <row r="23" spans="1:3">
      <c r="A23" s="27" t="s">
        <v>154</v>
      </c>
      <c r="B23" s="27" t="s">
        <v>169</v>
      </c>
      <c r="C23" s="29">
        <v>17</v>
      </c>
    </row>
    <row r="24" spans="1:3">
      <c r="A24" s="27" t="s">
        <v>154</v>
      </c>
      <c r="B24" s="27" t="s">
        <v>169</v>
      </c>
      <c r="C24" s="29">
        <v>18</v>
      </c>
    </row>
    <row r="25" spans="1:3">
      <c r="A25" s="27" t="s">
        <v>154</v>
      </c>
      <c r="B25" s="27" t="s">
        <v>169</v>
      </c>
      <c r="C25" s="29">
        <v>19</v>
      </c>
    </row>
    <row r="26" spans="1:3">
      <c r="A26" s="27" t="s">
        <v>154</v>
      </c>
      <c r="B26" s="27" t="s">
        <v>169</v>
      </c>
      <c r="C26" s="29">
        <v>11</v>
      </c>
    </row>
    <row r="27" spans="1:3">
      <c r="A27" s="27" t="s">
        <v>154</v>
      </c>
      <c r="B27" s="27" t="s">
        <v>169</v>
      </c>
      <c r="C27" s="29">
        <v>24</v>
      </c>
    </row>
    <row r="28" spans="1:3">
      <c r="A28" s="27" t="s">
        <v>154</v>
      </c>
      <c r="B28" s="27" t="s">
        <v>169</v>
      </c>
      <c r="C28" s="29">
        <v>34</v>
      </c>
    </row>
    <row r="29" spans="1:3">
      <c r="A29" s="27" t="s">
        <v>154</v>
      </c>
      <c r="B29" s="27" t="s">
        <v>169</v>
      </c>
      <c r="C29" s="29">
        <v>25</v>
      </c>
    </row>
    <row r="30" spans="1:3">
      <c r="A30" s="27" t="s">
        <v>154</v>
      </c>
      <c r="B30" s="27" t="s">
        <v>169</v>
      </c>
      <c r="C30" s="29">
        <v>12</v>
      </c>
    </row>
    <row r="31" spans="1:3">
      <c r="A31" s="27" t="s">
        <v>153</v>
      </c>
      <c r="B31" s="27" t="s">
        <v>170</v>
      </c>
      <c r="C31" s="27">
        <v>9</v>
      </c>
    </row>
    <row r="32" spans="1:3">
      <c r="A32" s="27" t="s">
        <v>153</v>
      </c>
      <c r="B32" s="27" t="s">
        <v>170</v>
      </c>
      <c r="C32" s="27">
        <v>10</v>
      </c>
    </row>
    <row r="33" spans="1:3">
      <c r="A33" s="27" t="s">
        <v>153</v>
      </c>
      <c r="B33" s="27" t="s">
        <v>170</v>
      </c>
      <c r="C33" s="27">
        <v>27</v>
      </c>
    </row>
    <row r="34" spans="1:3">
      <c r="A34" s="27" t="s">
        <v>153</v>
      </c>
      <c r="B34" s="27" t="s">
        <v>170</v>
      </c>
      <c r="C34" s="27">
        <v>1</v>
      </c>
    </row>
    <row r="35" spans="1:3">
      <c r="A35" s="27" t="s">
        <v>153</v>
      </c>
      <c r="B35" s="27" t="s">
        <v>170</v>
      </c>
      <c r="C35" s="27">
        <v>8</v>
      </c>
    </row>
    <row r="36" spans="1:3">
      <c r="A36" s="27" t="s">
        <v>153</v>
      </c>
      <c r="B36" s="27" t="s">
        <v>170</v>
      </c>
      <c r="C36" s="27">
        <v>21</v>
      </c>
    </row>
    <row r="37" spans="1:3">
      <c r="A37" s="27" t="s">
        <v>153</v>
      </c>
      <c r="B37" s="27" t="s">
        <v>170</v>
      </c>
      <c r="C37" s="27">
        <v>6</v>
      </c>
    </row>
    <row r="38" spans="1:3">
      <c r="A38" s="27" t="s">
        <v>153</v>
      </c>
      <c r="B38" s="27" t="s">
        <v>170</v>
      </c>
      <c r="C38" s="27">
        <v>17</v>
      </c>
    </row>
    <row r="39" spans="1:3">
      <c r="A39" s="27" t="s">
        <v>153</v>
      </c>
      <c r="B39" s="27" t="s">
        <v>170</v>
      </c>
      <c r="C39" s="27">
        <v>19</v>
      </c>
    </row>
    <row r="40" spans="1:3">
      <c r="A40" s="27" t="s">
        <v>153</v>
      </c>
      <c r="B40" s="27" t="s">
        <v>170</v>
      </c>
      <c r="C40" s="27">
        <v>11</v>
      </c>
    </row>
    <row r="41" spans="1:3">
      <c r="A41" s="27" t="s">
        <v>153</v>
      </c>
      <c r="B41" s="27" t="s">
        <v>170</v>
      </c>
      <c r="C41" s="27">
        <v>10</v>
      </c>
    </row>
    <row r="42" spans="1:3">
      <c r="A42" s="27" t="s">
        <v>153</v>
      </c>
      <c r="B42" s="27" t="s">
        <v>170</v>
      </c>
      <c r="C42" s="27">
        <v>5</v>
      </c>
    </row>
    <row r="43" spans="1:3">
      <c r="A43" s="27" t="s">
        <v>153</v>
      </c>
      <c r="B43" s="27" t="s">
        <v>170</v>
      </c>
      <c r="C43" s="27">
        <v>4</v>
      </c>
    </row>
    <row r="44" spans="1:3">
      <c r="A44" s="27" t="s">
        <v>153</v>
      </c>
      <c r="B44" s="27" t="s">
        <v>170</v>
      </c>
      <c r="C44" s="27">
        <v>4</v>
      </c>
    </row>
    <row r="45" spans="1:3">
      <c r="A45" s="27" t="s">
        <v>153</v>
      </c>
      <c r="B45" s="27" t="s">
        <v>170</v>
      </c>
      <c r="C45" s="27">
        <v>2</v>
      </c>
    </row>
    <row r="46" spans="1:3">
      <c r="A46" s="27" t="s">
        <v>154</v>
      </c>
      <c r="B46" s="27" t="s">
        <v>170</v>
      </c>
      <c r="C46" s="27">
        <v>11</v>
      </c>
    </row>
    <row r="47" spans="1:3">
      <c r="A47" s="27" t="s">
        <v>154</v>
      </c>
      <c r="B47" s="27" t="s">
        <v>170</v>
      </c>
      <c r="C47" s="27">
        <v>12</v>
      </c>
    </row>
    <row r="48" spans="1:3">
      <c r="A48" s="27" t="s">
        <v>154</v>
      </c>
      <c r="B48" s="27" t="s">
        <v>170</v>
      </c>
      <c r="C48" s="27">
        <v>8</v>
      </c>
    </row>
    <row r="49" spans="1:3">
      <c r="A49" s="27" t="s">
        <v>154</v>
      </c>
      <c r="B49" s="27" t="s">
        <v>170</v>
      </c>
      <c r="C49" s="27">
        <v>20</v>
      </c>
    </row>
    <row r="50" spans="1:3">
      <c r="A50" s="27" t="s">
        <v>154</v>
      </c>
      <c r="B50" s="27" t="s">
        <v>170</v>
      </c>
      <c r="C50" s="27">
        <v>16</v>
      </c>
    </row>
    <row r="51" spans="1:3">
      <c r="A51" s="27" t="s">
        <v>154</v>
      </c>
      <c r="B51" s="27" t="s">
        <v>170</v>
      </c>
      <c r="C51" s="27">
        <v>7</v>
      </c>
    </row>
    <row r="52" spans="1:3">
      <c r="A52" s="27" t="s">
        <v>154</v>
      </c>
      <c r="B52" s="27" t="s">
        <v>170</v>
      </c>
      <c r="C52" s="27">
        <v>14</v>
      </c>
    </row>
    <row r="53" spans="1:3">
      <c r="A53" s="27" t="s">
        <v>154</v>
      </c>
      <c r="B53" s="27" t="s">
        <v>170</v>
      </c>
      <c r="C53" s="27">
        <v>15</v>
      </c>
    </row>
    <row r="54" spans="1:3">
      <c r="A54" s="27" t="s">
        <v>154</v>
      </c>
      <c r="B54" s="27" t="s">
        <v>170</v>
      </c>
      <c r="C54" s="27">
        <v>10</v>
      </c>
    </row>
    <row r="55" spans="1:3">
      <c r="A55" s="27" t="s">
        <v>154</v>
      </c>
      <c r="B55" s="27" t="s">
        <v>170</v>
      </c>
      <c r="C55" s="27">
        <v>7</v>
      </c>
    </row>
    <row r="56" spans="1:3">
      <c r="A56" s="27" t="s">
        <v>154</v>
      </c>
      <c r="B56" s="27" t="s">
        <v>170</v>
      </c>
      <c r="C56" s="27">
        <v>24</v>
      </c>
    </row>
    <row r="57" spans="1:3">
      <c r="A57" s="27" t="s">
        <v>154</v>
      </c>
      <c r="B57" s="27" t="s">
        <v>170</v>
      </c>
      <c r="C57" s="27">
        <v>33</v>
      </c>
    </row>
    <row r="58" spans="1:3">
      <c r="A58" s="27" t="s">
        <v>154</v>
      </c>
      <c r="B58" s="27" t="s">
        <v>170</v>
      </c>
      <c r="C58" s="27">
        <v>21</v>
      </c>
    </row>
    <row r="59" spans="1:3">
      <c r="A59" s="27" t="s">
        <v>154</v>
      </c>
      <c r="B59" s="27" t="s">
        <v>170</v>
      </c>
      <c r="C59" s="27">
        <v>12</v>
      </c>
    </row>
    <row r="60" spans="1:3">
      <c r="A60" s="27" t="s">
        <v>153</v>
      </c>
      <c r="B60" s="27" t="s">
        <v>171</v>
      </c>
      <c r="C60" s="26">
        <v>5</v>
      </c>
    </row>
    <row r="61" spans="1:3">
      <c r="A61" s="27" t="s">
        <v>153</v>
      </c>
      <c r="B61" s="27" t="s">
        <v>171</v>
      </c>
      <c r="C61" s="26">
        <v>1</v>
      </c>
    </row>
    <row r="62" spans="1:3">
      <c r="A62" s="27" t="s">
        <v>153</v>
      </c>
      <c r="B62" s="27" t="s">
        <v>171</v>
      </c>
      <c r="C62" s="26">
        <v>6</v>
      </c>
    </row>
    <row r="63" spans="1:3">
      <c r="A63" s="27" t="s">
        <v>153</v>
      </c>
      <c r="B63" s="27" t="s">
        <v>171</v>
      </c>
      <c r="C63" s="26">
        <v>0</v>
      </c>
    </row>
    <row r="64" spans="1:3">
      <c r="A64" s="27" t="s">
        <v>153</v>
      </c>
      <c r="B64" s="27" t="s">
        <v>171</v>
      </c>
      <c r="C64" s="26">
        <v>0</v>
      </c>
    </row>
    <row r="65" spans="1:3">
      <c r="A65" s="27" t="s">
        <v>153</v>
      </c>
      <c r="B65" s="27" t="s">
        <v>171</v>
      </c>
      <c r="C65" s="26">
        <v>7</v>
      </c>
    </row>
    <row r="66" spans="1:3">
      <c r="A66" s="27" t="s">
        <v>153</v>
      </c>
      <c r="B66" s="27" t="s">
        <v>171</v>
      </c>
      <c r="C66" s="26">
        <v>0</v>
      </c>
    </row>
    <row r="67" spans="1:3">
      <c r="A67" s="27" t="s">
        <v>153</v>
      </c>
      <c r="B67" s="27" t="s">
        <v>171</v>
      </c>
      <c r="C67" s="26">
        <v>0</v>
      </c>
    </row>
    <row r="68" spans="1:3">
      <c r="A68" s="27" t="s">
        <v>153</v>
      </c>
      <c r="B68" s="27" t="s">
        <v>171</v>
      </c>
      <c r="C68" s="26">
        <v>0</v>
      </c>
    </row>
    <row r="69" spans="1:3">
      <c r="A69" s="27" t="s">
        <v>153</v>
      </c>
      <c r="B69" s="27" t="s">
        <v>171</v>
      </c>
      <c r="C69" s="26">
        <v>0</v>
      </c>
    </row>
    <row r="70" spans="1:3">
      <c r="A70" s="27" t="s">
        <v>153</v>
      </c>
      <c r="B70" s="27" t="s">
        <v>171</v>
      </c>
      <c r="C70" s="26">
        <v>4</v>
      </c>
    </row>
    <row r="71" spans="1:3">
      <c r="A71" s="27" t="s">
        <v>153</v>
      </c>
      <c r="B71" s="27" t="s">
        <v>171</v>
      </c>
      <c r="C71" s="26">
        <v>8</v>
      </c>
    </row>
    <row r="72" spans="1:3">
      <c r="A72" s="27" t="s">
        <v>153</v>
      </c>
      <c r="B72" s="27" t="s">
        <v>171</v>
      </c>
      <c r="C72" s="26">
        <v>0</v>
      </c>
    </row>
    <row r="73" spans="1:3">
      <c r="A73" s="27" t="s">
        <v>153</v>
      </c>
      <c r="B73" s="27" t="s">
        <v>171</v>
      </c>
      <c r="C73" s="26">
        <v>1</v>
      </c>
    </row>
    <row r="74" spans="1:3">
      <c r="A74" s="27" t="s">
        <v>153</v>
      </c>
      <c r="B74" s="27" t="s">
        <v>171</v>
      </c>
      <c r="C74" s="26">
        <v>0</v>
      </c>
    </row>
    <row r="75" spans="1:3">
      <c r="A75" s="27" t="s">
        <v>154</v>
      </c>
      <c r="B75" s="27" t="s">
        <v>171</v>
      </c>
      <c r="C75" s="26">
        <v>7</v>
      </c>
    </row>
    <row r="76" spans="1:3">
      <c r="A76" s="27" t="s">
        <v>154</v>
      </c>
      <c r="B76" s="27" t="s">
        <v>171</v>
      </c>
      <c r="C76" s="26">
        <v>1</v>
      </c>
    </row>
    <row r="77" spans="1:3">
      <c r="A77" s="27" t="s">
        <v>154</v>
      </c>
      <c r="B77" s="27" t="s">
        <v>171</v>
      </c>
      <c r="C77" s="26">
        <v>0</v>
      </c>
    </row>
    <row r="78" spans="1:3">
      <c r="A78" s="27" t="s">
        <v>154</v>
      </c>
      <c r="B78" s="27" t="s">
        <v>171</v>
      </c>
      <c r="C78" s="26">
        <v>1</v>
      </c>
    </row>
    <row r="79" spans="1:3">
      <c r="A79" s="27" t="s">
        <v>154</v>
      </c>
      <c r="B79" s="27" t="s">
        <v>171</v>
      </c>
      <c r="C79" s="26">
        <v>3</v>
      </c>
    </row>
    <row r="80" spans="1:3">
      <c r="A80" s="27" t="s">
        <v>154</v>
      </c>
      <c r="B80" s="27" t="s">
        <v>171</v>
      </c>
      <c r="C80" s="26">
        <v>0</v>
      </c>
    </row>
    <row r="81" spans="1:3">
      <c r="A81" s="27" t="s">
        <v>154</v>
      </c>
      <c r="B81" s="27" t="s">
        <v>171</v>
      </c>
      <c r="C81" s="26">
        <v>3</v>
      </c>
    </row>
    <row r="82" spans="1:3">
      <c r="A82" s="27" t="s">
        <v>154</v>
      </c>
      <c r="B82" s="27" t="s">
        <v>171</v>
      </c>
      <c r="C82" s="26">
        <v>3</v>
      </c>
    </row>
    <row r="83" spans="1:3">
      <c r="A83" s="27" t="s">
        <v>154</v>
      </c>
      <c r="B83" s="27" t="s">
        <v>171</v>
      </c>
      <c r="C83" s="26">
        <v>9</v>
      </c>
    </row>
    <row r="84" spans="1:3">
      <c r="A84" s="27" t="s">
        <v>154</v>
      </c>
      <c r="B84" s="27" t="s">
        <v>171</v>
      </c>
      <c r="C84" s="26">
        <v>4</v>
      </c>
    </row>
    <row r="85" spans="1:3">
      <c r="A85" s="27" t="s">
        <v>154</v>
      </c>
      <c r="B85" s="27" t="s">
        <v>171</v>
      </c>
      <c r="C85" s="26">
        <v>0</v>
      </c>
    </row>
    <row r="86" spans="1:3">
      <c r="A86" s="27" t="s">
        <v>154</v>
      </c>
      <c r="B86" s="27" t="s">
        <v>171</v>
      </c>
      <c r="C86" s="26">
        <v>1</v>
      </c>
    </row>
    <row r="87" spans="1:3">
      <c r="A87" s="27" t="s">
        <v>154</v>
      </c>
      <c r="B87" s="27" t="s">
        <v>171</v>
      </c>
      <c r="C87" s="26">
        <v>4</v>
      </c>
    </row>
    <row r="88" spans="1:3">
      <c r="A88" s="27" t="s">
        <v>154</v>
      </c>
      <c r="B88" s="27" t="s">
        <v>171</v>
      </c>
      <c r="C88" s="26">
        <v>0</v>
      </c>
    </row>
    <row r="89" spans="1:3">
      <c r="A89" s="27" t="s">
        <v>153</v>
      </c>
      <c r="B89" s="27" t="s">
        <v>172</v>
      </c>
      <c r="C89" s="29">
        <v>10</v>
      </c>
    </row>
    <row r="90" spans="1:3">
      <c r="A90" s="27" t="s">
        <v>153</v>
      </c>
      <c r="B90" s="27" t="s">
        <v>172</v>
      </c>
      <c r="C90" s="29">
        <v>4</v>
      </c>
    </row>
    <row r="91" spans="1:3">
      <c r="A91" s="27" t="s">
        <v>153</v>
      </c>
      <c r="B91" s="27" t="s">
        <v>172</v>
      </c>
      <c r="C91" s="29">
        <v>14</v>
      </c>
    </row>
    <row r="92" spans="1:3">
      <c r="A92" s="27" t="s">
        <v>153</v>
      </c>
      <c r="B92" s="27" t="s">
        <v>172</v>
      </c>
      <c r="C92" s="29">
        <v>4</v>
      </c>
    </row>
    <row r="93" spans="1:3">
      <c r="A93" s="27" t="s">
        <v>153</v>
      </c>
      <c r="B93" s="27" t="s">
        <v>172</v>
      </c>
      <c r="C93" s="29">
        <v>2</v>
      </c>
    </row>
    <row r="94" spans="1:3">
      <c r="A94" s="27" t="s">
        <v>153</v>
      </c>
      <c r="B94" s="27" t="s">
        <v>172</v>
      </c>
      <c r="C94" s="29">
        <v>8</v>
      </c>
    </row>
    <row r="95" spans="1:3">
      <c r="A95" s="27" t="s">
        <v>153</v>
      </c>
      <c r="B95" s="27" t="s">
        <v>172</v>
      </c>
      <c r="C95" s="29">
        <v>6</v>
      </c>
    </row>
    <row r="96" spans="1:3">
      <c r="A96" s="27" t="s">
        <v>153</v>
      </c>
      <c r="B96" s="27" t="s">
        <v>172</v>
      </c>
      <c r="C96" s="29">
        <v>6</v>
      </c>
    </row>
    <row r="97" spans="1:3">
      <c r="A97" s="27" t="s">
        <v>153</v>
      </c>
      <c r="B97" s="27" t="s">
        <v>172</v>
      </c>
      <c r="C97" s="29">
        <v>7</v>
      </c>
    </row>
    <row r="98" spans="1:3">
      <c r="A98" s="27" t="s">
        <v>153</v>
      </c>
      <c r="B98" s="27" t="s">
        <v>172</v>
      </c>
      <c r="C98" s="29">
        <v>3</v>
      </c>
    </row>
    <row r="99" spans="1:3">
      <c r="A99" s="27" t="s">
        <v>153</v>
      </c>
      <c r="B99" s="27" t="s">
        <v>172</v>
      </c>
      <c r="C99" s="29">
        <v>15</v>
      </c>
    </row>
    <row r="100" spans="1:3">
      <c r="A100" s="27" t="s">
        <v>153</v>
      </c>
      <c r="B100" s="27" t="s">
        <v>172</v>
      </c>
      <c r="C100" s="29">
        <v>12</v>
      </c>
    </row>
    <row r="101" spans="1:3">
      <c r="A101" s="27" t="s">
        <v>153</v>
      </c>
      <c r="B101" s="27" t="s">
        <v>172</v>
      </c>
      <c r="C101" s="29">
        <v>0</v>
      </c>
    </row>
    <row r="102" spans="1:3">
      <c r="A102" s="27" t="s">
        <v>153</v>
      </c>
      <c r="B102" s="27" t="s">
        <v>172</v>
      </c>
      <c r="C102" s="29">
        <v>7</v>
      </c>
    </row>
    <row r="103" spans="1:3">
      <c r="A103" s="27" t="s">
        <v>153</v>
      </c>
      <c r="B103" s="27" t="s">
        <v>172</v>
      </c>
      <c r="C103" s="29">
        <v>4</v>
      </c>
    </row>
    <row r="104" spans="1:3">
      <c r="A104" s="27" t="s">
        <v>154</v>
      </c>
      <c r="B104" s="27" t="s">
        <v>172</v>
      </c>
      <c r="C104" s="29">
        <v>9</v>
      </c>
    </row>
    <row r="105" spans="1:3">
      <c r="A105" s="27" t="s">
        <v>154</v>
      </c>
      <c r="B105" s="27" t="s">
        <v>172</v>
      </c>
      <c r="C105" s="29">
        <v>12</v>
      </c>
    </row>
    <row r="106" spans="1:3">
      <c r="A106" s="27" t="s">
        <v>154</v>
      </c>
      <c r="B106" s="27" t="s">
        <v>172</v>
      </c>
      <c r="C106" s="29">
        <v>21</v>
      </c>
    </row>
    <row r="107" spans="1:3">
      <c r="A107" s="27" t="s">
        <v>154</v>
      </c>
      <c r="B107" s="27" t="s">
        <v>172</v>
      </c>
      <c r="C107" s="29">
        <v>19</v>
      </c>
    </row>
    <row r="108" spans="1:3">
      <c r="A108" s="27" t="s">
        <v>154</v>
      </c>
      <c r="B108" s="27" t="s">
        <v>172</v>
      </c>
      <c r="C108" s="29">
        <v>12</v>
      </c>
    </row>
    <row r="109" spans="1:3">
      <c r="A109" s="27" t="s">
        <v>154</v>
      </c>
      <c r="B109" s="27" t="s">
        <v>172</v>
      </c>
      <c r="C109" s="29">
        <v>6</v>
      </c>
    </row>
    <row r="110" spans="1:3">
      <c r="A110" s="27" t="s">
        <v>154</v>
      </c>
      <c r="B110" s="27" t="s">
        <v>172</v>
      </c>
      <c r="C110" s="29">
        <v>4</v>
      </c>
    </row>
    <row r="111" spans="1:3">
      <c r="A111" s="27" t="s">
        <v>154</v>
      </c>
      <c r="B111" s="27" t="s">
        <v>172</v>
      </c>
      <c r="C111" s="29">
        <v>5</v>
      </c>
    </row>
    <row r="112" spans="1:3">
      <c r="A112" s="27" t="s">
        <v>154</v>
      </c>
      <c r="B112" s="27" t="s">
        <v>172</v>
      </c>
      <c r="C112" s="29">
        <v>9</v>
      </c>
    </row>
    <row r="113" spans="1:3">
      <c r="A113" s="27" t="s">
        <v>154</v>
      </c>
      <c r="B113" s="27" t="s">
        <v>172</v>
      </c>
      <c r="C113" s="29">
        <v>2</v>
      </c>
    </row>
    <row r="114" spans="1:3">
      <c r="A114" s="27" t="s">
        <v>154</v>
      </c>
      <c r="B114" s="27" t="s">
        <v>172</v>
      </c>
      <c r="C114" s="29">
        <v>9</v>
      </c>
    </row>
    <row r="115" spans="1:3">
      <c r="A115" s="27" t="s">
        <v>154</v>
      </c>
      <c r="B115" s="27" t="s">
        <v>172</v>
      </c>
      <c r="C115" s="29">
        <v>9</v>
      </c>
    </row>
    <row r="116" spans="1:3">
      <c r="A116" s="27" t="s">
        <v>154</v>
      </c>
      <c r="B116" s="27" t="s">
        <v>172</v>
      </c>
      <c r="C116" s="29">
        <v>2</v>
      </c>
    </row>
    <row r="117" spans="1:3">
      <c r="A117" s="27" t="s">
        <v>154</v>
      </c>
      <c r="B117" s="27" t="s">
        <v>172</v>
      </c>
      <c r="C117" s="29">
        <v>7</v>
      </c>
    </row>
    <row r="118" spans="1:3">
      <c r="A118" s="27" t="s">
        <v>153</v>
      </c>
      <c r="B118" s="27" t="s">
        <v>173</v>
      </c>
      <c r="C118" s="29">
        <v>14</v>
      </c>
    </row>
    <row r="119" spans="1:3">
      <c r="A119" s="27" t="s">
        <v>153</v>
      </c>
      <c r="B119" s="27" t="s">
        <v>173</v>
      </c>
      <c r="C119" s="29">
        <v>3</v>
      </c>
    </row>
    <row r="120" spans="1:3">
      <c r="A120" s="27" t="s">
        <v>153</v>
      </c>
      <c r="B120" s="27" t="s">
        <v>173</v>
      </c>
      <c r="C120" s="29">
        <v>17</v>
      </c>
    </row>
    <row r="121" spans="1:3">
      <c r="A121" s="27" t="s">
        <v>153</v>
      </c>
      <c r="B121" s="27" t="s">
        <v>173</v>
      </c>
      <c r="C121" s="29">
        <v>20</v>
      </c>
    </row>
    <row r="122" spans="1:3">
      <c r="A122" s="27" t="s">
        <v>153</v>
      </c>
      <c r="B122" s="27" t="s">
        <v>173</v>
      </c>
      <c r="C122" s="29">
        <v>21</v>
      </c>
    </row>
    <row r="123" spans="1:3">
      <c r="A123" s="27" t="s">
        <v>153</v>
      </c>
      <c r="B123" s="27" t="s">
        <v>173</v>
      </c>
      <c r="C123" s="29">
        <v>19</v>
      </c>
    </row>
    <row r="124" spans="1:3">
      <c r="A124" s="27" t="s">
        <v>153</v>
      </c>
      <c r="B124" s="27" t="s">
        <v>173</v>
      </c>
      <c r="C124" s="29">
        <v>11</v>
      </c>
    </row>
    <row r="125" spans="1:3">
      <c r="A125" s="27" t="s">
        <v>153</v>
      </c>
      <c r="B125" s="27" t="s">
        <v>173</v>
      </c>
      <c r="C125" s="29">
        <v>15</v>
      </c>
    </row>
    <row r="126" spans="1:3">
      <c r="A126" s="27" t="s">
        <v>153</v>
      </c>
      <c r="B126" s="27" t="s">
        <v>173</v>
      </c>
      <c r="C126" s="29">
        <v>15</v>
      </c>
    </row>
    <row r="127" spans="1:3">
      <c r="A127" s="27" t="s">
        <v>153</v>
      </c>
      <c r="B127" s="27" t="s">
        <v>173</v>
      </c>
      <c r="C127" s="29">
        <v>25</v>
      </c>
    </row>
    <row r="128" spans="1:3">
      <c r="A128" s="27" t="s">
        <v>153</v>
      </c>
      <c r="B128" s="27" t="s">
        <v>173</v>
      </c>
      <c r="C128" s="29">
        <v>19</v>
      </c>
    </row>
    <row r="129" spans="1:3">
      <c r="A129" s="27" t="s">
        <v>153</v>
      </c>
      <c r="B129" s="27" t="s">
        <v>173</v>
      </c>
      <c r="C129" s="29">
        <v>17</v>
      </c>
    </row>
    <row r="130" spans="1:3">
      <c r="A130" s="27" t="s">
        <v>153</v>
      </c>
      <c r="B130" s="27" t="s">
        <v>173</v>
      </c>
      <c r="C130" s="29">
        <v>18</v>
      </c>
    </row>
    <row r="131" spans="1:3">
      <c r="A131" s="27" t="s">
        <v>153</v>
      </c>
      <c r="B131" s="27" t="s">
        <v>173</v>
      </c>
      <c r="C131" s="29">
        <v>22</v>
      </c>
    </row>
    <row r="132" spans="1:3">
      <c r="A132" s="27" t="s">
        <v>153</v>
      </c>
      <c r="B132" s="27" t="s">
        <v>173</v>
      </c>
      <c r="C132" s="29">
        <v>11</v>
      </c>
    </row>
    <row r="133" spans="1:3">
      <c r="A133" s="27" t="s">
        <v>154</v>
      </c>
      <c r="B133" s="27" t="s">
        <v>173</v>
      </c>
      <c r="C133" s="29">
        <v>8</v>
      </c>
    </row>
    <row r="134" spans="1:3">
      <c r="A134" s="27" t="s">
        <v>154</v>
      </c>
      <c r="B134" s="27" t="s">
        <v>173</v>
      </c>
      <c r="C134" s="29">
        <v>14</v>
      </c>
    </row>
    <row r="135" spans="1:3">
      <c r="A135" s="27" t="s">
        <v>154</v>
      </c>
      <c r="B135" s="27" t="s">
        <v>173</v>
      </c>
      <c r="C135" s="29">
        <v>28</v>
      </c>
    </row>
    <row r="136" spans="1:3">
      <c r="A136" s="27" t="s">
        <v>154</v>
      </c>
      <c r="B136" s="27" t="s">
        <v>173</v>
      </c>
      <c r="C136" s="29">
        <v>23</v>
      </c>
    </row>
    <row r="137" spans="1:3">
      <c r="A137" s="27" t="s">
        <v>154</v>
      </c>
      <c r="B137" s="27" t="s">
        <v>173</v>
      </c>
      <c r="C137" s="29">
        <v>33</v>
      </c>
    </row>
    <row r="138" spans="1:3">
      <c r="A138" s="27" t="s">
        <v>154</v>
      </c>
      <c r="B138" s="27" t="s">
        <v>173</v>
      </c>
      <c r="C138" s="29">
        <v>25</v>
      </c>
    </row>
    <row r="139" spans="1:3">
      <c r="A139" s="27" t="s">
        <v>154</v>
      </c>
      <c r="B139" s="27" t="s">
        <v>173</v>
      </c>
      <c r="C139" s="29">
        <v>20</v>
      </c>
    </row>
    <row r="140" spans="1:3">
      <c r="A140" s="27" t="s">
        <v>154</v>
      </c>
      <c r="B140" s="27" t="s">
        <v>173</v>
      </c>
      <c r="C140" s="29">
        <v>35</v>
      </c>
    </row>
    <row r="141" spans="1:3">
      <c r="A141" s="27" t="s">
        <v>154</v>
      </c>
      <c r="B141" s="27" t="s">
        <v>173</v>
      </c>
      <c r="C141" s="29">
        <v>13</v>
      </c>
    </row>
    <row r="142" spans="1:3">
      <c r="A142" s="27" t="s">
        <v>154</v>
      </c>
      <c r="B142" s="27" t="s">
        <v>173</v>
      </c>
      <c r="C142" s="29">
        <v>21</v>
      </c>
    </row>
    <row r="143" spans="1:3">
      <c r="A143" s="27" t="s">
        <v>154</v>
      </c>
      <c r="B143" s="27" t="s">
        <v>173</v>
      </c>
      <c r="C143" s="29">
        <v>31</v>
      </c>
    </row>
    <row r="144" spans="1:3">
      <c r="A144" s="27" t="s">
        <v>154</v>
      </c>
      <c r="B144" s="27" t="s">
        <v>173</v>
      </c>
      <c r="C144" s="29">
        <v>8</v>
      </c>
    </row>
    <row r="145" spans="1:3">
      <c r="A145" s="27" t="s">
        <v>154</v>
      </c>
      <c r="B145" s="27" t="s">
        <v>173</v>
      </c>
      <c r="C145" s="29">
        <v>17</v>
      </c>
    </row>
    <row r="146" spans="1:3">
      <c r="A146" s="27" t="s">
        <v>154</v>
      </c>
      <c r="B146" s="27" t="s">
        <v>173</v>
      </c>
      <c r="C146" s="29">
        <v>23</v>
      </c>
    </row>
    <row r="147" spans="1:3">
      <c r="A147" s="27" t="s">
        <v>153</v>
      </c>
      <c r="B147" s="27" t="s">
        <v>174</v>
      </c>
      <c r="C147" s="29">
        <v>26</v>
      </c>
    </row>
    <row r="148" spans="1:3">
      <c r="A148" s="27" t="s">
        <v>153</v>
      </c>
      <c r="B148" s="27" t="s">
        <v>174</v>
      </c>
      <c r="C148" s="29">
        <v>34</v>
      </c>
    </row>
    <row r="149" spans="1:3">
      <c r="A149" s="27" t="s">
        <v>153</v>
      </c>
      <c r="B149" s="27" t="s">
        <v>174</v>
      </c>
      <c r="C149" s="29">
        <v>34</v>
      </c>
    </row>
    <row r="150" spans="1:3">
      <c r="A150" s="27" t="s">
        <v>153</v>
      </c>
      <c r="B150" s="27" t="s">
        <v>174</v>
      </c>
      <c r="C150" s="29">
        <v>43</v>
      </c>
    </row>
    <row r="151" spans="1:3">
      <c r="A151" s="27" t="s">
        <v>153</v>
      </c>
      <c r="B151" s="27" t="s">
        <v>174</v>
      </c>
      <c r="C151" s="29">
        <v>37</v>
      </c>
    </row>
    <row r="152" spans="1:3">
      <c r="A152" s="27" t="s">
        <v>153</v>
      </c>
      <c r="B152" s="27" t="s">
        <v>174</v>
      </c>
      <c r="C152" s="29">
        <v>38</v>
      </c>
    </row>
    <row r="153" spans="1:3">
      <c r="A153" s="27" t="s">
        <v>153</v>
      </c>
      <c r="B153" s="27" t="s">
        <v>174</v>
      </c>
      <c r="C153" s="29">
        <v>32</v>
      </c>
    </row>
    <row r="154" spans="1:3">
      <c r="A154" s="27" t="s">
        <v>153</v>
      </c>
      <c r="B154" s="27" t="s">
        <v>174</v>
      </c>
      <c r="C154" s="29">
        <v>32</v>
      </c>
    </row>
    <row r="155" spans="1:3">
      <c r="A155" s="27" t="s">
        <v>153</v>
      </c>
      <c r="B155" s="27" t="s">
        <v>174</v>
      </c>
      <c r="C155" s="29">
        <v>24</v>
      </c>
    </row>
    <row r="156" spans="1:3">
      <c r="A156" s="27" t="s">
        <v>153</v>
      </c>
      <c r="B156" s="27" t="s">
        <v>174</v>
      </c>
      <c r="C156" s="29">
        <v>44</v>
      </c>
    </row>
    <row r="157" spans="1:3">
      <c r="A157" s="27" t="s">
        <v>153</v>
      </c>
      <c r="B157" s="27" t="s">
        <v>174</v>
      </c>
      <c r="C157" s="29">
        <v>37</v>
      </c>
    </row>
    <row r="158" spans="1:3">
      <c r="A158" s="27" t="s">
        <v>153</v>
      </c>
      <c r="B158" s="27" t="s">
        <v>174</v>
      </c>
      <c r="C158" s="29">
        <v>36</v>
      </c>
    </row>
    <row r="159" spans="1:3">
      <c r="A159" s="27" t="s">
        <v>153</v>
      </c>
      <c r="B159" s="27" t="s">
        <v>174</v>
      </c>
      <c r="C159" s="29">
        <v>44</v>
      </c>
    </row>
    <row r="160" spans="1:3">
      <c r="A160" s="27" t="s">
        <v>153</v>
      </c>
      <c r="B160" s="27" t="s">
        <v>174</v>
      </c>
      <c r="C160" s="29">
        <v>36</v>
      </c>
    </row>
    <row r="161" spans="1:3">
      <c r="A161" s="27" t="s">
        <v>153</v>
      </c>
      <c r="B161" s="27" t="s">
        <v>174</v>
      </c>
      <c r="C161" s="29">
        <v>32</v>
      </c>
    </row>
    <row r="162" spans="1:3">
      <c r="A162" s="27" t="s">
        <v>154</v>
      </c>
      <c r="B162" s="27" t="s">
        <v>174</v>
      </c>
      <c r="C162" s="29">
        <v>22</v>
      </c>
    </row>
    <row r="163" spans="1:3">
      <c r="A163" s="27" t="s">
        <v>154</v>
      </c>
      <c r="B163" s="27" t="s">
        <v>174</v>
      </c>
      <c r="C163" s="29">
        <v>32</v>
      </c>
    </row>
    <row r="164" spans="1:3">
      <c r="A164" s="27" t="s">
        <v>154</v>
      </c>
      <c r="B164" s="27" t="s">
        <v>174</v>
      </c>
      <c r="C164" s="29">
        <v>38</v>
      </c>
    </row>
    <row r="165" spans="1:3">
      <c r="A165" s="27" t="s">
        <v>154</v>
      </c>
      <c r="B165" s="27" t="s">
        <v>174</v>
      </c>
      <c r="C165" s="29">
        <v>31</v>
      </c>
    </row>
    <row r="166" spans="1:3">
      <c r="A166" s="27" t="s">
        <v>154</v>
      </c>
      <c r="B166" s="27" t="s">
        <v>174</v>
      </c>
      <c r="C166" s="29">
        <v>56</v>
      </c>
    </row>
    <row r="167" spans="1:3">
      <c r="A167" s="27" t="s">
        <v>154</v>
      </c>
      <c r="B167" s="27" t="s">
        <v>174</v>
      </c>
      <c r="C167" s="29">
        <v>47</v>
      </c>
    </row>
    <row r="168" spans="1:3">
      <c r="A168" s="27" t="s">
        <v>154</v>
      </c>
      <c r="B168" s="27" t="s">
        <v>174</v>
      </c>
      <c r="C168" s="29">
        <v>40</v>
      </c>
    </row>
    <row r="169" spans="1:3">
      <c r="A169" s="27" t="s">
        <v>154</v>
      </c>
      <c r="B169" s="27" t="s">
        <v>174</v>
      </c>
      <c r="C169" s="29">
        <v>59</v>
      </c>
    </row>
    <row r="170" spans="1:3">
      <c r="A170" s="27" t="s">
        <v>154</v>
      </c>
      <c r="B170" s="27" t="s">
        <v>174</v>
      </c>
      <c r="C170" s="29">
        <v>28</v>
      </c>
    </row>
    <row r="171" spans="1:3">
      <c r="A171" s="27" t="s">
        <v>154</v>
      </c>
      <c r="B171" s="27" t="s">
        <v>174</v>
      </c>
      <c r="C171" s="29">
        <v>39</v>
      </c>
    </row>
    <row r="172" spans="1:3">
      <c r="A172" s="27" t="s">
        <v>154</v>
      </c>
      <c r="B172" s="27" t="s">
        <v>174</v>
      </c>
      <c r="C172" s="29">
        <v>57</v>
      </c>
    </row>
    <row r="173" spans="1:3">
      <c r="A173" s="27" t="s">
        <v>154</v>
      </c>
      <c r="B173" s="27" t="s">
        <v>174</v>
      </c>
      <c r="C173" s="29">
        <v>11</v>
      </c>
    </row>
    <row r="174" spans="1:3">
      <c r="A174" s="27" t="s">
        <v>154</v>
      </c>
      <c r="B174" s="27" t="s">
        <v>174</v>
      </c>
      <c r="C174" s="29">
        <v>33</v>
      </c>
    </row>
    <row r="175" spans="1:3">
      <c r="A175" s="27" t="s">
        <v>154</v>
      </c>
      <c r="B175" s="27" t="s">
        <v>174</v>
      </c>
      <c r="C175" s="29">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Duplo (Raw)</vt:lpstr>
      <vt:lpstr>RSOY (Raw)</vt:lpstr>
      <vt:lpstr>Programming Issues</vt:lpstr>
      <vt:lpstr>Performance</vt:lpstr>
      <vt:lpstr>CVS</vt:lpstr>
      <vt:lpstr>Analysis_duplo_vs_ORS_Total_Con</vt:lpstr>
      <vt:lpstr>Copy Analysis_duplo_vs_ORS_Tota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2023-02-08T22:41:12Z</dcterms:modified>
</cp:coreProperties>
</file>