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theme/themeOverride3.xml" ContentType="application/vnd.openxmlformats-officedocument.themeOverride+xml"/>
  <Override PartName="/xl/charts/chart5.xml" ContentType="application/vnd.openxmlformats-officedocument.drawingml.chart+xml"/>
  <Override PartName="/xl/theme/themeOverride4.xml" ContentType="application/vnd.openxmlformats-officedocument.themeOverride+xml"/>
  <Override PartName="/xl/charts/chart6.xml" ContentType="application/vnd.openxmlformats-officedocument.drawingml.chart+xml"/>
  <Override PartName="/xl/theme/themeOverride5.xml" ContentType="application/vnd.openxmlformats-officedocument.themeOverride+xml"/>
  <Override PartName="/xl/drawings/drawing3.xml" ContentType="application/vnd.openxmlformats-officedocument.drawing+xml"/>
  <Override PartName="/xl/charts/chart7.xml" ContentType="application/vnd.openxmlformats-officedocument.drawingml.chart+xml"/>
  <Override PartName="/xl/theme/themeOverride6.xml" ContentType="application/vnd.openxmlformats-officedocument.themeOverride+xml"/>
  <Override PartName="/xl/charts/chart8.xml" ContentType="application/vnd.openxmlformats-officedocument.drawingml.chart+xml"/>
  <Override PartName="/xl/theme/themeOverride7.xml" ContentType="application/vnd.openxmlformats-officedocument.themeOverride+xml"/>
  <Override PartName="/xl/charts/chart9.xml" ContentType="application/vnd.openxmlformats-officedocument.drawingml.chart+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CC65C6D5-3313-46B8-BA0D-BAC675AD4578}" xr6:coauthVersionLast="36" xr6:coauthVersionMax="36" xr10:uidLastSave="{00000000-0000-0000-0000-000000000000}"/>
  <bookViews>
    <workbookView xWindow="0" yWindow="0" windowWidth="17063" windowHeight="7703" activeTab="2" xr2:uid="{00000000-000D-0000-FFFF-FFFF00000000}"/>
  </bookViews>
  <sheets>
    <sheet name="ROY (Raw)" sheetId="2" r:id="rId1"/>
    <sheet name="Duplo (Raw)" sheetId="1" r:id="rId2"/>
    <sheet name="Tasks Completion Time" sheetId="33" r:id="rId3"/>
    <sheet name="Overall Performance" sheetId="8" r:id="rId4"/>
    <sheet name="Overall Program. Obstacles" sheetId="26" r:id="rId5"/>
    <sheet name="Overall Program. Analysis" sheetId="31" r:id="rId6"/>
    <sheet name="CVS" sheetId="5" state="hidden" r:id="rId7"/>
    <sheet name="Analysis_duplo_vs_ORS_Total_Con" sheetId="6" state="hidden" r:id="rId8"/>
    <sheet name="Copy Analysis_duplo_vs_ORS_Tota" sheetId="7" state="hidden" r:id="rId9"/>
  </sheets>
  <externalReferences>
    <externalReference r:id="rId10"/>
  </externalReferences>
  <calcPr calcId="191029"/>
</workbook>
</file>

<file path=xl/calcChain.xml><?xml version="1.0" encoding="utf-8"?>
<calcChain xmlns="http://schemas.openxmlformats.org/spreadsheetml/2006/main">
  <c r="K116" i="33" l="1"/>
  <c r="J116" i="33"/>
  <c r="H116" i="33"/>
  <c r="G116" i="33"/>
  <c r="E116" i="33"/>
  <c r="D116" i="33"/>
  <c r="G58" i="33"/>
  <c r="H58" i="33"/>
  <c r="J58" i="33"/>
  <c r="K58" i="33"/>
  <c r="E58" i="33"/>
  <c r="D58" i="33"/>
  <c r="K115" i="33"/>
  <c r="J115" i="33"/>
  <c r="H115" i="33"/>
  <c r="G115" i="33"/>
  <c r="E115" i="33"/>
  <c r="D115" i="33"/>
  <c r="K114" i="33"/>
  <c r="J114" i="33"/>
  <c r="H114" i="33"/>
  <c r="G114" i="33"/>
  <c r="E114" i="33"/>
  <c r="D114" i="33"/>
  <c r="K113" i="33"/>
  <c r="J113" i="33"/>
  <c r="H113" i="33"/>
  <c r="G113" i="33"/>
  <c r="E113" i="33"/>
  <c r="D113" i="33"/>
  <c r="K112" i="33"/>
  <c r="J112" i="33"/>
  <c r="H112" i="33"/>
  <c r="G112" i="33"/>
  <c r="E112" i="33"/>
  <c r="D112" i="33"/>
  <c r="K111" i="33"/>
  <c r="J111" i="33"/>
  <c r="H111" i="33"/>
  <c r="G111" i="33"/>
  <c r="E111" i="33"/>
  <c r="D111" i="33"/>
  <c r="K110" i="33"/>
  <c r="J110" i="33"/>
  <c r="H110" i="33"/>
  <c r="G110" i="33"/>
  <c r="E110" i="33"/>
  <c r="D110" i="33"/>
  <c r="H109" i="33"/>
  <c r="G109" i="33"/>
  <c r="E109" i="33"/>
  <c r="D109" i="33"/>
  <c r="K108" i="33"/>
  <c r="J108" i="33"/>
  <c r="H108" i="33"/>
  <c r="G108" i="33"/>
  <c r="E108" i="33"/>
  <c r="D108" i="33"/>
  <c r="K107" i="33"/>
  <c r="J107" i="33"/>
  <c r="H107" i="33"/>
  <c r="G107" i="33"/>
  <c r="E107" i="33"/>
  <c r="D107" i="33"/>
  <c r="K106" i="33"/>
  <c r="J106" i="33"/>
  <c r="H106" i="33"/>
  <c r="G106" i="33"/>
  <c r="E106" i="33"/>
  <c r="D106" i="33"/>
  <c r="K105" i="33"/>
  <c r="J105" i="33"/>
  <c r="H105" i="33"/>
  <c r="G105" i="33"/>
  <c r="E105" i="33"/>
  <c r="D105" i="33"/>
  <c r="K104" i="33"/>
  <c r="J104" i="33"/>
  <c r="H104" i="33"/>
  <c r="G104" i="33"/>
  <c r="E104" i="33"/>
  <c r="D104" i="33"/>
  <c r="K103" i="33"/>
  <c r="J103" i="33"/>
  <c r="H103" i="33"/>
  <c r="G103" i="33"/>
  <c r="E103" i="33"/>
  <c r="D103" i="33"/>
  <c r="K102" i="33"/>
  <c r="J102" i="33"/>
  <c r="H102" i="33"/>
  <c r="G102" i="33"/>
  <c r="E102" i="33"/>
  <c r="D102" i="33"/>
  <c r="K101" i="33"/>
  <c r="J101" i="33"/>
  <c r="H101" i="33"/>
  <c r="G101" i="33"/>
  <c r="E101" i="33"/>
  <c r="D101" i="33"/>
  <c r="K100" i="33"/>
  <c r="J100" i="33"/>
  <c r="G100" i="33"/>
  <c r="E100" i="33"/>
  <c r="D100" i="33"/>
  <c r="K99" i="33"/>
  <c r="J99" i="33"/>
  <c r="H99" i="33"/>
  <c r="G99" i="33"/>
  <c r="E99" i="33"/>
  <c r="D99" i="33"/>
  <c r="H98" i="33"/>
  <c r="G98" i="33"/>
  <c r="E98" i="33"/>
  <c r="D98" i="33"/>
  <c r="K97" i="33"/>
  <c r="J97" i="33"/>
  <c r="H97" i="33"/>
  <c r="G97" i="33"/>
  <c r="E97" i="33"/>
  <c r="D97" i="33"/>
  <c r="K96" i="33"/>
  <c r="J96" i="33"/>
  <c r="H96" i="33"/>
  <c r="G96" i="33"/>
  <c r="E96" i="33"/>
  <c r="D96" i="33"/>
  <c r="H95" i="33"/>
  <c r="G95" i="33"/>
  <c r="E95" i="33"/>
  <c r="D95" i="33"/>
  <c r="K94" i="33"/>
  <c r="J94" i="33"/>
  <c r="H94" i="33"/>
  <c r="G94" i="33"/>
  <c r="E94" i="33"/>
  <c r="D94" i="33"/>
  <c r="K93" i="33"/>
  <c r="J93" i="33"/>
  <c r="H93" i="33"/>
  <c r="G93" i="33"/>
  <c r="E93" i="33"/>
  <c r="D93" i="33"/>
  <c r="H92" i="33"/>
  <c r="G92" i="33"/>
  <c r="E92" i="33"/>
  <c r="D92" i="33"/>
  <c r="K91" i="33"/>
  <c r="J91" i="33"/>
  <c r="H91" i="33"/>
  <c r="G91" i="33"/>
  <c r="E91" i="33"/>
  <c r="D91" i="33"/>
  <c r="K90" i="33"/>
  <c r="J90" i="33"/>
  <c r="H90" i="33"/>
  <c r="G90" i="33"/>
  <c r="E90" i="33"/>
  <c r="D90" i="33"/>
  <c r="K33" i="33"/>
  <c r="K37" i="33"/>
  <c r="K38" i="33"/>
  <c r="K39" i="33"/>
  <c r="K44" i="33"/>
  <c r="K45" i="33"/>
  <c r="K48" i="33"/>
  <c r="K49" i="33"/>
  <c r="K50" i="33"/>
  <c r="K51" i="33"/>
  <c r="K55" i="33"/>
  <c r="K56" i="33"/>
  <c r="J33" i="33"/>
  <c r="J37" i="33"/>
  <c r="J38" i="33"/>
  <c r="J39" i="33"/>
  <c r="J44" i="33"/>
  <c r="J45" i="33"/>
  <c r="J48" i="33"/>
  <c r="J49" i="33"/>
  <c r="J50" i="33"/>
  <c r="J51" i="33"/>
  <c r="J52" i="33"/>
  <c r="J53" i="33"/>
  <c r="J54" i="33"/>
  <c r="J55" i="33"/>
  <c r="J56" i="33"/>
  <c r="H33" i="33"/>
  <c r="H37" i="33"/>
  <c r="H38" i="33"/>
  <c r="H39" i="33"/>
  <c r="H40" i="33"/>
  <c r="H41" i="33"/>
  <c r="H42" i="33"/>
  <c r="H44" i="33"/>
  <c r="H45" i="33"/>
  <c r="H48" i="33"/>
  <c r="H49" i="33"/>
  <c r="H50" i="33"/>
  <c r="H51" i="33"/>
  <c r="H52" i="33"/>
  <c r="H53" i="33"/>
  <c r="H54" i="33"/>
  <c r="H55" i="33"/>
  <c r="H56" i="33"/>
  <c r="H57" i="33"/>
  <c r="G33" i="33"/>
  <c r="G35" i="33"/>
  <c r="G36" i="33"/>
  <c r="G37" i="33"/>
  <c r="G38" i="33"/>
  <c r="G39" i="33"/>
  <c r="G40" i="33"/>
  <c r="G41" i="33"/>
  <c r="G42" i="33"/>
  <c r="G44" i="33"/>
  <c r="G45" i="33"/>
  <c r="G47" i="33"/>
  <c r="G48" i="33"/>
  <c r="G49" i="33"/>
  <c r="G50" i="33"/>
  <c r="G51" i="33"/>
  <c r="G52" i="33"/>
  <c r="G53" i="33"/>
  <c r="G54" i="33"/>
  <c r="G55" i="33"/>
  <c r="G56" i="33"/>
  <c r="G57" i="33"/>
  <c r="D33" i="33"/>
  <c r="D34" i="33"/>
  <c r="D35" i="33"/>
  <c r="D37" i="33"/>
  <c r="D38" i="33"/>
  <c r="D39" i="33"/>
  <c r="D40" i="33"/>
  <c r="D41" i="33"/>
  <c r="D42" i="33"/>
  <c r="D44" i="33"/>
  <c r="D45" i="33"/>
  <c r="D47" i="33"/>
  <c r="D48" i="33"/>
  <c r="D49" i="33"/>
  <c r="D50" i="33"/>
  <c r="D51" i="33"/>
  <c r="D52" i="33"/>
  <c r="D53" i="33"/>
  <c r="D54" i="33"/>
  <c r="D55" i="33"/>
  <c r="D56" i="33"/>
  <c r="D57" i="33"/>
  <c r="E32" i="33"/>
  <c r="E33" i="33"/>
  <c r="E37" i="33"/>
  <c r="E38" i="33"/>
  <c r="E39" i="33"/>
  <c r="E40" i="33"/>
  <c r="E41" i="33"/>
  <c r="E42" i="33"/>
  <c r="E44" i="33"/>
  <c r="E45" i="33"/>
  <c r="E47" i="33"/>
  <c r="E48" i="33"/>
  <c r="E49" i="33"/>
  <c r="E50" i="33"/>
  <c r="E51" i="33"/>
  <c r="E52" i="33"/>
  <c r="E53" i="33"/>
  <c r="E54" i="33"/>
  <c r="E55" i="33"/>
  <c r="E56" i="33"/>
  <c r="E57" i="33"/>
  <c r="D32" i="33"/>
  <c r="F30" i="31" l="1"/>
  <c r="G30" i="31"/>
  <c r="H30" i="31"/>
  <c r="I30" i="31"/>
  <c r="D30" i="31" l="1"/>
  <c r="E30" i="31"/>
  <c r="B30" i="31"/>
  <c r="C30" i="31"/>
  <c r="D81" i="31"/>
  <c r="D82" i="31"/>
  <c r="D83" i="31"/>
  <c r="D84" i="31"/>
  <c r="D85" i="31"/>
  <c r="D86" i="31"/>
  <c r="C86" i="31"/>
  <c r="C83" i="31"/>
  <c r="C84" i="31"/>
  <c r="C85" i="31"/>
  <c r="C82" i="31"/>
  <c r="C81" i="31"/>
  <c r="D89" i="31"/>
  <c r="D88" i="31" s="1" a="1"/>
  <c r="D88" i="31" s="1"/>
  <c r="D90" i="31"/>
  <c r="D91" i="31"/>
  <c r="D92" i="31" s="1" a="1"/>
  <c r="D92" i="31" s="1"/>
  <c r="D93" i="31"/>
  <c r="C93" i="31"/>
  <c r="C92" i="31" a="1"/>
  <c r="C92" i="31" s="1"/>
  <c r="C91" i="31"/>
  <c r="C90" i="31"/>
  <c r="C89" i="31"/>
  <c r="C88" i="31" s="1" a="1"/>
  <c r="C88" i="31" s="1"/>
  <c r="D80" i="31"/>
  <c r="C80" i="31"/>
  <c r="C95" i="31" l="1"/>
  <c r="D75" i="31"/>
  <c r="D59" i="31"/>
  <c r="D60" i="31"/>
  <c r="D61" i="31"/>
  <c r="D62" i="31"/>
  <c r="D63" i="31"/>
  <c r="D64" i="31"/>
  <c r="C64" i="31"/>
  <c r="C61" i="31"/>
  <c r="C62" i="31"/>
  <c r="C63" i="31"/>
  <c r="C60" i="31"/>
  <c r="C59" i="31"/>
  <c r="D66" i="31" a="1"/>
  <c r="D66" i="31" s="1"/>
  <c r="D67" i="31"/>
  <c r="D68" i="31"/>
  <c r="D69" i="31"/>
  <c r="D70" i="31" a="1"/>
  <c r="D70" i="31" s="1"/>
  <c r="D71" i="31"/>
  <c r="C71" i="31"/>
  <c r="C70" i="31" a="1"/>
  <c r="C70" i="31" s="1"/>
  <c r="C69" i="31"/>
  <c r="C68" i="31"/>
  <c r="C67" i="31"/>
  <c r="C66" i="31" s="1" a="1"/>
  <c r="C66" i="31" s="1"/>
  <c r="D58" i="31"/>
  <c r="C58" i="31"/>
  <c r="C73" i="31" l="1"/>
  <c r="C73" i="26"/>
  <c r="D79" i="26"/>
  <c r="D80" i="26"/>
  <c r="D81" i="26"/>
  <c r="D82" i="26"/>
  <c r="D83" i="26"/>
  <c r="D84" i="26"/>
  <c r="C84" i="26"/>
  <c r="C81" i="26"/>
  <c r="C82" i="26"/>
  <c r="C83" i="26"/>
  <c r="C80" i="26"/>
  <c r="C79" i="26"/>
  <c r="D87" i="26"/>
  <c r="D86" i="26" s="1" a="1"/>
  <c r="D86" i="26" s="1"/>
  <c r="D88" i="26"/>
  <c r="D89" i="26"/>
  <c r="D90" i="26" s="1" a="1"/>
  <c r="D90" i="26" s="1"/>
  <c r="D91" i="26"/>
  <c r="C91" i="26"/>
  <c r="C90" i="26" a="1"/>
  <c r="C90" i="26" s="1"/>
  <c r="C89" i="26"/>
  <c r="C88" i="26"/>
  <c r="C87" i="26"/>
  <c r="C86" i="26" a="1"/>
  <c r="C86" i="26" s="1"/>
  <c r="D78" i="26"/>
  <c r="C78" i="26"/>
  <c r="C93" i="26" l="1"/>
  <c r="D57" i="26"/>
  <c r="D58" i="26"/>
  <c r="D59" i="26"/>
  <c r="D60" i="26"/>
  <c r="D61" i="26"/>
  <c r="D62" i="26"/>
  <c r="C62" i="26"/>
  <c r="C59" i="26"/>
  <c r="C60" i="26"/>
  <c r="C61" i="26"/>
  <c r="C58" i="26"/>
  <c r="C57" i="26"/>
  <c r="D65" i="26"/>
  <c r="D64" i="26" s="1" a="1"/>
  <c r="D64" i="26" s="1"/>
  <c r="D66" i="26"/>
  <c r="D67" i="26"/>
  <c r="D68" i="26" a="1"/>
  <c r="D68" i="26" s="1"/>
  <c r="D69" i="26"/>
  <c r="C69" i="26"/>
  <c r="C68" i="26" a="1"/>
  <c r="C68" i="26" s="1"/>
  <c r="C67" i="26"/>
  <c r="C66" i="26"/>
  <c r="C65" i="26"/>
  <c r="C64" i="26" s="1" a="1"/>
  <c r="C64" i="26" s="1"/>
  <c r="D56" i="26"/>
  <c r="C56" i="26"/>
  <c r="C71" i="26" l="1"/>
  <c r="D35" i="26"/>
  <c r="D36" i="26"/>
  <c r="D37" i="26"/>
  <c r="D38" i="26"/>
  <c r="D39" i="26"/>
  <c r="D40" i="26"/>
  <c r="C40" i="26"/>
  <c r="C37" i="26"/>
  <c r="C38" i="26"/>
  <c r="C39" i="26"/>
  <c r="C36" i="26"/>
  <c r="C35" i="26"/>
  <c r="D43" i="26"/>
  <c r="D42" i="26" s="1" a="1"/>
  <c r="D42" i="26" s="1"/>
  <c r="D44" i="26"/>
  <c r="D45" i="26"/>
  <c r="D46" i="26" a="1"/>
  <c r="D46" i="26" s="1"/>
  <c r="D47" i="26"/>
  <c r="C47" i="26"/>
  <c r="C46" i="26" a="1"/>
  <c r="C46" i="26" s="1"/>
  <c r="C45" i="26"/>
  <c r="C44" i="26"/>
  <c r="C43" i="26"/>
  <c r="C42" i="26" a="1"/>
  <c r="C42" i="26" s="1"/>
  <c r="D34" i="26"/>
  <c r="C34" i="26"/>
  <c r="C49" i="26" l="1"/>
  <c r="D53" i="31"/>
  <c r="D37" i="31"/>
  <c r="D38" i="31"/>
  <c r="D39" i="31"/>
  <c r="D40" i="31"/>
  <c r="D41" i="31"/>
  <c r="D42" i="31"/>
  <c r="C42" i="31"/>
  <c r="C39" i="31"/>
  <c r="C40" i="31"/>
  <c r="C41" i="31"/>
  <c r="C38" i="31"/>
  <c r="C37" i="31"/>
  <c r="D45" i="31"/>
  <c r="D44" i="31" s="1" a="1"/>
  <c r="D44" i="31" s="1"/>
  <c r="D46" i="31"/>
  <c r="D47" i="31"/>
  <c r="D48" i="31" s="1" a="1"/>
  <c r="D48" i="31" s="1"/>
  <c r="D49" i="31"/>
  <c r="C49" i="31"/>
  <c r="C48" i="31" a="1"/>
  <c r="C48" i="31" s="1"/>
  <c r="C47" i="31"/>
  <c r="C46" i="31"/>
  <c r="C45" i="31"/>
  <c r="C44" i="31" a="1"/>
  <c r="C44" i="31" s="1"/>
  <c r="D36" i="31"/>
  <c r="C36" i="31"/>
  <c r="C51" i="31" l="1"/>
  <c r="B28" i="31" l="1"/>
  <c r="B26" i="31"/>
  <c r="B25" i="31"/>
  <c r="B24" i="31"/>
  <c r="B22" i="31"/>
  <c r="B20" i="31"/>
  <c r="G26" i="8" l="1"/>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C29" i="8" l="1"/>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AP36" i="1" l="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<sst xmlns="http://schemas.openxmlformats.org/spreadsheetml/2006/main" count="2009" uniqueCount="238">
  <si>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</si>
  <si>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</si>
  <si>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</si>
  <si>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</si>
  <si>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</si>
  <si>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</si>
  <si>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</si>
  <si>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</si>
  <si>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</si>
  <si>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</si>
  <si>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</si>
  <si>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</si>
  <si>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</si>
  <si>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</si>
  <si>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</si>
  <si>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</si>
  <si>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</si>
  <si>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</si>
  <si>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</si>
  <si>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</si>
  <si>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</si>
  <si>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</si>
  <si>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</si>
  <si>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</si>
  <si>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</si>
  <si>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</si>
  <si>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</si>
  <si>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</si>
  <si>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</si>
  <si>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</si>
  <si>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</si>
  <si>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</si>
  <si>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</si>
  <si>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</si>
  <si>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</si>
  <si>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</si>
  <si>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</si>
  <si>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</si>
  <si>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</si>
  <si>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</si>
  <si>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</si>
  <si>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</si>
  <si>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</si>
  <si>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</si>
  <si>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</si>
  <si>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</si>
  <si>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</si>
  <si>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</si>
  <si>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</si>
  <si>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</si>
  <si>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</si>
  <si>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</si>
  <si>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</si>
  <si>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</si>
  <si>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</si>
  <si>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</si>
  <si>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</si>
  <si>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</si>
  <si>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</si>
  <si>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</si>
  <si>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</si>
  <si>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</si>
  <si>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</si>
  <si>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</si>
  <si>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</si>
  <si>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</si>
  <si>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</si>
  <si>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</si>
  <si>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</si>
  <si>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</si>
  <si>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</si>
  <si>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</si>
  <si>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</si>
  <si>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</si>
  <si>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</si>
  <si>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</si>
  <si>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</si>
  <si>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</si>
  <si>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</si>
  <si>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</si>
  <si>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</si>
  <si>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</si>
  <si>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</si>
  <si>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</si>
  <si>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</si>
  <si>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</si>
  <si>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</si>
  <si>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</si>
  <si>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</si>
  <si>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</si>
  <si>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</si>
  <si>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</si>
  <si>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</si>
  <si>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</si>
  <si>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</si>
  <si>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</si>
  <si>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</si>
  <si>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</si>
  <si>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</si>
  <si>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</si>
  <si>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</si>
  <si>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</si>
  <si>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</si>
  <si>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</si>
  <si>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</si>
  <si>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</si>
  <si>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</si>
  <si>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</si>
  <si>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</si>
  <si>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</si>
  <si>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</si>
  <si>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</si>
  <si>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</si>
  <si>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</si>
  <si>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</si>
  <si>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</si>
  <si>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</si>
  <si>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</si>
  <si>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</si>
  <si>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</si>
  <si>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</si>
  <si>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</si>
  <si>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</si>
  <si>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</si>
  <si>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</si>
  <si>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</si>
  <si>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</si>
  <si>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</si>
  <si>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</si>
  <si>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</si>
  <si>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</si>
  <si>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</si>
  <si>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</si>
  <si>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</si>
  <si>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</si>
  <si>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</si>
  <si>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</si>
  <si>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</si>
  <si>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</si>
  <si>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</si>
  <si>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</si>
  <si>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</si>
  <si>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</si>
  <si>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</si>
  <si>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</si>
  <si>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</si>
  <si>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</si>
  <si>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</si>
  <si>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</si>
  <si>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</si>
  <si>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</si>
  <si>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</si>
  <si>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</si>
  <si>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</si>
  <si>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</si>
  <si>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</si>
  <si>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</si>
  <si>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</si>
  <si>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</si>
  <si>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</si>
  <si>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</si>
  <si>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</si>
  <si>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</si>
  <si>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</si>
  <si>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</si>
  <si>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</si>
  <si>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</si>
  <si>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</si>
  <si>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</si>
  <si>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</si>
  <si>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</si>
  <si>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</si>
  <si>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</si>
  <si>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</si>
  <si>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</si>
  <si>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</si>
  <si>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</si>
  <si>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</si>
  <si>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</si>
  <si>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</si>
  <si>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</si>
  <si>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</si>
  <si>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</si>
  <si>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</si>
  <si>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</si>
  <si>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</si>
  <si>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</si>
  <si>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</si>
  <si>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</si>
  <si>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</si>
  <si>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</si>
  <si>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</si>
  <si>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</si>
  <si>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</si>
  <si>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</si>
  <si>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</si>
  <si>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</si>
  <si>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</si>
  <si>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</si>
  <si>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</si>
  <si>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</si>
  <si>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</si>
  <si>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</si>
  <si>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</si>
  <si>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</si>
  <si>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</si>
  <si>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</si>
  <si>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</si>
  <si>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</si>
  <si>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</si>
  <si>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</si>
  <si>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</si>
  <si>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Descriptive Statistics</t>
  </si>
  <si>
    <t>Standard Error</t>
  </si>
  <si>
    <t>Mode</t>
  </si>
  <si>
    <t>Sample Variance</t>
  </si>
  <si>
    <t>Kurtosis</t>
  </si>
  <si>
    <t>Skewness</t>
  </si>
  <si>
    <t>Range</t>
  </si>
  <si>
    <t>Sum</t>
  </si>
  <si>
    <t>Count</t>
  </si>
  <si>
    <t>Geometric Mean</t>
  </si>
  <si>
    <t>Harmonic Mean</t>
  </si>
  <si>
    <t>AAD</t>
  </si>
  <si>
    <t>MAD</t>
  </si>
  <si>
    <t>IQR</t>
  </si>
  <si>
    <t>ROY</t>
  </si>
  <si>
    <t>Time (Minutes)</t>
  </si>
  <si>
    <t>Language</t>
  </si>
  <si>
    <t>Completed?</t>
  </si>
  <si>
    <t># Restarts Programming
(Deleted code)</t>
  </si>
  <si>
    <t># Blocks / Lines Used</t>
  </si>
  <si>
    <t>●</t>
  </si>
  <si>
    <t># We are ignoring outliers! (Must mention it in text)</t>
  </si>
  <si>
    <t>Std. Dev.</t>
  </si>
  <si>
    <t>Measure Time (ROY)</t>
  </si>
  <si>
    <t>Measure Time (Duplo)</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</si>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</sst>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yy"/>
    <numFmt numFmtId="165" formatCode="m/d/yy"/>
    <numFmt numFmtId="166" formatCode="mm/dd/yy"/>
    <numFmt numFmtId="167" formatCode="0.0"/>
    <numFmt numFmtId="168" formatCode="0.0000"/>
    <numFmt numFmtId="169" formatCode="[$-F400]h:mm:ss\ AM/PM"/>
  </numFmts>
  <fonts count="3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3">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
      <patternFill patternType="solid">
        <fgColor theme="8" tint="0.59999389629810485"/>
        <bgColor rgb="FFCFE2F3"/>
      </patternFill>
    </fill>
    <fill>
      <patternFill patternType="solid">
        <fgColor theme="8" tint="0.59999389629810485"/>
        <bgColor indexed="64"/>
      </patternFill>
    </fill>
    <fill>
      <patternFill patternType="solid">
        <fgColor theme="5" tint="0.39997558519241921"/>
        <bgColor indexed="64"/>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161">
    <xf numFmtId="0" fontId="0" fillId="0" borderId="0" xfId="0" applyFont="1" applyAlignment="1"/>
    <xf numFmtId="0" fontId="9" fillId="0" borderId="0" xfId="0" applyFont="1" applyAlignment="1"/>
    <xf numFmtId="0" fontId="9" fillId="0" borderId="0" xfId="0" applyFont="1"/>
    <xf numFmtId="19" fontId="9" fillId="0" borderId="0" xfId="0" applyNumberFormat="1" applyFont="1"/>
    <xf numFmtId="0" fontId="10" fillId="0" borderId="0" xfId="0" applyFont="1" applyAlignment="1">
      <alignment horizontal="right" vertical="center"/>
    </xf>
    <xf numFmtId="0" fontId="9" fillId="7" borderId="0" xfId="0" applyFont="1" applyFill="1" applyAlignment="1">
      <alignment horizontal="center" vertical="center" wrapText="1"/>
    </xf>
    <xf numFmtId="0" fontId="9" fillId="7" borderId="0" xfId="0" applyFont="1" applyFill="1" applyAlignment="1">
      <alignment horizontal="center" vertical="center"/>
    </xf>
    <xf numFmtId="19" fontId="9" fillId="7" borderId="0" xfId="0" applyNumberFormat="1" applyFont="1" applyFill="1" applyAlignment="1">
      <alignment horizontal="center" vertical="center"/>
    </xf>
    <xf numFmtId="19" fontId="9" fillId="8" borderId="0" xfId="0" applyNumberFormat="1" applyFont="1" applyFill="1" applyAlignment="1">
      <alignment horizontal="center" vertical="center" wrapText="1"/>
    </xf>
    <xf numFmtId="0" fontId="9" fillId="8" borderId="0" xfId="0" applyFont="1" applyFill="1" applyAlignment="1">
      <alignment horizontal="center" vertical="center" wrapText="1"/>
    </xf>
    <xf numFmtId="0" fontId="11" fillId="8" borderId="0" xfId="0" applyFont="1" applyFill="1" applyAlignment="1">
      <alignment horizontal="center" vertical="center" wrapText="1"/>
    </xf>
    <xf numFmtId="19" fontId="11" fillId="8" borderId="0" xfId="0" applyNumberFormat="1" applyFont="1" applyFill="1" applyAlignment="1">
      <alignment horizontal="center" vertical="center" wrapText="1"/>
    </xf>
    <xf numFmtId="46" fontId="9" fillId="8" borderId="0" xfId="0" applyNumberFormat="1" applyFont="1" applyFill="1" applyAlignment="1">
      <alignment horizontal="center" vertical="center" wrapText="1"/>
    </xf>
    <xf numFmtId="0" fontId="9" fillId="9" borderId="0" xfId="0" applyFont="1" applyFill="1" applyAlignment="1">
      <alignment horizontal="center" vertical="center" wrapText="1"/>
    </xf>
    <xf numFmtId="0" fontId="12" fillId="9" borderId="0" xfId="0" applyFont="1" applyFill="1" applyAlignment="1">
      <alignment horizontal="center" vertical="center" wrapText="1"/>
    </xf>
    <xf numFmtId="0" fontId="9" fillId="10" borderId="0" xfId="0" applyFont="1" applyFill="1" applyAlignment="1">
      <alignment horizontal="center" vertical="center" wrapText="1"/>
    </xf>
    <xf numFmtId="46" fontId="9" fillId="11" borderId="0" xfId="0" applyNumberFormat="1" applyFont="1" applyFill="1" applyAlignment="1">
      <alignment horizontal="center" vertical="center" wrapText="1"/>
    </xf>
    <xf numFmtId="0" fontId="9" fillId="11" borderId="0" xfId="0" applyFont="1" applyFill="1" applyAlignment="1">
      <alignment horizontal="center" vertical="center" wrapText="1"/>
    </xf>
    <xf numFmtId="0" fontId="0" fillId="0" borderId="0" xfId="0" applyFont="1" applyAlignment="1"/>
    <xf numFmtId="0" fontId="17" fillId="0" borderId="0" xfId="0" applyFont="1" applyAlignment="1">
      <alignment horizontal="right" vertical="center"/>
    </xf>
    <xf numFmtId="0" fontId="11" fillId="10" borderId="0" xfId="0" applyFont="1" applyFill="1" applyAlignment="1">
      <alignment horizontal="center" vertical="center" wrapText="1"/>
    </xf>
    <xf numFmtId="46" fontId="0" fillId="0" borderId="0" xfId="0" applyNumberFormat="1" applyFont="1" applyAlignment="1"/>
    <xf numFmtId="0" fontId="14" fillId="0" borderId="1" xfId="0" applyFont="1" applyBorder="1"/>
    <xf numFmtId="46" fontId="20" fillId="8" borderId="0" xfId="0" applyNumberFormat="1" applyFont="1" applyFill="1" applyAlignment="1">
      <alignment horizontal="center" vertical="center" wrapText="1"/>
    </xf>
    <xf numFmtId="0" fontId="20" fillId="8" borderId="0" xfId="0" applyFont="1" applyFill="1" applyAlignment="1">
      <alignment horizontal="center" vertical="center" wrapText="1"/>
    </xf>
    <xf numFmtId="0" fontId="20" fillId="8" borderId="1" xfId="0" applyFont="1" applyFill="1" applyBorder="1" applyAlignment="1">
      <alignment horizontal="center" vertical="center" wrapText="1"/>
    </xf>
    <xf numFmtId="0" fontId="14" fillId="0" borderId="1" xfId="0" applyFont="1" applyBorder="1" applyAlignment="1"/>
    <xf numFmtId="0" fontId="14" fillId="0" borderId="0" xfId="0" applyFont="1" applyAlignment="1"/>
    <xf numFmtId="46" fontId="14" fillId="0" borderId="0" xfId="0" applyNumberFormat="1" applyFont="1"/>
    <xf numFmtId="0" fontId="14" fillId="0" borderId="0" xfId="0" applyFont="1"/>
    <xf numFmtId="0" fontId="14" fillId="13" borderId="0" xfId="0" applyFont="1" applyFill="1" applyAlignment="1"/>
    <xf numFmtId="21" fontId="14" fillId="0" borderId="4" xfId="0" applyNumberFormat="1" applyFont="1" applyBorder="1" applyAlignment="1"/>
    <xf numFmtId="46" fontId="22" fillId="13" borderId="5" xfId="0" applyNumberFormat="1" applyFont="1" applyFill="1" applyBorder="1"/>
    <xf numFmtId="46" fontId="22" fillId="13" borderId="6" xfId="0" applyNumberFormat="1" applyFont="1" applyFill="1" applyBorder="1"/>
    <xf numFmtId="0" fontId="22" fillId="13" borderId="0" xfId="0" applyFont="1" applyFill="1"/>
    <xf numFmtId="168" fontId="14" fillId="0" borderId="0" xfId="0" applyNumberFormat="1" applyFont="1"/>
    <xf numFmtId="168" fontId="14" fillId="12" borderId="0" xfId="0" applyNumberFormat="1" applyFont="1" applyFill="1"/>
    <xf numFmtId="21" fontId="22" fillId="13" borderId="5" xfId="0" applyNumberFormat="1" applyFont="1" applyFill="1" applyBorder="1"/>
    <xf numFmtId="21" fontId="22" fillId="13" borderId="6" xfId="0" applyNumberFormat="1" applyFont="1" applyFill="1" applyBorder="1"/>
    <xf numFmtId="0" fontId="14" fillId="0" borderId="0" xfId="0" applyFont="1" applyAlignment="1">
      <alignment horizontal="left"/>
    </xf>
    <xf numFmtId="0" fontId="23" fillId="0" borderId="0" xfId="0" applyFont="1" applyAlignment="1"/>
    <xf numFmtId="0" fontId="24" fillId="13" borderId="2" xfId="0" applyFont="1" applyFill="1" applyBorder="1"/>
    <xf numFmtId="0" fontId="14" fillId="0" borderId="2" xfId="0" applyFont="1" applyBorder="1"/>
    <xf numFmtId="167" fontId="14" fillId="0" borderId="0" xfId="0" applyNumberFormat="1" applyFont="1"/>
    <xf numFmtId="167" fontId="14" fillId="12" borderId="0" xfId="0" applyNumberFormat="1" applyFont="1" applyFill="1"/>
    <xf numFmtId="0" fontId="14" fillId="12" borderId="0" xfId="0" applyFont="1" applyFill="1"/>
    <xf numFmtId="2" fontId="25" fillId="13" borderId="0" xfId="0" applyNumberFormat="1" applyFont="1" applyFill="1"/>
    <xf numFmtId="0" fontId="22" fillId="13" borderId="5" xfId="0" applyFont="1" applyFill="1" applyBorder="1"/>
    <xf numFmtId="0" fontId="22" fillId="13" borderId="6" xfId="0" applyFont="1" applyFill="1" applyBorder="1"/>
    <xf numFmtId="21" fontId="22" fillId="13" borderId="7" xfId="0" applyNumberFormat="1" applyFont="1" applyFill="1" applyBorder="1"/>
    <xf numFmtId="21" fontId="22" fillId="13" borderId="8" xfId="0" applyNumberFormat="1" applyFont="1" applyFill="1" applyBorder="1"/>
    <xf numFmtId="46" fontId="22" fillId="13" borderId="9" xfId="0" applyNumberFormat="1" applyFont="1" applyFill="1" applyBorder="1"/>
    <xf numFmtId="21" fontId="22" fillId="13" borderId="10" xfId="0" applyNumberFormat="1" applyFont="1" applyFill="1" applyBorder="1"/>
    <xf numFmtId="46" fontId="22" fillId="13" borderId="10" xfId="0" applyNumberFormat="1" applyFont="1" applyFill="1" applyBorder="1"/>
    <xf numFmtId="0" fontId="22" fillId="13" borderId="10" xfId="0" applyFont="1" applyFill="1" applyBorder="1"/>
    <xf numFmtId="0" fontId="22" fillId="13" borderId="9" xfId="0" applyFont="1" applyFill="1" applyBorder="1"/>
    <xf numFmtId="0" fontId="22" fillId="13" borderId="11" xfId="0" applyFont="1" applyFill="1" applyBorder="1"/>
    <xf numFmtId="0" fontId="22" fillId="13" borderId="3" xfId="0" applyFont="1" applyFill="1" applyBorder="1"/>
    <xf numFmtId="0" fontId="24" fillId="13" borderId="0" xfId="0" applyFont="1" applyFill="1"/>
    <xf numFmtId="0" fontId="13"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4"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8" fillId="0" borderId="0" xfId="0" applyNumberFormat="1" applyFont="1" applyFill="1" applyAlignment="1">
      <alignment horizontal="right"/>
    </xf>
    <xf numFmtId="0" fontId="19" fillId="0" borderId="0" xfId="0" applyFont="1" applyFill="1" applyAlignment="1"/>
    <xf numFmtId="0" fontId="19"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5" fillId="0" borderId="0" xfId="0" applyFont="1" applyFill="1" applyAlignment="1">
      <alignment horizontal="right"/>
    </xf>
    <xf numFmtId="19" fontId="16" fillId="0" borderId="0" xfId="0" applyNumberFormat="1" applyFont="1" applyFill="1" applyAlignment="1">
      <alignment horizontal="right"/>
    </xf>
    <xf numFmtId="46" fontId="16" fillId="0" borderId="0" xfId="0" applyNumberFormat="1" applyFont="1" applyFill="1" applyAlignment="1">
      <alignment horizontal="right"/>
    </xf>
    <xf numFmtId="0" fontId="16" fillId="0" borderId="0" xfId="0" applyFont="1" applyFill="1" applyAlignment="1">
      <alignment horizontal="right"/>
    </xf>
    <xf numFmtId="0" fontId="16" fillId="0" borderId="0" xfId="0" applyFont="1" applyFill="1" applyAlignment="1"/>
    <xf numFmtId="0" fontId="0" fillId="0" borderId="0" xfId="0" applyFont="1" applyAlignment="1">
      <alignment horizontal="center"/>
    </xf>
    <xf numFmtId="0" fontId="26" fillId="10" borderId="0" xfId="0" applyFont="1" applyFill="1" applyAlignment="1">
      <alignment horizontal="center" vertical="center" wrapText="1"/>
    </xf>
    <xf numFmtId="0" fontId="27" fillId="10" borderId="0" xfId="0" applyFont="1" applyFill="1" applyAlignment="1">
      <alignment horizontal="center" vertical="center" wrapText="1"/>
    </xf>
    <xf numFmtId="0" fontId="27" fillId="8" borderId="0" xfId="0" applyFont="1" applyFill="1" applyAlignment="1">
      <alignment horizontal="center" vertical="center" wrapText="1"/>
    </xf>
    <xf numFmtId="0" fontId="27" fillId="14" borderId="0" xfId="0" applyFont="1" applyFill="1" applyAlignment="1"/>
    <xf numFmtId="0" fontId="27"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8" fillId="0" borderId="0" xfId="0" applyNumberFormat="1" applyFont="1" applyAlignment="1"/>
    <xf numFmtId="1" fontId="8" fillId="0" borderId="0" xfId="0" applyNumberFormat="1" applyFont="1" applyAlignment="1"/>
    <xf numFmtId="167" fontId="0" fillId="0" borderId="0" xfId="1" applyNumberFormat="1" applyFont="1" applyAlignment="1"/>
    <xf numFmtId="0" fontId="7"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7"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7" fillId="15" borderId="0" xfId="0" applyNumberFormat="1" applyFont="1" applyFill="1" applyAlignment="1">
      <alignment horizontal="center"/>
    </xf>
    <xf numFmtId="2" fontId="0" fillId="15" borderId="0" xfId="0" applyNumberFormat="1" applyFont="1" applyFill="1" applyAlignment="1">
      <alignment horizontal="center"/>
    </xf>
    <xf numFmtId="1" fontId="7"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8" fillId="14" borderId="0" xfId="0" applyFont="1" applyFill="1" applyAlignment="1">
      <alignment horizontal="center" vertical="center"/>
    </xf>
    <xf numFmtId="0" fontId="27" fillId="0" borderId="0" xfId="0" applyFont="1" applyAlignment="1"/>
    <xf numFmtId="0" fontId="6" fillId="17" borderId="0" xfId="0" applyFont="1" applyFill="1" applyAlignment="1">
      <alignment horizontal="center"/>
    </xf>
    <xf numFmtId="0" fontId="5" fillId="0" borderId="0" xfId="0" applyFont="1" applyAlignment="1"/>
    <xf numFmtId="0" fontId="0" fillId="14" borderId="0" xfId="0" applyFont="1" applyFill="1" applyBorder="1" applyAlignment="1"/>
    <xf numFmtId="0" fontId="27" fillId="14" borderId="0" xfId="0" applyFont="1" applyFill="1" applyBorder="1" applyAlignment="1">
      <alignment horizontal="center"/>
    </xf>
    <xf numFmtId="0" fontId="0" fillId="0" borderId="12" xfId="0" applyFont="1" applyBorder="1" applyAlignment="1"/>
    <xf numFmtId="0" fontId="27" fillId="0" borderId="12" xfId="0" applyFont="1" applyBorder="1" applyAlignment="1">
      <alignment horizontal="center"/>
    </xf>
    <xf numFmtId="0" fontId="4" fillId="17" borderId="0" xfId="0" applyFont="1" applyFill="1" applyAlignment="1">
      <alignment horizontal="center"/>
    </xf>
    <xf numFmtId="0" fontId="0" fillId="0" borderId="0" xfId="0" applyFont="1" applyAlignment="1"/>
    <xf numFmtId="0" fontId="20" fillId="18" borderId="0" xfId="0" applyFont="1" applyFill="1" applyAlignment="1">
      <alignment horizontal="center"/>
    </xf>
    <xf numFmtId="0" fontId="0" fillId="14" borderId="0" xfId="0" applyFont="1" applyFill="1" applyAlignment="1">
      <alignment horizontal="center"/>
    </xf>
    <xf numFmtId="0" fontId="0" fillId="0" borderId="0" xfId="0" applyFont="1" applyAlignment="1"/>
    <xf numFmtId="0" fontId="6" fillId="14" borderId="0" xfId="0" applyFont="1" applyFill="1" applyAlignment="1">
      <alignment horizontal="center"/>
    </xf>
    <xf numFmtId="0" fontId="0" fillId="0" borderId="0" xfId="0" applyFont="1" applyAlignment="1"/>
    <xf numFmtId="0" fontId="2" fillId="0" borderId="0" xfId="0" applyFont="1" applyAlignment="1"/>
    <xf numFmtId="0" fontId="0" fillId="14" borderId="0" xfId="0" applyFont="1" applyFill="1" applyAlignment="1"/>
    <xf numFmtId="0" fontId="1" fillId="0" borderId="0" xfId="0" applyFont="1" applyAlignment="1"/>
    <xf numFmtId="0" fontId="0" fillId="0" borderId="0" xfId="0" applyFont="1" applyFill="1" applyAlignment="1">
      <alignment horizontal="center"/>
    </xf>
    <xf numFmtId="0" fontId="19" fillId="0" borderId="0" xfId="0" applyFont="1" applyFill="1" applyAlignment="1">
      <alignment horizontal="center"/>
    </xf>
    <xf numFmtId="0" fontId="16" fillId="0" borderId="0" xfId="0" applyFont="1" applyFill="1" applyAlignment="1">
      <alignment horizontal="center"/>
    </xf>
    <xf numFmtId="0" fontId="0" fillId="0" borderId="0" xfId="0" applyFont="1" applyBorder="1" applyAlignment="1"/>
    <xf numFmtId="0" fontId="0" fillId="0" borderId="0" xfId="0" applyFont="1" applyAlignment="1"/>
    <xf numFmtId="0" fontId="0" fillId="0" borderId="0" xfId="0" applyFont="1" applyAlignment="1"/>
    <xf numFmtId="0" fontId="20" fillId="0" borderId="0" xfId="0" applyFont="1" applyAlignment="1">
      <alignment horizontal="center"/>
    </xf>
    <xf numFmtId="169" fontId="0" fillId="0" borderId="0" xfId="0" applyNumberFormat="1" applyFont="1" applyFill="1" applyAlignment="1"/>
    <xf numFmtId="169" fontId="0" fillId="0" borderId="0" xfId="0" applyNumberFormat="1" applyFont="1" applyFill="1"/>
    <xf numFmtId="169" fontId="18" fillId="0" borderId="0" xfId="0" applyNumberFormat="1" applyFont="1" applyFill="1" applyAlignment="1">
      <alignment horizontal="right"/>
    </xf>
    <xf numFmtId="2" fontId="0" fillId="0" borderId="0" xfId="0" applyNumberFormat="1" applyFont="1" applyFill="1" applyAlignment="1"/>
    <xf numFmtId="2" fontId="0" fillId="0" borderId="0" xfId="0" applyNumberFormat="1" applyFont="1" applyAlignment="1"/>
    <xf numFmtId="0" fontId="0" fillId="0" borderId="0" xfId="0" applyFont="1" applyAlignment="1"/>
    <xf numFmtId="19" fontId="9" fillId="2" borderId="0" xfId="0" applyNumberFormat="1" applyFont="1" applyFill="1" applyAlignment="1">
      <alignment horizontal="center" wrapText="1"/>
    </xf>
    <xf numFmtId="0" fontId="0" fillId="0" borderId="0" xfId="0" applyFont="1" applyAlignment="1"/>
    <xf numFmtId="0" fontId="9" fillId="2" borderId="0" xfId="0" applyFont="1" applyFill="1" applyAlignment="1">
      <alignment horizontal="center" wrapText="1"/>
    </xf>
    <xf numFmtId="19" fontId="9" fillId="3" borderId="0" xfId="0" applyNumberFormat="1" applyFont="1" applyFill="1" applyAlignment="1">
      <alignment horizontal="center" wrapText="1"/>
    </xf>
    <xf numFmtId="0" fontId="9" fillId="4" borderId="0" xfId="0" applyFont="1" applyFill="1" applyAlignment="1">
      <alignment horizontal="center" wrapText="1"/>
    </xf>
    <xf numFmtId="0" fontId="9" fillId="3" borderId="0" xfId="0" applyFont="1" applyFill="1" applyAlignment="1">
      <alignment horizontal="center" wrapText="1"/>
    </xf>
    <xf numFmtId="0" fontId="9" fillId="5" borderId="0" xfId="0" applyFont="1" applyFill="1" applyAlignment="1">
      <alignment horizontal="center" wrapText="1"/>
    </xf>
    <xf numFmtId="0" fontId="9" fillId="6" borderId="0" xfId="0" applyFont="1" applyFill="1" applyAlignment="1">
      <alignment horizontal="center" wrapText="1"/>
    </xf>
    <xf numFmtId="0" fontId="28" fillId="18" borderId="0" xfId="0" applyFont="1" applyFill="1" applyAlignment="1">
      <alignment horizontal="center" vertical="center"/>
    </xf>
    <xf numFmtId="1" fontId="5" fillId="14" borderId="0" xfId="0" applyNumberFormat="1" applyFont="1" applyFill="1" applyAlignment="1">
      <alignment horizontal="center"/>
    </xf>
    <xf numFmtId="0" fontId="3" fillId="14" borderId="0" xfId="0" applyFont="1" applyFill="1" applyAlignment="1">
      <alignment horizontal="center"/>
    </xf>
    <xf numFmtId="0" fontId="5" fillId="14" borderId="0" xfId="0" applyFont="1" applyFill="1" applyAlignment="1">
      <alignment horizontal="center"/>
    </xf>
    <xf numFmtId="0" fontId="28" fillId="17" borderId="0" xfId="0" applyFont="1" applyFill="1" applyAlignment="1">
      <alignment horizontal="center"/>
    </xf>
    <xf numFmtId="2" fontId="28" fillId="17" borderId="0" xfId="0" applyNumberFormat="1" applyFont="1" applyFill="1" applyAlignment="1">
      <alignment horizontal="center"/>
    </xf>
    <xf numFmtId="0" fontId="29" fillId="19" borderId="0" xfId="0" applyFont="1" applyFill="1" applyAlignment="1">
      <alignment horizontal="center" vertical="center" wrapText="1"/>
    </xf>
    <xf numFmtId="0" fontId="28" fillId="19" borderId="0" xfId="0" applyFont="1" applyFill="1" applyAlignment="1">
      <alignment horizontal="center" vertical="center" wrapText="1"/>
    </xf>
    <xf numFmtId="0" fontId="28" fillId="21" borderId="0" xfId="0" applyFont="1" applyFill="1" applyAlignment="1">
      <alignment horizontal="center" vertical="center"/>
    </xf>
    <xf numFmtId="0" fontId="9" fillId="20" borderId="0" xfId="0" applyFont="1" applyFill="1" applyAlignment="1">
      <alignment horizontal="center" vertical="center" wrapText="1"/>
    </xf>
    <xf numFmtId="0" fontId="21" fillId="0" borderId="0" xfId="0" applyFont="1" applyAlignment="1">
      <alignment horizontal="center"/>
    </xf>
    <xf numFmtId="0" fontId="21" fillId="0" borderId="0" xfId="0" applyFont="1" applyAlignment="1">
      <alignment horizontal="center" vertical="center"/>
    </xf>
    <xf numFmtId="0" fontId="0" fillId="22" borderId="0" xfId="0" applyFont="1" applyFill="1" applyAlignment="1"/>
    <xf numFmtId="0" fontId="20" fillId="14" borderId="0" xfId="0" applyFont="1" applyFill="1" applyAlignment="1"/>
    <xf numFmtId="1" fontId="20" fillId="14" borderId="0" xfId="0" applyNumberFormat="1" applyFont="1" applyFill="1" applyAlignment="1"/>
  </cellXfs>
  <cellStyles count="2">
    <cellStyle name="Normal" xfId="0" builtinId="0"/>
    <cellStyle name="Percent" xfId="1" builtinId="5"/>
  </cellStyles>
  <dxfs count="0"/>
  <tableStyles count="0" defaultTableStyle="TableStyleMedium2" defaultPivotStyle="PivotStyleLight16"/>
  <colors>
    <mruColors>
      <color rgb="FFFFDE53"/>
      <color rgb="FFF09252"/>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'Overall Performance'!$B$5</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C2C31FB5-5F54-4E9C-B1A9-6949A546AF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7DFFD893-627B-41E2-A08D-62E36DAFA5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688303B4-D15F-4959-ACBC-DB7E5BDAB2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B19C0004-EE6F-4FEE-8517-101B1A47FA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D538E3D2-F163-40EE-A5E7-92F6B1656A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001871FE-8126-4CBB-B3A6-D6DA374E9C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Performance'!$C$3:$H$4</c:f>
              <c:strCache>
                <c:ptCount val="6"/>
                <c:pt idx="0">
                  <c:v>Pick up Spacer</c:v>
                </c:pt>
                <c:pt idx="1">
                  <c:v>Place Spacer</c:v>
                </c:pt>
                <c:pt idx="2">
                  <c:v>Pick up Gear</c:v>
                </c:pt>
                <c:pt idx="3">
                  <c:v>Place Gear</c:v>
                </c:pt>
                <c:pt idx="4">
                  <c:v>Pick up Propeller</c:v>
                </c:pt>
                <c:pt idx="5">
                  <c:v>Place Propeller</c:v>
                </c:pt>
              </c:strCache>
            </c:strRef>
          </c:cat>
          <c:val>
            <c:numRef>
              <c:f>'Overall 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'Overall 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1480-4738-8A12-79FB8EDC9FE1}"/>
            </c:ext>
          </c:extLst>
        </c:ser>
        <c:ser>
          <c:idx val="1"/>
          <c:order val="1"/>
          <c:tx>
            <c:strRef>
              <c:f>'Overall Performance'!$B$6</c:f>
              <c:strCache>
                <c:ptCount val="1"/>
                <c:pt idx="0">
                  <c:v>Did not complete</c:v>
                </c:pt>
              </c:strCache>
            </c:strRef>
          </c:tx>
          <c:spPr>
            <a:solidFill>
              <a:srgbClr val="ED7D31"/>
            </a:solidFill>
            <a:ln w="28575">
              <a:solidFill>
                <a:sysClr val="windowText" lastClr="000000"/>
              </a:solidFill>
            </a:ln>
            <a:effectLst/>
          </c:spPr>
          <c:invertIfNegative val="0"/>
          <c:dLbls>
            <c:dLbl>
              <c:idx val="0"/>
              <c:tx>
                <c:rich>
                  <a:bodyPr/>
                  <a:lstStyle/>
                  <a:p>
                    <a:fld id="{E4E083E1-0F3A-41FD-883E-D5F0C76C9A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5FF-4992-BA52-6184E1D6256E}"/>
                </c:ext>
              </c:extLst>
            </c:dLbl>
            <c:dLbl>
              <c:idx val="1"/>
              <c:tx>
                <c:rich>
                  <a:bodyPr/>
                  <a:lstStyle/>
                  <a:p>
                    <a:fld id="{9B3604F6-18E0-4CB3-8FC2-B74BF3F98E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5FF-4992-BA52-6184E1D6256E}"/>
                </c:ext>
              </c:extLst>
            </c:dLbl>
            <c:dLbl>
              <c:idx val="2"/>
              <c:tx>
                <c:rich>
                  <a:bodyPr/>
                  <a:lstStyle/>
                  <a:p>
                    <a:fld id="{6D8CAFB4-0467-41B9-A136-5B09853E9F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5FF-4992-BA52-6184E1D6256E}"/>
                </c:ext>
              </c:extLst>
            </c:dLbl>
            <c:dLbl>
              <c:idx val="3"/>
              <c:tx>
                <c:rich>
                  <a:bodyPr/>
                  <a:lstStyle/>
                  <a:p>
                    <a:fld id="{969B3B4E-5EE6-41A6-933F-F2B84F6D0B3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52E2F00C-55ED-4BD0-B8E9-9AF2FDD6E7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5D92D6FB-1931-4CBD-B497-864AEC9232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Performance'!$C$3:$H$4</c:f>
              <c:strCache>
                <c:ptCount val="6"/>
                <c:pt idx="0">
                  <c:v>Pick up Spacer</c:v>
                </c:pt>
                <c:pt idx="1">
                  <c:v>Place Spacer</c:v>
                </c:pt>
                <c:pt idx="2">
                  <c:v>Pick up Gear</c:v>
                </c:pt>
                <c:pt idx="3">
                  <c:v>Place Gear</c:v>
                </c:pt>
                <c:pt idx="4">
                  <c:v>Pick up Propeller</c:v>
                </c:pt>
                <c:pt idx="5">
                  <c:v>Place Propeller</c:v>
                </c:pt>
              </c:strCache>
            </c:strRef>
          </c:cat>
          <c:val>
            <c:numRef>
              <c:f>'Overall 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'Overall 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'Overall Performance'!$B$9</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2C24A9DA-8DFA-4A6C-905B-580C4D42D7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F523C761-80B5-4DE6-BCC8-37CA697B99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6B712742-DF25-43B6-98A1-1AED6E3A00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2F64905F-50AF-4746-A570-60D165AE41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D209F43C-6B40-4277-8E55-1124611CA8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0E232314-006A-41F0-A942-A96045FC23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Performance'!$C$7:$H$8</c:f>
              <c:strCache>
                <c:ptCount val="6"/>
                <c:pt idx="0">
                  <c:v>Pick up Spacer</c:v>
                </c:pt>
                <c:pt idx="1">
                  <c:v>Place Spacer</c:v>
                </c:pt>
                <c:pt idx="2">
                  <c:v>Pick up Gear</c:v>
                </c:pt>
                <c:pt idx="3">
                  <c:v>Place Gear</c:v>
                </c:pt>
                <c:pt idx="4">
                  <c:v>Pick up Propeller</c:v>
                </c:pt>
                <c:pt idx="5">
                  <c:v>Place Propeller</c:v>
                </c:pt>
              </c:strCache>
            </c:strRef>
          </c:cat>
          <c:val>
            <c:numRef>
              <c:f>'Overall 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'Overall 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0-1480-4738-8A12-79FB8EDC9FE1}"/>
            </c:ext>
          </c:extLst>
        </c:ser>
        <c:ser>
          <c:idx val="1"/>
          <c:order val="1"/>
          <c:tx>
            <c:strRef>
              <c:f>'Overall Performance'!$B$10</c:f>
              <c:strCache>
                <c:ptCount val="1"/>
                <c:pt idx="0">
                  <c:v>Did not complete</c:v>
                </c:pt>
              </c:strCache>
            </c:strRef>
          </c:tx>
          <c:spPr>
            <a:solidFill>
              <a:srgbClr val="ED7D31"/>
            </a:solidFill>
            <a:ln w="28575">
              <a:solidFill>
                <a:sysClr val="windowText" lastClr="000000"/>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13-C5FF-4992-BA52-6184E1D6256E}"/>
                </c:ext>
              </c:extLst>
            </c:dLbl>
            <c:dLbl>
              <c:idx val="1"/>
              <c:delete val="1"/>
              <c:extLst>
                <c:ext xmlns:c15="http://schemas.microsoft.com/office/drawing/2012/chart" uri="{CE6537A1-D6FC-4f65-9D91-7224C49458BB}"/>
                <c:ext xmlns:c16="http://schemas.microsoft.com/office/drawing/2014/chart" uri="{C3380CC4-5D6E-409C-BE32-E72D297353CC}">
                  <c16:uniqueId val="{00000014-C5FF-4992-BA52-6184E1D6256E}"/>
                </c:ext>
              </c:extLst>
            </c:dLbl>
            <c:dLbl>
              <c:idx val="2"/>
              <c:delete val="1"/>
              <c:extLst>
                <c:ext xmlns:c15="http://schemas.microsoft.com/office/drawing/2012/chart" uri="{CE6537A1-D6FC-4f65-9D91-7224C49458BB}"/>
                <c:ext xmlns:c16="http://schemas.microsoft.com/office/drawing/2014/chart" uri="{C3380CC4-5D6E-409C-BE32-E72D297353CC}">
                  <c16:uniqueId val="{00000015-C5FF-4992-BA52-6184E1D6256E}"/>
                </c:ext>
              </c:extLst>
            </c:dLbl>
            <c:dLbl>
              <c:idx val="3"/>
              <c:tx>
                <c:rich>
                  <a:bodyPr/>
                  <a:lstStyle/>
                  <a:p>
                    <a:fld id="{A93D501B-4A13-4E3A-92D3-7AB62286A7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B25B3206-8926-4003-A0BA-2050A38A06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52BCCF28-FC9E-413F-980F-5874FD122B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Performance'!$C$7:$H$8</c:f>
              <c:strCache>
                <c:ptCount val="6"/>
                <c:pt idx="0">
                  <c:v>Pick up Spacer</c:v>
                </c:pt>
                <c:pt idx="1">
                  <c:v>Place Spacer</c:v>
                </c:pt>
                <c:pt idx="2">
                  <c:v>Pick up Gear</c:v>
                </c:pt>
                <c:pt idx="3">
                  <c:v>Place Gear</c:v>
                </c:pt>
                <c:pt idx="4">
                  <c:v>Pick up Propeller</c:v>
                </c:pt>
                <c:pt idx="5">
                  <c:v>Place Propeller</c:v>
                </c:pt>
              </c:strCache>
            </c:strRef>
          </c:cat>
          <c:val>
            <c:numRef>
              <c:f>'Overall 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'Overall 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a:p>
                <a:pPr>
                  <a:defRPr/>
                </a:pPr>
                <a:endParaRPr lang="en-US"/>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'Overall Performance'!$C$51</c:f>
              <c:strCache>
                <c:ptCount val="1"/>
                <c:pt idx="0">
                  <c:v>Time (Minutes)</c:v>
                </c:pt>
              </c:strCache>
            </c:strRef>
          </c:tx>
          <c:spPr>
            <a:solidFill>
              <a:schemeClr val="accent6"/>
            </a:solidFill>
            <a:ln w="19050">
              <a:solidFill>
                <a:schemeClr val="tx1"/>
              </a:solidFill>
            </a:ln>
            <a:effectLst/>
          </c:spPr>
          <c:invertIfNegative val="0"/>
          <c:dPt>
            <c:idx val="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9F-C6A2-4843-A0E7-0A4B8EEC5CDD}"/>
              </c:ext>
            </c:extLst>
          </c:dPt>
          <c:dPt>
            <c:idx val="1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8-C6A2-4843-A0E7-0A4B8EEC5CDD}"/>
              </c:ext>
            </c:extLst>
          </c:dPt>
          <c:dPt>
            <c:idx val="1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C-C6A2-4843-A0E7-0A4B8EEC5CDD}"/>
              </c:ext>
            </c:extLst>
          </c:dPt>
          <c:dPt>
            <c:idx val="1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E-C6A2-4843-A0E7-0A4B8EEC5CDD}"/>
              </c:ext>
            </c:extLst>
          </c:dPt>
          <c:dPt>
            <c:idx val="2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F-C6A2-4843-A0E7-0A4B8EEC5CDD}"/>
              </c:ext>
            </c:extLst>
          </c:dPt>
          <c:dPt>
            <c:idx val="2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1-C6A2-4843-A0E7-0A4B8EEC5CDD}"/>
              </c:ext>
            </c:extLst>
          </c:dPt>
          <c:dPt>
            <c:idx val="2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3-C6A2-4843-A0E7-0A4B8EEC5CDD}"/>
              </c:ext>
            </c:extLst>
          </c:dPt>
          <c:dPt>
            <c:idx val="25"/>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4-C6A2-4843-A0E7-0A4B8EEC5CDD}"/>
              </c:ext>
            </c:extLst>
          </c:dPt>
          <c:dPt>
            <c:idx val="26"/>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5-C6A2-4843-A0E7-0A4B8EEC5CDD}"/>
              </c:ext>
            </c:extLst>
          </c:dPt>
          <c:dPt>
            <c:idx val="2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6-C6A2-4843-A0E7-0A4B8EEC5CDD}"/>
              </c:ext>
            </c:extLst>
          </c:dPt>
          <c:dPt>
            <c:idx val="2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8-C6A2-4843-A0E7-0A4B8EEC5CDD}"/>
              </c:ext>
            </c:extLst>
          </c:dPt>
          <c:dPt>
            <c:idx val="3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B-C6A2-4843-A0E7-0A4B8EEC5CDD}"/>
              </c:ext>
            </c:extLst>
          </c:dPt>
          <c:dPt>
            <c:idx val="3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0-C6A2-4843-A0E7-0A4B8EEC5CDD}"/>
              </c:ext>
            </c:extLst>
          </c:dPt>
          <c:dPt>
            <c:idx val="3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1-C6A2-4843-A0E7-0A4B8EEC5CDD}"/>
              </c:ext>
            </c:extLst>
          </c:dPt>
          <c:dPt>
            <c:idx val="3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2-C6A2-4843-A0E7-0A4B8EEC5CDD}"/>
              </c:ext>
            </c:extLst>
          </c:dPt>
          <c:dPt>
            <c:idx val="4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3-C6A2-4843-A0E7-0A4B8EEC5CDD}"/>
              </c:ext>
            </c:extLst>
          </c:dPt>
          <c:dPt>
            <c:idx val="4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4-C6A2-4843-A0E7-0A4B8EEC5CDD}"/>
              </c:ext>
            </c:extLst>
          </c:dPt>
          <c:dPt>
            <c:idx val="4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5-C6A2-4843-A0E7-0A4B8EEC5CDD}"/>
              </c:ext>
            </c:extLst>
          </c:dPt>
          <c:dPt>
            <c:idx val="4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6-C6A2-4843-A0E7-0A4B8EEC5CDD}"/>
              </c:ext>
            </c:extLst>
          </c:dPt>
          <c:dPt>
            <c:idx val="4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7-C6A2-4843-A0E7-0A4B8EEC5CDD}"/>
              </c:ext>
            </c:extLst>
          </c:dPt>
          <c:dPt>
            <c:idx val="4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A-C6A2-4843-A0E7-0A4B8EEC5CDD}"/>
              </c:ext>
            </c:extLst>
          </c:dPt>
          <c:dPt>
            <c:idx val="4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B-C6A2-4843-A0E7-0A4B8EEC5CDD}"/>
              </c:ext>
            </c:extLst>
          </c:dPt>
          <c:dPt>
            <c:idx val="4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C-C6A2-4843-A0E7-0A4B8EEC5CDD}"/>
              </c:ext>
            </c:extLst>
          </c:dPt>
          <c:dPt>
            <c:idx val="5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D-C6A2-4843-A0E7-0A4B8EEC5CDD}"/>
              </c:ext>
            </c:extLst>
          </c:dPt>
          <c:dPt>
            <c:idx val="5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E-C6A2-4843-A0E7-0A4B8EEC5CDD}"/>
              </c:ext>
            </c:extLst>
          </c:dPt>
          <c:dLbls>
            <c:dLbl>
              <c:idx val="0"/>
              <c:tx>
                <c:rich>
                  <a:bodyPr/>
                  <a:lstStyle/>
                  <a:p>
                    <a:fld id="{06AA11CA-F623-4EAE-B3E5-2A7DC1802AE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C6A2-4843-A0E7-0A4B8EEC5CDD}"/>
                </c:ext>
              </c:extLst>
            </c:dLbl>
            <c:dLbl>
              <c:idx val="1"/>
              <c:tx>
                <c:rich>
                  <a:bodyPr/>
                  <a:lstStyle/>
                  <a:p>
                    <a:fld id="{9C636D14-3E11-44B1-AF06-E79F9A58A3A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C6A2-4843-A0E7-0A4B8EEC5CDD}"/>
                </c:ext>
              </c:extLst>
            </c:dLbl>
            <c:dLbl>
              <c:idx val="2"/>
              <c:tx>
                <c:rich>
                  <a:bodyPr/>
                  <a:lstStyle/>
                  <a:p>
                    <a:fld id="{73F46AED-CD7F-44C5-95A7-97AC21D2549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C6A2-4843-A0E7-0A4B8EEC5CDD}"/>
                </c:ext>
              </c:extLst>
            </c:dLbl>
            <c:dLbl>
              <c:idx val="3"/>
              <c:tx>
                <c:rich>
                  <a:bodyPr/>
                  <a:lstStyle/>
                  <a:p>
                    <a:fld id="{0751CB66-94A4-42D6-B203-48124A37BD5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C6A2-4843-A0E7-0A4B8EEC5CDD}"/>
                </c:ext>
              </c:extLst>
            </c:dLbl>
            <c:dLbl>
              <c:idx val="4"/>
              <c:tx>
                <c:rich>
                  <a:bodyPr/>
                  <a:lstStyle/>
                  <a:p>
                    <a:fld id="{BA7C8DDA-8536-4D0A-8624-FD94C51C600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C6A2-4843-A0E7-0A4B8EEC5CDD}"/>
                </c:ext>
              </c:extLst>
            </c:dLbl>
            <c:dLbl>
              <c:idx val="5"/>
              <c:tx>
                <c:rich>
                  <a:bodyPr/>
                  <a:lstStyle/>
                  <a:p>
                    <a:fld id="{51A152FC-CD58-4B24-B045-C891CA4E212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C6A2-4843-A0E7-0A4B8EEC5CDD}"/>
                </c:ext>
              </c:extLst>
            </c:dLbl>
            <c:dLbl>
              <c:idx val="6"/>
              <c:tx>
                <c:rich>
                  <a:bodyPr/>
                  <a:lstStyle/>
                  <a:p>
                    <a:fld id="{9C11A6D1-5364-4893-8166-7B1C93AEC18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C6A2-4843-A0E7-0A4B8EEC5CDD}"/>
                </c:ext>
              </c:extLst>
            </c:dLbl>
            <c:dLbl>
              <c:idx val="7"/>
              <c:tx>
                <c:rich>
                  <a:bodyPr/>
                  <a:lstStyle/>
                  <a:p>
                    <a:fld id="{02718687-A1D6-4631-927D-C88935FD32C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C6A2-4843-A0E7-0A4B8EEC5CDD}"/>
                </c:ext>
              </c:extLst>
            </c:dLbl>
            <c:dLbl>
              <c:idx val="8"/>
              <c:tx>
                <c:rich>
                  <a:bodyPr/>
                  <a:lstStyle/>
                  <a:p>
                    <a:fld id="{9CB70E9A-EF68-4558-82D5-91501DE585A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C6A2-4843-A0E7-0A4B8EEC5CDD}"/>
                </c:ext>
              </c:extLst>
            </c:dLbl>
            <c:dLbl>
              <c:idx val="9"/>
              <c:tx>
                <c:rich>
                  <a:bodyPr/>
                  <a:lstStyle/>
                  <a:p>
                    <a:fld id="{91ECD03A-D45A-4728-BBB4-33F280C3DEF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C6A2-4843-A0E7-0A4B8EEC5CDD}"/>
                </c:ext>
              </c:extLst>
            </c:dLbl>
            <c:dLbl>
              <c:idx val="10"/>
              <c:tx>
                <c:rich>
                  <a:bodyPr/>
                  <a:lstStyle/>
                  <a:p>
                    <a:fld id="{263366C3-4195-4C8E-8078-FD1E83F26B9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C6A2-4843-A0E7-0A4B8EEC5CDD}"/>
                </c:ext>
              </c:extLst>
            </c:dLbl>
            <c:dLbl>
              <c:idx val="11"/>
              <c:tx>
                <c:rich>
                  <a:bodyPr/>
                  <a:lstStyle/>
                  <a:p>
                    <a:fld id="{C451F6DC-8ECA-4306-AB4F-81B4BF7DE1E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C6A2-4843-A0E7-0A4B8EEC5CDD}"/>
                </c:ext>
              </c:extLst>
            </c:dLbl>
            <c:dLbl>
              <c:idx val="12"/>
              <c:tx>
                <c:rich>
                  <a:bodyPr/>
                  <a:lstStyle/>
                  <a:p>
                    <a:fld id="{F53B703D-B796-4BDF-8481-92644492315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C6A2-4843-A0E7-0A4B8EEC5CDD}"/>
                </c:ext>
              </c:extLst>
            </c:dLbl>
            <c:dLbl>
              <c:idx val="13"/>
              <c:tx>
                <c:rich>
                  <a:bodyPr/>
                  <a:lstStyle/>
                  <a:p>
                    <a:fld id="{54913639-BAB1-443C-BEE0-056ADDE46C6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C6A2-4843-A0E7-0A4B8EEC5CDD}"/>
                </c:ext>
              </c:extLst>
            </c:dLbl>
            <c:dLbl>
              <c:idx val="14"/>
              <c:tx>
                <c:rich>
                  <a:bodyPr/>
                  <a:lstStyle/>
                  <a:p>
                    <a:fld id="{81269139-3FD8-4A1B-8E71-C9C064A55FD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C6A2-4843-A0E7-0A4B8EEC5CDD}"/>
                </c:ext>
              </c:extLst>
            </c:dLbl>
            <c:dLbl>
              <c:idx val="15"/>
              <c:tx>
                <c:rich>
                  <a:bodyPr/>
                  <a:lstStyle/>
                  <a:p>
                    <a:fld id="{FF50EF71-1A11-44DA-BA5F-9A72346BC3E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C6A2-4843-A0E7-0A4B8EEC5CDD}"/>
                </c:ext>
              </c:extLst>
            </c:dLbl>
            <c:dLbl>
              <c:idx val="16"/>
              <c:tx>
                <c:rich>
                  <a:bodyPr/>
                  <a:lstStyle/>
                  <a:p>
                    <a:fld id="{D6B09766-0098-4435-987B-F639224CC5C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C6A2-4843-A0E7-0A4B8EEC5CDD}"/>
                </c:ext>
              </c:extLst>
            </c:dLbl>
            <c:dLbl>
              <c:idx val="17"/>
              <c:tx>
                <c:rich>
                  <a:bodyPr/>
                  <a:lstStyle/>
                  <a:p>
                    <a:fld id="{DB5D7EC7-AFE0-43EB-9748-3EE7A9CF4A8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C6A2-4843-A0E7-0A4B8EEC5CDD}"/>
                </c:ext>
              </c:extLst>
            </c:dLbl>
            <c:dLbl>
              <c:idx val="18"/>
              <c:tx>
                <c:rich>
                  <a:bodyPr/>
                  <a:lstStyle/>
                  <a:p>
                    <a:fld id="{9DE8FFEF-82C6-4F6F-8FEF-AE0A55E57D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C6A2-4843-A0E7-0A4B8EEC5CDD}"/>
                </c:ext>
              </c:extLst>
            </c:dLbl>
            <c:dLbl>
              <c:idx val="19"/>
              <c:tx>
                <c:rich>
                  <a:bodyPr/>
                  <a:lstStyle/>
                  <a:p>
                    <a:fld id="{BE675E26-0F57-41FF-88F4-08864CEDBD9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C6A2-4843-A0E7-0A4B8EEC5CDD}"/>
                </c:ext>
              </c:extLst>
            </c:dLbl>
            <c:dLbl>
              <c:idx val="20"/>
              <c:tx>
                <c:rich>
                  <a:bodyPr/>
                  <a:lstStyle/>
                  <a:p>
                    <a:fld id="{AE49E07D-D4D4-41C4-8304-4627CBDE15D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C6A2-4843-A0E7-0A4B8EEC5CDD}"/>
                </c:ext>
              </c:extLst>
            </c:dLbl>
            <c:dLbl>
              <c:idx val="21"/>
              <c:tx>
                <c:rich>
                  <a:bodyPr/>
                  <a:lstStyle/>
                  <a:p>
                    <a:fld id="{DC839610-961A-449B-983B-C1634CEACA1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C6A2-4843-A0E7-0A4B8EEC5CDD}"/>
                </c:ext>
              </c:extLst>
            </c:dLbl>
            <c:dLbl>
              <c:idx val="22"/>
              <c:tx>
                <c:rich>
                  <a:bodyPr/>
                  <a:lstStyle/>
                  <a:p>
                    <a:fld id="{C666AA4B-C679-430E-A8BA-FF65E30E372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C6A2-4843-A0E7-0A4B8EEC5CDD}"/>
                </c:ext>
              </c:extLst>
            </c:dLbl>
            <c:dLbl>
              <c:idx val="23"/>
              <c:tx>
                <c:rich>
                  <a:bodyPr/>
                  <a:lstStyle/>
                  <a:p>
                    <a:fld id="{0AC8B67D-9E00-4713-9541-CB0E0EAF55D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C6A2-4843-A0E7-0A4B8EEC5CDD}"/>
                </c:ext>
              </c:extLst>
            </c:dLbl>
            <c:dLbl>
              <c:idx val="24"/>
              <c:tx>
                <c:rich>
                  <a:bodyPr/>
                  <a:lstStyle/>
                  <a:p>
                    <a:fld id="{F661995C-430C-4D38-84A1-09518BBC0A0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C6A2-4843-A0E7-0A4B8EEC5CDD}"/>
                </c:ext>
              </c:extLst>
            </c:dLbl>
            <c:dLbl>
              <c:idx val="25"/>
              <c:tx>
                <c:rich>
                  <a:bodyPr/>
                  <a:lstStyle/>
                  <a:p>
                    <a:fld id="{ED23A1BA-38CB-476B-B4A8-942CCA3B11A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C6A2-4843-A0E7-0A4B8EEC5CDD}"/>
                </c:ext>
              </c:extLst>
            </c:dLbl>
            <c:dLbl>
              <c:idx val="26"/>
              <c:tx>
                <c:rich>
                  <a:bodyPr/>
                  <a:lstStyle/>
                  <a:p>
                    <a:fld id="{BE1826B2-FC62-4260-938F-7105FF3419A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C6A2-4843-A0E7-0A4B8EEC5CDD}"/>
                </c:ext>
              </c:extLst>
            </c:dLbl>
            <c:dLbl>
              <c:idx val="27"/>
              <c:tx>
                <c:rich>
                  <a:bodyPr/>
                  <a:lstStyle/>
                  <a:p>
                    <a:fld id="{8CAA5355-5AC6-43B0-813F-FB042DF212F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C6A2-4843-A0E7-0A4B8EEC5CDD}"/>
                </c:ext>
              </c:extLst>
            </c:dLbl>
            <c:dLbl>
              <c:idx val="28"/>
              <c:tx>
                <c:rich>
                  <a:bodyPr/>
                  <a:lstStyle/>
                  <a:p>
                    <a:fld id="{085881CF-2976-4DCB-974D-996F17395DA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C6A2-4843-A0E7-0A4B8EEC5CDD}"/>
                </c:ext>
              </c:extLst>
            </c:dLbl>
            <c:dLbl>
              <c:idx val="29"/>
              <c:tx>
                <c:rich>
                  <a:bodyPr/>
                  <a:lstStyle/>
                  <a:p>
                    <a:fld id="{22D5E3BC-AFD1-495F-8053-722FE28C944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C6A2-4843-A0E7-0A4B8EEC5CDD}"/>
                </c:ext>
              </c:extLst>
            </c:dLbl>
            <c:dLbl>
              <c:idx val="30"/>
              <c:tx>
                <c:rich>
                  <a:bodyPr/>
                  <a:lstStyle/>
                  <a:p>
                    <a:fld id="{6CB21E0E-7679-4A21-A034-79BE9071CBB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C6A2-4843-A0E7-0A4B8EEC5CDD}"/>
                </c:ext>
              </c:extLst>
            </c:dLbl>
            <c:dLbl>
              <c:idx val="31"/>
              <c:tx>
                <c:rich>
                  <a:bodyPr/>
                  <a:lstStyle/>
                  <a:p>
                    <a:fld id="{B1829AF6-F9BD-45B0-9A86-900EB7E95BC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C6A2-4843-A0E7-0A4B8EEC5CDD}"/>
                </c:ext>
              </c:extLst>
            </c:dLbl>
            <c:dLbl>
              <c:idx val="32"/>
              <c:tx>
                <c:rich>
                  <a:bodyPr/>
                  <a:lstStyle/>
                  <a:p>
                    <a:fld id="{9BCECC93-D9B2-4682-91DF-7E676F81A7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C6A2-4843-A0E7-0A4B8EEC5CDD}"/>
                </c:ext>
              </c:extLst>
            </c:dLbl>
            <c:dLbl>
              <c:idx val="33"/>
              <c:tx>
                <c:rich>
                  <a:bodyPr/>
                  <a:lstStyle/>
                  <a:p>
                    <a:fld id="{B220E6E4-8A77-4126-9E28-42EBFA1286D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C6A2-4843-A0E7-0A4B8EEC5CDD}"/>
                </c:ext>
              </c:extLst>
            </c:dLbl>
            <c:dLbl>
              <c:idx val="34"/>
              <c:tx>
                <c:rich>
                  <a:bodyPr/>
                  <a:lstStyle/>
                  <a:p>
                    <a:fld id="{F23E7B6A-9DE0-4F8F-B592-FF3F85A24D4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C6A2-4843-A0E7-0A4B8EEC5CDD}"/>
                </c:ext>
              </c:extLst>
            </c:dLbl>
            <c:dLbl>
              <c:idx val="35"/>
              <c:tx>
                <c:rich>
                  <a:bodyPr/>
                  <a:lstStyle/>
                  <a:p>
                    <a:fld id="{F94DD8C6-5950-4B58-995D-21FCD5DF8F7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C6A2-4843-A0E7-0A4B8EEC5CDD}"/>
                </c:ext>
              </c:extLst>
            </c:dLbl>
            <c:dLbl>
              <c:idx val="36"/>
              <c:tx>
                <c:rich>
                  <a:bodyPr/>
                  <a:lstStyle/>
                  <a:p>
                    <a:fld id="{0761D774-B104-4C78-A560-78C2291C302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C6A2-4843-A0E7-0A4B8EEC5CDD}"/>
                </c:ext>
              </c:extLst>
            </c:dLbl>
            <c:dLbl>
              <c:idx val="37"/>
              <c:tx>
                <c:rich>
                  <a:bodyPr/>
                  <a:lstStyle/>
                  <a:p>
                    <a:fld id="{0F09950D-9A03-49FC-BC5C-EF2B298AA61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C6A2-4843-A0E7-0A4B8EEC5CDD}"/>
                </c:ext>
              </c:extLst>
            </c:dLbl>
            <c:dLbl>
              <c:idx val="38"/>
              <c:tx>
                <c:rich>
                  <a:bodyPr/>
                  <a:lstStyle/>
                  <a:p>
                    <a:fld id="{7842310F-A150-4EF0-AA19-9966C270872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C6A2-4843-A0E7-0A4B8EEC5CDD}"/>
                </c:ext>
              </c:extLst>
            </c:dLbl>
            <c:dLbl>
              <c:idx val="39"/>
              <c:tx>
                <c:rich>
                  <a:bodyPr/>
                  <a:lstStyle/>
                  <a:p>
                    <a:fld id="{A1AF7613-FC9B-46CF-99B6-0B716C251E5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C6A2-4843-A0E7-0A4B8EEC5CDD}"/>
                </c:ext>
              </c:extLst>
            </c:dLbl>
            <c:dLbl>
              <c:idx val="40"/>
              <c:tx>
                <c:rich>
                  <a:bodyPr/>
                  <a:lstStyle/>
                  <a:p>
                    <a:fld id="{4306B6B4-254C-48F8-8A48-9982D09140A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C6A2-4843-A0E7-0A4B8EEC5CDD}"/>
                </c:ext>
              </c:extLst>
            </c:dLbl>
            <c:dLbl>
              <c:idx val="41"/>
              <c:tx>
                <c:rich>
                  <a:bodyPr/>
                  <a:lstStyle/>
                  <a:p>
                    <a:fld id="{B2CFF648-85CD-4E57-A6B4-B7477A1FD2D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C6A2-4843-A0E7-0A4B8EEC5CDD}"/>
                </c:ext>
              </c:extLst>
            </c:dLbl>
            <c:dLbl>
              <c:idx val="42"/>
              <c:tx>
                <c:rich>
                  <a:bodyPr/>
                  <a:lstStyle/>
                  <a:p>
                    <a:fld id="{D9D1D262-B558-4D66-B3A7-D59F6E29A04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C6A2-4843-A0E7-0A4B8EEC5CDD}"/>
                </c:ext>
              </c:extLst>
            </c:dLbl>
            <c:dLbl>
              <c:idx val="43"/>
              <c:tx>
                <c:rich>
                  <a:bodyPr/>
                  <a:lstStyle/>
                  <a:p>
                    <a:fld id="{439F2A8B-15B3-438D-BBE8-C1EB91E31E1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C6A2-4843-A0E7-0A4B8EEC5CDD}"/>
                </c:ext>
              </c:extLst>
            </c:dLbl>
            <c:dLbl>
              <c:idx val="44"/>
              <c:tx>
                <c:rich>
                  <a:bodyPr/>
                  <a:lstStyle/>
                  <a:p>
                    <a:fld id="{667F216F-D144-423D-8FBC-8162F7C6AB7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C6A2-4843-A0E7-0A4B8EEC5CDD}"/>
                </c:ext>
              </c:extLst>
            </c:dLbl>
            <c:dLbl>
              <c:idx val="45"/>
              <c:tx>
                <c:rich>
                  <a:bodyPr/>
                  <a:lstStyle/>
                  <a:p>
                    <a:fld id="{103DC707-DA33-438E-9F17-99C2F96178D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C6A2-4843-A0E7-0A4B8EEC5CDD}"/>
                </c:ext>
              </c:extLst>
            </c:dLbl>
            <c:dLbl>
              <c:idx val="46"/>
              <c:tx>
                <c:rich>
                  <a:bodyPr/>
                  <a:lstStyle/>
                  <a:p>
                    <a:fld id="{A37CF404-AE28-4AD3-A430-4C887BCAEB9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C6A2-4843-A0E7-0A4B8EEC5CDD}"/>
                </c:ext>
              </c:extLst>
            </c:dLbl>
            <c:dLbl>
              <c:idx val="47"/>
              <c:tx>
                <c:rich>
                  <a:bodyPr/>
                  <a:lstStyle/>
                  <a:p>
                    <a:fld id="{607A4FD5-2C19-4201-AE8F-971FF0868A1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C6A2-4843-A0E7-0A4B8EEC5CDD}"/>
                </c:ext>
              </c:extLst>
            </c:dLbl>
            <c:dLbl>
              <c:idx val="48"/>
              <c:tx>
                <c:rich>
                  <a:bodyPr/>
                  <a:lstStyle/>
                  <a:p>
                    <a:fld id="{2DE6A7BB-2E2E-4EED-9601-80C483F2629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C6A2-4843-A0E7-0A4B8EEC5CDD}"/>
                </c:ext>
              </c:extLst>
            </c:dLbl>
            <c:dLbl>
              <c:idx val="49"/>
              <c:tx>
                <c:rich>
                  <a:bodyPr/>
                  <a:lstStyle/>
                  <a:p>
                    <a:fld id="{B4636FFE-0A0F-4E98-A454-9D8EE8B06B8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C6A2-4843-A0E7-0A4B8EEC5CDD}"/>
                </c:ext>
              </c:extLst>
            </c:dLbl>
            <c:dLbl>
              <c:idx val="50"/>
              <c:tx>
                <c:rich>
                  <a:bodyPr/>
                  <a:lstStyle/>
                  <a:p>
                    <a:fld id="{7E67B408-B75F-49FA-8571-09052BA57DA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C6A2-4843-A0E7-0A4B8EEC5CDD}"/>
                </c:ext>
              </c:extLst>
            </c:dLbl>
            <c:dLbl>
              <c:idx val="51"/>
              <c:tx>
                <c:rich>
                  <a:bodyPr/>
                  <a:lstStyle/>
                  <a:p>
                    <a:fld id="{48596943-1CD2-4B0D-A754-DA07B4BB914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C6A2-4843-A0E7-0A4B8EEC5CDD}"/>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Performance'!$B$52:$B$103</c:f>
              <c:strCache>
                <c:ptCount val="52"/>
                <c:pt idx="0">
                  <c:v>Duplo</c:v>
                </c:pt>
                <c:pt idx="1">
                  <c:v>Duplo</c:v>
                </c:pt>
                <c:pt idx="2">
                  <c:v>Duplo</c:v>
                </c:pt>
                <c:pt idx="3">
                  <c:v>Duplo</c:v>
                </c:pt>
                <c:pt idx="4">
                  <c:v>ROY</c:v>
                </c:pt>
                <c:pt idx="5">
                  <c:v>Duplo</c:v>
                </c:pt>
                <c:pt idx="6">
                  <c:v>Duplo</c:v>
                </c:pt>
                <c:pt idx="7">
                  <c:v>Duplo</c:v>
                </c:pt>
                <c:pt idx="8">
                  <c:v>Duplo</c:v>
                </c:pt>
                <c:pt idx="9">
                  <c:v>Duplo</c:v>
                </c:pt>
                <c:pt idx="10">
                  <c:v>Duplo</c:v>
                </c:pt>
                <c:pt idx="11">
                  <c:v>Duplo</c:v>
                </c:pt>
                <c:pt idx="12">
                  <c:v>Duplo</c:v>
                </c:pt>
                <c:pt idx="13">
                  <c:v>ROY</c:v>
                </c:pt>
                <c:pt idx="14">
                  <c:v>Duplo</c:v>
                </c:pt>
                <c:pt idx="15">
                  <c:v>Duplo</c:v>
                </c:pt>
                <c:pt idx="16">
                  <c:v>Duplo</c:v>
                </c:pt>
                <c:pt idx="17">
                  <c:v>ROY</c:v>
                </c:pt>
                <c:pt idx="18">
                  <c:v>Duplo</c:v>
                </c:pt>
                <c:pt idx="19">
                  <c:v>ROY</c:v>
                </c:pt>
                <c:pt idx="20">
                  <c:v>ROY</c:v>
                </c:pt>
                <c:pt idx="21">
                  <c:v>Duplo</c:v>
                </c:pt>
                <c:pt idx="22">
                  <c:v>ROY</c:v>
                </c:pt>
                <c:pt idx="23">
                  <c:v>Duplo</c:v>
                </c:pt>
                <c:pt idx="24">
                  <c:v>ROY</c:v>
                </c:pt>
                <c:pt idx="25">
                  <c:v>ROY</c:v>
                </c:pt>
                <c:pt idx="26">
                  <c:v>ROY</c:v>
                </c:pt>
                <c:pt idx="27">
                  <c:v>ROY</c:v>
                </c:pt>
                <c:pt idx="28">
                  <c:v>Duplo</c:v>
                </c:pt>
                <c:pt idx="29">
                  <c:v>ROY</c:v>
                </c:pt>
                <c:pt idx="30">
                  <c:v>Duplo</c:v>
                </c:pt>
                <c:pt idx="31">
                  <c:v>Duplo</c:v>
                </c:pt>
                <c:pt idx="32">
                  <c:v>ROY</c:v>
                </c:pt>
                <c:pt idx="33">
                  <c:v>Duplo</c:v>
                </c:pt>
                <c:pt idx="34">
                  <c:v>Duplo</c:v>
                </c:pt>
                <c:pt idx="35">
                  <c:v>Duplo</c:v>
                </c:pt>
                <c:pt idx="36">
                  <c:v>ROY</c:v>
                </c:pt>
                <c:pt idx="37">
                  <c:v>ROY</c:v>
                </c:pt>
                <c:pt idx="38">
                  <c:v>ROY</c:v>
                </c:pt>
                <c:pt idx="39">
                  <c:v>ROY</c:v>
                </c:pt>
                <c:pt idx="40">
                  <c:v>ROY</c:v>
                </c:pt>
                <c:pt idx="41">
                  <c:v>ROY</c:v>
                </c:pt>
                <c:pt idx="42">
                  <c:v>ROY</c:v>
                </c:pt>
                <c:pt idx="43">
                  <c:v>ROY</c:v>
                </c:pt>
                <c:pt idx="44">
                  <c:v>ROY</c:v>
                </c:pt>
                <c:pt idx="45">
                  <c:v>Duplo</c:v>
                </c:pt>
                <c:pt idx="46">
                  <c:v>Duplo</c:v>
                </c:pt>
                <c:pt idx="47">
                  <c:v>ROY</c:v>
                </c:pt>
                <c:pt idx="48">
                  <c:v>ROY</c:v>
                </c:pt>
                <c:pt idx="49">
                  <c:v>ROY</c:v>
                </c:pt>
                <c:pt idx="50">
                  <c:v>ROY</c:v>
                </c:pt>
                <c:pt idx="51">
                  <c:v>ROY</c:v>
                </c:pt>
              </c:strCache>
            </c:strRef>
          </c:cat>
          <c:val>
            <c:numRef>
              <c:f>'Overall Performance'!$C$52:$C$103</c:f>
              <c:numCache>
                <c:formatCode>General</c:formatCode>
                <c:ptCount val="52"/>
                <c:pt idx="0">
                  <c:v>28.00000000000006</c:v>
                </c:pt>
                <c:pt idx="1">
                  <c:v>31.00000000000005</c:v>
                </c:pt>
                <c:pt idx="2">
                  <c:v>32.000000000000043</c:v>
                </c:pt>
                <c:pt idx="3">
                  <c:v>34.000000000000043</c:v>
                </c:pt>
                <c:pt idx="4">
                  <c:v>34.999999999999957</c:v>
                </c:pt>
                <c:pt idx="5">
                  <c:v>36.000000000000028</c:v>
                </c:pt>
                <c:pt idx="6">
                  <c:v>42.000000000000014</c:v>
                </c:pt>
                <c:pt idx="7">
                  <c:v>43.000000000000007</c:v>
                </c:pt>
                <c:pt idx="8">
                  <c:v>47.999999999999986</c:v>
                </c:pt>
                <c:pt idx="9">
                  <c:v>47.999999999999986</c:v>
                </c:pt>
                <c:pt idx="10">
                  <c:v>48.999999999999986</c:v>
                </c:pt>
                <c:pt idx="11">
                  <c:v>52.999999999999972</c:v>
                </c:pt>
                <c:pt idx="12">
                  <c:v>54.999999999999964</c:v>
                </c:pt>
                <c:pt idx="13">
                  <c:v>57.000000000000036</c:v>
                </c:pt>
                <c:pt idx="14">
                  <c:v>61.000000000000099</c:v>
                </c:pt>
                <c:pt idx="15">
                  <c:v>66</c:v>
                </c:pt>
                <c:pt idx="16">
                  <c:v>69.999999999999986</c:v>
                </c:pt>
                <c:pt idx="17">
                  <c:v>70.000000000000071</c:v>
                </c:pt>
                <c:pt idx="18">
                  <c:v>74.000000000000057</c:v>
                </c:pt>
                <c:pt idx="19">
                  <c:v>74.000000000000057</c:v>
                </c:pt>
                <c:pt idx="20">
                  <c:v>74.999999999999972</c:v>
                </c:pt>
                <c:pt idx="21">
                  <c:v>78.000000000000043</c:v>
                </c:pt>
                <c:pt idx="22">
                  <c:v>81.000000000000028</c:v>
                </c:pt>
                <c:pt idx="23">
                  <c:v>84.999999999999943</c:v>
                </c:pt>
                <c:pt idx="24">
                  <c:v>86.000000000000014</c:v>
                </c:pt>
                <c:pt idx="25">
                  <c:v>87.000000000000014</c:v>
                </c:pt>
                <c:pt idx="26">
                  <c:v>89</c:v>
                </c:pt>
                <c:pt idx="27">
                  <c:v>89</c:v>
                </c:pt>
                <c:pt idx="28">
                  <c:v>92</c:v>
                </c:pt>
                <c:pt idx="29">
                  <c:v>92.000000000000071</c:v>
                </c:pt>
                <c:pt idx="30">
                  <c:v>93.999999999999986</c:v>
                </c:pt>
                <c:pt idx="31">
                  <c:v>96.999999999999972</c:v>
                </c:pt>
                <c:pt idx="32">
                  <c:v>104.99999999999994</c:v>
                </c:pt>
                <c:pt idx="33">
                  <c:v>104.99999999999994</c:v>
                </c:pt>
                <c:pt idx="34">
                  <c:v>104.99999999999994</c:v>
                </c:pt>
                <c:pt idx="35">
                  <c:v>104.99999999999994</c:v>
                </c:pt>
                <c:pt idx="36">
                  <c:v>104.99999999999994</c:v>
                </c:pt>
                <c:pt idx="37">
                  <c:v>104.99999999999994</c:v>
                </c:pt>
                <c:pt idx="38">
                  <c:v>104.99999999999994</c:v>
                </c:pt>
                <c:pt idx="39">
                  <c:v>104.99999999999994</c:v>
                </c:pt>
                <c:pt idx="40">
                  <c:v>104.99999999999994</c:v>
                </c:pt>
                <c:pt idx="41">
                  <c:v>104.99999999999994</c:v>
                </c:pt>
                <c:pt idx="42">
                  <c:v>104.99999999999994</c:v>
                </c:pt>
                <c:pt idx="43">
                  <c:v>105.00000000000003</c:v>
                </c:pt>
                <c:pt idx="44">
                  <c:v>105.00000000000003</c:v>
                </c:pt>
                <c:pt idx="45">
                  <c:v>105.00000000000011</c:v>
                </c:pt>
                <c:pt idx="46">
                  <c:v>105.00000000000011</c:v>
                </c:pt>
                <c:pt idx="47">
                  <c:v>105.00000000000011</c:v>
                </c:pt>
                <c:pt idx="48">
                  <c:v>105.00000000000011</c:v>
                </c:pt>
                <c:pt idx="49">
                  <c:v>105.00000000000011</c:v>
                </c:pt>
                <c:pt idx="50">
                  <c:v>105.00000000000011</c:v>
                </c:pt>
                <c:pt idx="51">
                  <c:v>105.00000000000011</c:v>
                </c:pt>
              </c:numCache>
            </c:numRef>
          </c:val>
          <c:extLst>
            <c:ext xmlns:c15="http://schemas.microsoft.com/office/drawing/2012/chart" uri="{02D57815-91ED-43cb-92C2-25804820EDAC}">
              <c15:datalabelsRange>
                <c15:f>'Overall Performance'!$D$52:$D$103</c15:f>
                <c15:dlblRangeCache>
                  <c:ptCount val="52"/>
                  <c:pt idx="33">
                    <c:v>●</c:v>
                  </c:pt>
                  <c:pt idx="34">
                    <c:v>●</c:v>
                  </c:pt>
                  <c:pt idx="35">
                    <c:v>●</c:v>
                  </c:pt>
                  <c:pt idx="36">
                    <c:v>●</c:v>
                  </c:pt>
                  <c:pt idx="37">
                    <c:v>●</c:v>
                  </c:pt>
                  <c:pt idx="38">
                    <c:v>●</c:v>
                  </c:pt>
                  <c:pt idx="39">
                    <c:v>●</c:v>
                  </c:pt>
                  <c:pt idx="40">
                    <c:v>●</c:v>
                  </c:pt>
                  <c:pt idx="41">
                    <c:v>●</c:v>
                  </c:pt>
                  <c:pt idx="42">
                    <c:v>●</c:v>
                  </c:pt>
                  <c:pt idx="43">
                    <c:v>●</c:v>
                  </c:pt>
                  <c:pt idx="44">
                    <c:v>●</c:v>
                  </c:pt>
                  <c:pt idx="45">
                    <c:v>●</c:v>
                  </c:pt>
                  <c:pt idx="46">
                    <c:v>●</c:v>
                  </c:pt>
                  <c:pt idx="47">
                    <c:v>●</c:v>
                  </c:pt>
                  <c:pt idx="48">
                    <c:v>●</c:v>
                  </c:pt>
                  <c:pt idx="49">
                    <c:v>●</c:v>
                  </c:pt>
                  <c:pt idx="50">
                    <c:v>●</c:v>
                  </c:pt>
                  <c:pt idx="51">
                    <c:v>●</c:v>
                  </c:pt>
                </c15:dlblRangeCache>
              </c15:datalabelsRange>
            </c:ext>
            <c:ext xmlns:c16="http://schemas.microsoft.com/office/drawing/2014/chart" uri="{C3380CC4-5D6E-409C-BE32-E72D297353CC}">
              <c16:uniqueId val="{00000000-C6A2-4843-A0E7-0A4B8EEC5CDD}"/>
            </c:ext>
          </c:extLst>
        </c:ser>
        <c:dLbls>
          <c:dLblPos val="ctr"/>
          <c:showLegendKey val="0"/>
          <c:showVal val="1"/>
          <c:showCatName val="0"/>
          <c:showSerName val="0"/>
          <c:showPercent val="0"/>
          <c:showBubbleSize val="0"/>
        </c:dLbls>
        <c:gapWidth val="0"/>
        <c:overlap val="-27"/>
        <c:axId val="781375232"/>
        <c:axId val="552598528"/>
      </c:barChart>
      <c:catAx>
        <c:axId val="781375232"/>
        <c:scaling>
          <c:orientation val="minMax"/>
        </c:scaling>
        <c:delete val="1"/>
        <c:axPos val="b"/>
        <c:numFmt formatCode="General" sourceLinked="1"/>
        <c:majorTickMark val="none"/>
        <c:minorTickMark val="none"/>
        <c:tickLblPos val="nextTo"/>
        <c:crossAx val="552598528"/>
        <c:crosses val="autoZero"/>
        <c:auto val="1"/>
        <c:lblAlgn val="ctr"/>
        <c:lblOffset val="100"/>
        <c:noMultiLvlLbl val="0"/>
      </c:catAx>
      <c:valAx>
        <c:axId val="552598528"/>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781375232"/>
        <c:crosses val="autoZero"/>
        <c:crossBetween val="between"/>
        <c:majorUnit val="25"/>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Obstacles'!$B$35</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Obstacles'!$C$34:$D$34</c:f>
              <c:strCache>
                <c:ptCount val="2"/>
                <c:pt idx="0">
                  <c:v>Duplo</c:v>
                </c:pt>
                <c:pt idx="1">
                  <c:v>ROY</c:v>
                </c:pt>
              </c:strCache>
            </c:strRef>
          </c:cat>
          <c:val>
            <c:numRef>
              <c:f>'Overall Program. Obstacles'!$C$35:$D$35</c:f>
              <c:numCache>
                <c:formatCode>General</c:formatCode>
                <c:ptCount val="2"/>
                <c:pt idx="0">
                  <c:v>0</c:v>
                </c:pt>
                <c:pt idx="1">
                  <c:v>1</c:v>
                </c:pt>
              </c:numCache>
            </c:numRef>
          </c:val>
          <c:extLst>
            <c:ext xmlns:c16="http://schemas.microsoft.com/office/drawing/2014/chart" uri="{C3380CC4-5D6E-409C-BE32-E72D297353CC}">
              <c16:uniqueId val="{00000000-D6D3-442B-A28A-A26DF7ACBCAA}"/>
            </c:ext>
          </c:extLst>
        </c:ser>
        <c:ser>
          <c:idx val="1"/>
          <c:order val="1"/>
          <c:tx>
            <c:strRef>
              <c:f>'Overall Program. Obstacles'!$B$36</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Obstacles'!$C$34:$D$34</c:f>
              <c:strCache>
                <c:ptCount val="2"/>
                <c:pt idx="0">
                  <c:v>Duplo</c:v>
                </c:pt>
                <c:pt idx="1">
                  <c:v>ROY</c:v>
                </c:pt>
              </c:strCache>
            </c:strRef>
          </c:cat>
          <c:val>
            <c:numRef>
              <c:f>'Overall Program. Obstacles'!$C$36:$D$36</c:f>
              <c:numCache>
                <c:formatCode>General</c:formatCode>
                <c:ptCount val="2"/>
                <c:pt idx="0">
                  <c:v>1.25</c:v>
                </c:pt>
                <c:pt idx="1">
                  <c:v>2</c:v>
                </c:pt>
              </c:numCache>
            </c:numRef>
          </c:val>
          <c:extLst>
            <c:ext xmlns:c16="http://schemas.microsoft.com/office/drawing/2014/chart" uri="{C3380CC4-5D6E-409C-BE32-E72D297353CC}">
              <c16:uniqueId val="{00000001-D6D3-442B-A28A-A26DF7ACBCAA}"/>
            </c:ext>
          </c:extLst>
        </c:ser>
        <c:ser>
          <c:idx val="2"/>
          <c:order val="2"/>
          <c:tx>
            <c:strRef>
              <c:f>'Overall Program. Obstacles'!$B$37</c:f>
              <c:strCache>
                <c:ptCount val="1"/>
                <c:pt idx="0">
                  <c:v>Med-Q1</c:v>
                </c:pt>
              </c:strCache>
            </c:strRef>
          </c:tx>
          <c:spPr>
            <a:ln w="28575">
              <a:solidFill>
                <a:schemeClr val="tx1"/>
              </a:solidFill>
            </a:ln>
          </c:spPr>
          <c:invertIfNegative val="0"/>
          <c:cat>
            <c:strRef>
              <c:f>'Overall Program. Obstacles'!$C$34:$D$34</c:f>
              <c:strCache>
                <c:ptCount val="2"/>
                <c:pt idx="0">
                  <c:v>Duplo</c:v>
                </c:pt>
                <c:pt idx="1">
                  <c:v>ROY</c:v>
                </c:pt>
              </c:strCache>
            </c:strRef>
          </c:cat>
          <c:val>
            <c:numRef>
              <c:f>'Overall Program. Obstacles'!$C$37:$D$37</c:f>
              <c:numCache>
                <c:formatCode>General</c:formatCode>
                <c:ptCount val="2"/>
                <c:pt idx="0">
                  <c:v>1.75</c:v>
                </c:pt>
                <c:pt idx="1">
                  <c:v>2.5</c:v>
                </c:pt>
              </c:numCache>
            </c:numRef>
          </c:val>
          <c:extLst>
            <c:ext xmlns:c16="http://schemas.microsoft.com/office/drawing/2014/chart" uri="{C3380CC4-5D6E-409C-BE32-E72D297353CC}">
              <c16:uniqueId val="{00000002-D6D3-442B-A28A-A26DF7ACBCAA}"/>
            </c:ext>
          </c:extLst>
        </c:ser>
        <c:ser>
          <c:idx val="3"/>
          <c:order val="3"/>
          <c:tx>
            <c:strRef>
              <c:f>'Overall Program. Obstacles'!$B$38</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Obstacles'!$C$39:$D$39</c:f>
                <c:numCache>
                  <c:formatCode>General</c:formatCode>
                  <c:ptCount val="2"/>
                  <c:pt idx="0">
                    <c:v>8.25</c:v>
                  </c:pt>
                  <c:pt idx="1">
                    <c:v>12</c:v>
                  </c:pt>
                </c:numCache>
              </c:numRef>
            </c:plus>
            <c:spPr>
              <a:ln w="28575"/>
            </c:spPr>
          </c:errBars>
          <c:cat>
            <c:strRef>
              <c:f>'Overall Program. Obstacles'!$C$34:$D$34</c:f>
              <c:strCache>
                <c:ptCount val="2"/>
                <c:pt idx="0">
                  <c:v>Duplo</c:v>
                </c:pt>
                <c:pt idx="1">
                  <c:v>ROY</c:v>
                </c:pt>
              </c:strCache>
            </c:strRef>
          </c:cat>
          <c:val>
            <c:numRef>
              <c:f>'Overall Program. Obstacles'!$C$38:$D$38</c:f>
              <c:numCache>
                <c:formatCode>General</c:formatCode>
                <c:ptCount val="2"/>
                <c:pt idx="0">
                  <c:v>3.75</c:v>
                </c:pt>
                <c:pt idx="1">
                  <c:v>3.5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a:t>
                </a:r>
                <a:r>
                  <a:rPr lang="en-US" b="0" baseline="0"/>
                  <a:t> Occurrences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Obstacles'!$B$57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Obstacles'!$C$56:$D$56</c:f>
              <c:strCache>
                <c:ptCount val="2"/>
                <c:pt idx="0">
                  <c:v>Duplo</c:v>
                </c:pt>
                <c:pt idx="1">
                  <c:v>ROY</c:v>
                </c:pt>
              </c:strCache>
            </c:strRef>
          </c:cat>
          <c:val>
            <c:numRef>
              <c:f>'Overall Program. Obstacles'!$C$57:$D$57</c:f>
              <c:numCache>
                <c:formatCode>General</c:formatCode>
                <c:ptCount val="2"/>
                <c:pt idx="0">
                  <c:v>1</c:v>
                </c:pt>
                <c:pt idx="1">
                  <c:v>7</c:v>
                </c:pt>
              </c:numCache>
            </c:numRef>
          </c:val>
          <c:extLst>
            <c:ext xmlns:c16="http://schemas.microsoft.com/office/drawing/2014/chart" uri="{C3380CC4-5D6E-409C-BE32-E72D297353CC}">
              <c16:uniqueId val="{00000000-D6D3-442B-A28A-A26DF7ACBCAA}"/>
            </c:ext>
          </c:extLst>
        </c:ser>
        <c:ser>
          <c:idx val="1"/>
          <c:order val="1"/>
          <c:tx>
            <c:strRef>
              <c:f>'Overall Program. Obstacles'!$B$58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a:solidFill>
                  <a:srgbClr val="000000"/>
                </a:solidFill>
              </a:ln>
            </c:spPr>
          </c:errBars>
          <c:cat>
            <c:strRef>
              <c:f>'Overall Program. Obstacles'!$C$56:$D$56</c:f>
              <c:strCache>
                <c:ptCount val="2"/>
                <c:pt idx="0">
                  <c:v>Duplo</c:v>
                </c:pt>
                <c:pt idx="1">
                  <c:v>ROY</c:v>
                </c:pt>
              </c:strCache>
            </c:strRef>
          </c:cat>
          <c:val>
            <c:numRef>
              <c:f>'Overall Program. Obstacles'!$C$58:$D$58</c:f>
              <c:numCache>
                <c:formatCode>General</c:formatCode>
                <c:ptCount val="2"/>
                <c:pt idx="0">
                  <c:v>3</c:v>
                </c:pt>
                <c:pt idx="1">
                  <c:v>3.25</c:v>
                </c:pt>
              </c:numCache>
            </c:numRef>
          </c:val>
          <c:extLst>
            <c:ext xmlns:c16="http://schemas.microsoft.com/office/drawing/2014/chart" uri="{C3380CC4-5D6E-409C-BE32-E72D297353CC}">
              <c16:uniqueId val="{00000001-D6D3-442B-A28A-A26DF7ACBCAA}"/>
            </c:ext>
          </c:extLst>
        </c:ser>
        <c:ser>
          <c:idx val="2"/>
          <c:order val="2"/>
          <c:tx>
            <c:strRef>
              <c:f>'Overall Program. Obstacles'!$B$59</c:f>
              <c:strCache>
                <c:ptCount val="1"/>
                <c:pt idx="0">
                  <c:v>Med-Q1</c:v>
                </c:pt>
              </c:strCache>
            </c:strRef>
          </c:tx>
          <c:spPr>
            <a:ln w="28575">
              <a:solidFill>
                <a:schemeClr val="tx1"/>
              </a:solidFill>
            </a:ln>
          </c:spPr>
          <c:invertIfNegative val="0"/>
          <c:cat>
            <c:strRef>
              <c:f>'Overall Program. Obstacles'!$C$56:$D$56</c:f>
              <c:strCache>
                <c:ptCount val="2"/>
                <c:pt idx="0">
                  <c:v>Duplo</c:v>
                </c:pt>
                <c:pt idx="1">
                  <c:v>ROY</c:v>
                </c:pt>
              </c:strCache>
            </c:strRef>
          </c:cat>
          <c:val>
            <c:numRef>
              <c:f>'Overall Program. Obstacles'!$C$59:$D$59</c:f>
              <c:numCache>
                <c:formatCode>General</c:formatCode>
                <c:ptCount val="2"/>
                <c:pt idx="0">
                  <c:v>4.5</c:v>
                </c:pt>
                <c:pt idx="1">
                  <c:v>4.25</c:v>
                </c:pt>
              </c:numCache>
            </c:numRef>
          </c:val>
          <c:extLst>
            <c:ext xmlns:c16="http://schemas.microsoft.com/office/drawing/2014/chart" uri="{C3380CC4-5D6E-409C-BE32-E72D297353CC}">
              <c16:uniqueId val="{00000002-D6D3-442B-A28A-A26DF7ACBCAA}"/>
            </c:ext>
          </c:extLst>
        </c:ser>
        <c:ser>
          <c:idx val="3"/>
          <c:order val="3"/>
          <c:tx>
            <c:strRef>
              <c:f>'Overall Program. Obstacles'!$B$60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Obstacles'!$C$61:$D$61</c:f>
                <c:numCache>
                  <c:formatCode>General</c:formatCode>
                  <c:ptCount val="2"/>
                  <c:pt idx="0">
                    <c:v>15.25</c:v>
                  </c:pt>
                  <c:pt idx="1">
                    <c:v>14.25</c:v>
                  </c:pt>
                </c:numCache>
              </c:numRef>
            </c:plus>
            <c:spPr>
              <a:ln w="28575">
                <a:solidFill>
                  <a:srgbClr val="000000"/>
                </a:solidFill>
              </a:ln>
            </c:spPr>
          </c:errBars>
          <c:cat>
            <c:strRef>
              <c:f>'Overall Program. Obstacles'!$C$56:$D$56</c:f>
              <c:strCache>
                <c:ptCount val="2"/>
                <c:pt idx="0">
                  <c:v>Duplo</c:v>
                </c:pt>
                <c:pt idx="1">
                  <c:v>ROY</c:v>
                </c:pt>
              </c:strCache>
            </c:strRef>
          </c:cat>
          <c:val>
            <c:numRef>
              <c:f>'Overall Program. Obstacles'!$C$60:$D$60</c:f>
              <c:numCache>
                <c:formatCode>General</c:formatCode>
                <c:ptCount val="2"/>
                <c:pt idx="0">
                  <c:v>3.25</c:v>
                </c:pt>
                <c:pt idx="1">
                  <c:v>4.25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1800" b="0" i="0" baseline="0">
                    <a:effectLst/>
                  </a:rPr>
                  <a:t># Occurrences</a:t>
                </a:r>
                <a:endParaRPr lang="en-US">
                  <a:effectLst/>
                </a:endParaRPr>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Obstacles'!$B$79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Obstacles'!$C$78:$D$78</c:f>
              <c:strCache>
                <c:ptCount val="2"/>
                <c:pt idx="0">
                  <c:v>Duplo</c:v>
                </c:pt>
                <c:pt idx="1">
                  <c:v>ROY</c:v>
                </c:pt>
              </c:strCache>
            </c:strRef>
          </c:cat>
          <c:val>
            <c:numRef>
              <c:f>'Overall Program. Obstacles'!$C$79:$D$79</c:f>
              <c:numCache>
                <c:formatCode>General</c:formatCode>
                <c:ptCount val="2"/>
                <c:pt idx="0">
                  <c:v>0</c:v>
                </c:pt>
                <c:pt idx="1">
                  <c:v>0</c:v>
                </c:pt>
              </c:numCache>
            </c:numRef>
          </c:val>
          <c:extLst>
            <c:ext xmlns:c16="http://schemas.microsoft.com/office/drawing/2014/chart" uri="{C3380CC4-5D6E-409C-BE32-E72D297353CC}">
              <c16:uniqueId val="{00000000-D6D3-442B-A28A-A26DF7ACBCAA}"/>
            </c:ext>
          </c:extLst>
        </c:ser>
        <c:ser>
          <c:idx val="1"/>
          <c:order val="1"/>
          <c:tx>
            <c:strRef>
              <c:f>'Overall Program. Obstacles'!$B$80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'Overall Program. Obstacles'!$C$78:$D$78</c:f>
              <c:strCache>
                <c:ptCount val="2"/>
                <c:pt idx="0">
                  <c:v>Duplo</c:v>
                </c:pt>
                <c:pt idx="1">
                  <c:v>ROY</c:v>
                </c:pt>
              </c:strCache>
            </c:strRef>
          </c:cat>
          <c:val>
            <c:numRef>
              <c:f>'Overall Program. Obstacles'!$C$80:$D$80</c:f>
              <c:numCache>
                <c:formatCode>General</c:formatCode>
                <c:ptCount val="2"/>
                <c:pt idx="0">
                  <c:v>0</c:v>
                </c:pt>
                <c:pt idx="1">
                  <c:v>0</c:v>
                </c:pt>
              </c:numCache>
            </c:numRef>
          </c:val>
          <c:extLst>
            <c:ext xmlns:c16="http://schemas.microsoft.com/office/drawing/2014/chart" uri="{C3380CC4-5D6E-409C-BE32-E72D297353CC}">
              <c16:uniqueId val="{00000001-D6D3-442B-A28A-A26DF7ACBCAA}"/>
            </c:ext>
          </c:extLst>
        </c:ser>
        <c:ser>
          <c:idx val="2"/>
          <c:order val="2"/>
          <c:tx>
            <c:strRef>
              <c:f>'Overall Program. Obstacles'!$B$81</c:f>
              <c:strCache>
                <c:ptCount val="1"/>
                <c:pt idx="0">
                  <c:v>Med-Q1</c:v>
                </c:pt>
              </c:strCache>
            </c:strRef>
          </c:tx>
          <c:spPr>
            <a:ln w="28575">
              <a:solidFill>
                <a:schemeClr val="tx1"/>
              </a:solidFill>
            </a:ln>
          </c:spPr>
          <c:invertIfNegative val="0"/>
          <c:cat>
            <c:strRef>
              <c:f>'Overall Program. Obstacles'!$C$78:$D$78</c:f>
              <c:strCache>
                <c:ptCount val="2"/>
                <c:pt idx="0">
                  <c:v>Duplo</c:v>
                </c:pt>
                <c:pt idx="1">
                  <c:v>ROY</c:v>
                </c:pt>
              </c:strCache>
            </c:strRef>
          </c:cat>
          <c:val>
            <c:numRef>
              <c:f>'Overall Program. Obstacles'!$C$81:$D$81</c:f>
              <c:numCache>
                <c:formatCode>General</c:formatCode>
                <c:ptCount val="2"/>
                <c:pt idx="0">
                  <c:v>0</c:v>
                </c:pt>
                <c:pt idx="1">
                  <c:v>1</c:v>
                </c:pt>
              </c:numCache>
            </c:numRef>
          </c:val>
          <c:extLst>
            <c:ext xmlns:c16="http://schemas.microsoft.com/office/drawing/2014/chart" uri="{C3380CC4-5D6E-409C-BE32-E72D297353CC}">
              <c16:uniqueId val="{00000002-D6D3-442B-A28A-A26DF7ACBCAA}"/>
            </c:ext>
          </c:extLst>
        </c:ser>
        <c:ser>
          <c:idx val="3"/>
          <c:order val="3"/>
          <c:tx>
            <c:strRef>
              <c:f>'Overall Program. Obstacles'!$B$82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Obstacles'!$C$83:$D$83</c:f>
                <c:numCache>
                  <c:formatCode>General</c:formatCode>
                  <c:ptCount val="2"/>
                  <c:pt idx="0">
                    <c:v>3.25</c:v>
                  </c:pt>
                  <c:pt idx="1">
                    <c:v>6</c:v>
                  </c:pt>
                </c:numCache>
              </c:numRef>
            </c:plus>
            <c:spPr>
              <a:ln w="28575"/>
            </c:spPr>
          </c:errBars>
          <c:cat>
            <c:strRef>
              <c:f>'Overall Program. Obstacles'!$C$78:$D$78</c:f>
              <c:strCache>
                <c:ptCount val="2"/>
                <c:pt idx="0">
                  <c:v>Duplo</c:v>
                </c:pt>
                <c:pt idx="1">
                  <c:v>ROY</c:v>
                </c:pt>
              </c:strCache>
            </c:strRef>
          </c:cat>
          <c:val>
            <c:numRef>
              <c:f>'Overall Program. Obstacles'!$C$82:$D$82</c:f>
              <c:numCache>
                <c:formatCode>General</c:formatCode>
                <c:ptCount val="2"/>
                <c:pt idx="0">
                  <c:v>4.75</c:v>
                </c:pt>
                <c:pt idx="1">
                  <c:v>2</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r>
                  <a:rPr lang="en-US" sz="1800" b="0" i="0" baseline="0">
                    <a:effectLst/>
                  </a:rPr>
                  <a:t># Occurrences</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endParaRPr lang="en-US"/>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Analysis'!$B$37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Analysis'!$C$36:$D$36</c:f>
              <c:strCache>
                <c:ptCount val="2"/>
                <c:pt idx="0">
                  <c:v>Duplo</c:v>
                </c:pt>
                <c:pt idx="1">
                  <c:v>ROY</c:v>
                </c:pt>
              </c:strCache>
            </c:strRef>
          </c:cat>
          <c:val>
            <c:numRef>
              <c:f>'Overall Program. Analysis'!$C$37:$D$37</c:f>
              <c:numCache>
                <c:formatCode>General</c:formatCode>
                <c:ptCount val="2"/>
                <c:pt idx="0">
                  <c:v>8</c:v>
                </c:pt>
                <c:pt idx="1">
                  <c:v>8</c:v>
                </c:pt>
              </c:numCache>
            </c:numRef>
          </c:val>
          <c:extLst>
            <c:ext xmlns:c16="http://schemas.microsoft.com/office/drawing/2014/chart" uri="{C3380CC4-5D6E-409C-BE32-E72D297353CC}">
              <c16:uniqueId val="{00000000-D6D3-442B-A28A-A26DF7ACBCAA}"/>
            </c:ext>
          </c:extLst>
        </c:ser>
        <c:ser>
          <c:idx val="1"/>
          <c:order val="1"/>
          <c:tx>
            <c:strRef>
              <c:f>'Overall Program. Analysis'!$B$38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Analysis'!$C$36:$D$36</c:f>
              <c:strCache>
                <c:ptCount val="2"/>
                <c:pt idx="0">
                  <c:v>Duplo</c:v>
                </c:pt>
                <c:pt idx="1">
                  <c:v>ROY</c:v>
                </c:pt>
              </c:strCache>
            </c:strRef>
          </c:cat>
          <c:val>
            <c:numRef>
              <c:f>'Overall Program. Analysis'!$C$38:$D$38</c:f>
              <c:numCache>
                <c:formatCode>General</c:formatCode>
                <c:ptCount val="2"/>
                <c:pt idx="0">
                  <c:v>5.25</c:v>
                </c:pt>
                <c:pt idx="1">
                  <c:v>6.75</c:v>
                </c:pt>
              </c:numCache>
            </c:numRef>
          </c:val>
          <c:extLst>
            <c:ext xmlns:c16="http://schemas.microsoft.com/office/drawing/2014/chart" uri="{C3380CC4-5D6E-409C-BE32-E72D297353CC}">
              <c16:uniqueId val="{00000001-D6D3-442B-A28A-A26DF7ACBCAA}"/>
            </c:ext>
          </c:extLst>
        </c:ser>
        <c:ser>
          <c:idx val="2"/>
          <c:order val="2"/>
          <c:tx>
            <c:strRef>
              <c:f>'Overall Program. Analysis'!$B$39</c:f>
              <c:strCache>
                <c:ptCount val="1"/>
                <c:pt idx="0">
                  <c:v>Med-Q1</c:v>
                </c:pt>
              </c:strCache>
            </c:strRef>
          </c:tx>
          <c:spPr>
            <a:ln w="28575">
              <a:solidFill>
                <a:schemeClr val="tx1"/>
              </a:solidFill>
            </a:ln>
          </c:spPr>
          <c:invertIfNegative val="0"/>
          <c:cat>
            <c:strRef>
              <c:f>'Overall Program. Analysis'!$C$36:$D$36</c:f>
              <c:strCache>
                <c:ptCount val="2"/>
                <c:pt idx="0">
                  <c:v>Duplo</c:v>
                </c:pt>
                <c:pt idx="1">
                  <c:v>ROY</c:v>
                </c:pt>
              </c:strCache>
            </c:strRef>
          </c:cat>
          <c:val>
            <c:numRef>
              <c:f>'Overall Program. Analysis'!$C$39:$D$39</c:f>
              <c:numCache>
                <c:formatCode>General</c:formatCode>
                <c:ptCount val="2"/>
                <c:pt idx="0">
                  <c:v>1.75</c:v>
                </c:pt>
                <c:pt idx="1">
                  <c:v>6.25</c:v>
                </c:pt>
              </c:numCache>
            </c:numRef>
          </c:val>
          <c:extLst>
            <c:ext xmlns:c16="http://schemas.microsoft.com/office/drawing/2014/chart" uri="{C3380CC4-5D6E-409C-BE32-E72D297353CC}">
              <c16:uniqueId val="{00000002-D6D3-442B-A28A-A26DF7ACBCAA}"/>
            </c:ext>
          </c:extLst>
        </c:ser>
        <c:ser>
          <c:idx val="3"/>
          <c:order val="3"/>
          <c:tx>
            <c:strRef>
              <c:f>'Overall Program. Analysis'!$B$40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Analysis'!$C$41:$D$41</c:f>
                <c:numCache>
                  <c:formatCode>General</c:formatCode>
                  <c:ptCount val="2"/>
                  <c:pt idx="0">
                    <c:v>10</c:v>
                  </c:pt>
                  <c:pt idx="1">
                    <c:v>12.5</c:v>
                  </c:pt>
                </c:numCache>
              </c:numRef>
            </c:plus>
            <c:spPr>
              <a:ln w="28575"/>
            </c:spPr>
          </c:errBars>
          <c:cat>
            <c:strRef>
              <c:f>'Overall Program. Analysis'!$C$36:$D$36</c:f>
              <c:strCache>
                <c:ptCount val="2"/>
                <c:pt idx="0">
                  <c:v>Duplo</c:v>
                </c:pt>
                <c:pt idx="1">
                  <c:v>ROY</c:v>
                </c:pt>
              </c:strCache>
            </c:strRef>
          </c:cat>
          <c:val>
            <c:numRef>
              <c:f>'Overall Program. Analysis'!$C$40:$D$40</c:f>
              <c:numCache>
                <c:formatCode>General</c:formatCode>
                <c:ptCount val="2"/>
                <c:pt idx="0">
                  <c:v>4</c:v>
                </c:pt>
                <c:pt idx="1">
                  <c:v>5.5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Locations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Analysis'!$B$59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Analysis'!$C$58:$D$58</c:f>
              <c:strCache>
                <c:ptCount val="2"/>
                <c:pt idx="0">
                  <c:v>Duplo</c:v>
                </c:pt>
                <c:pt idx="1">
                  <c:v>ROY</c:v>
                </c:pt>
              </c:strCache>
            </c:strRef>
          </c:cat>
          <c:val>
            <c:numRef>
              <c:f>'Overall Program. Analysis'!$C$59:$D$59</c:f>
              <c:numCache>
                <c:formatCode>General</c:formatCode>
                <c:ptCount val="2"/>
                <c:pt idx="0">
                  <c:v>22</c:v>
                </c:pt>
                <c:pt idx="1">
                  <c:v>11</c:v>
                </c:pt>
              </c:numCache>
            </c:numRef>
          </c:val>
          <c:extLst>
            <c:ext xmlns:c16="http://schemas.microsoft.com/office/drawing/2014/chart" uri="{C3380CC4-5D6E-409C-BE32-E72D297353CC}">
              <c16:uniqueId val="{00000000-D6D3-442B-A28A-A26DF7ACBCAA}"/>
            </c:ext>
          </c:extLst>
        </c:ser>
        <c:ser>
          <c:idx val="1"/>
          <c:order val="1"/>
          <c:tx>
            <c:strRef>
              <c:f>'Overall Program. Analysis'!$B$60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Analysis'!$C$58:$D$58</c:f>
              <c:strCache>
                <c:ptCount val="2"/>
                <c:pt idx="0">
                  <c:v>Duplo</c:v>
                </c:pt>
                <c:pt idx="1">
                  <c:v>ROY</c:v>
                </c:pt>
              </c:strCache>
            </c:strRef>
          </c:cat>
          <c:val>
            <c:numRef>
              <c:f>'Overall Program. Analysis'!$C$60:$D$60</c:f>
              <c:numCache>
                <c:formatCode>General</c:formatCode>
                <c:ptCount val="2"/>
                <c:pt idx="0">
                  <c:v>8.5</c:v>
                </c:pt>
                <c:pt idx="1">
                  <c:v>21.25</c:v>
                </c:pt>
              </c:numCache>
            </c:numRef>
          </c:val>
          <c:extLst>
            <c:ext xmlns:c16="http://schemas.microsoft.com/office/drawing/2014/chart" uri="{C3380CC4-5D6E-409C-BE32-E72D297353CC}">
              <c16:uniqueId val="{00000001-D6D3-442B-A28A-A26DF7ACBCAA}"/>
            </c:ext>
          </c:extLst>
        </c:ser>
        <c:ser>
          <c:idx val="2"/>
          <c:order val="2"/>
          <c:tx>
            <c:strRef>
              <c:f>'Overall Program. Analysis'!$B$61</c:f>
              <c:strCache>
                <c:ptCount val="1"/>
                <c:pt idx="0">
                  <c:v>Med-Q1</c:v>
                </c:pt>
              </c:strCache>
            </c:strRef>
          </c:tx>
          <c:spPr>
            <a:ln w="28575">
              <a:solidFill>
                <a:schemeClr val="tx1"/>
              </a:solidFill>
            </a:ln>
          </c:spPr>
          <c:invertIfNegative val="0"/>
          <c:cat>
            <c:strRef>
              <c:f>'Overall Program. Analysis'!$C$58:$D$58</c:f>
              <c:strCache>
                <c:ptCount val="2"/>
                <c:pt idx="0">
                  <c:v>Duplo</c:v>
                </c:pt>
                <c:pt idx="1">
                  <c:v>ROY</c:v>
                </c:pt>
              </c:strCache>
            </c:strRef>
          </c:cat>
          <c:val>
            <c:numRef>
              <c:f>'Overall Program. Analysis'!$C$61:$D$61</c:f>
              <c:numCache>
                <c:formatCode>General</c:formatCode>
                <c:ptCount val="2"/>
                <c:pt idx="0">
                  <c:v>3.5</c:v>
                </c:pt>
                <c:pt idx="1">
                  <c:v>7.75</c:v>
                </c:pt>
              </c:numCache>
            </c:numRef>
          </c:val>
          <c:extLst>
            <c:ext xmlns:c16="http://schemas.microsoft.com/office/drawing/2014/chart" uri="{C3380CC4-5D6E-409C-BE32-E72D297353CC}">
              <c16:uniqueId val="{00000002-D6D3-442B-A28A-A26DF7ACBCAA}"/>
            </c:ext>
          </c:extLst>
        </c:ser>
        <c:ser>
          <c:idx val="3"/>
          <c:order val="3"/>
          <c:tx>
            <c:strRef>
              <c:f>'Overall Program. Analysis'!$B$62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Analysis'!$C$63:$D$63</c:f>
                <c:numCache>
                  <c:formatCode>General</c:formatCode>
                  <c:ptCount val="2"/>
                  <c:pt idx="0">
                    <c:v>7</c:v>
                  </c:pt>
                  <c:pt idx="1">
                    <c:v>21.25</c:v>
                  </c:pt>
                </c:numCache>
              </c:numRef>
            </c:plus>
            <c:spPr>
              <a:ln w="28575"/>
            </c:spPr>
          </c:errBars>
          <c:cat>
            <c:strRef>
              <c:f>'Overall Program. Analysis'!$C$58:$D$58</c:f>
              <c:strCache>
                <c:ptCount val="2"/>
                <c:pt idx="0">
                  <c:v>Duplo</c:v>
                </c:pt>
                <c:pt idx="1">
                  <c:v>ROY</c:v>
                </c:pt>
              </c:strCache>
            </c:strRef>
          </c:cat>
          <c:val>
            <c:numRef>
              <c:f>'Overall Program. Analysis'!$C$62:$D$62</c:f>
              <c:numCache>
                <c:formatCode>General</c:formatCode>
                <c:ptCount val="2"/>
                <c:pt idx="0">
                  <c:v>3</c:v>
                </c:pt>
                <c:pt idx="1">
                  <c:v>6.75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Blocks / Lines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Analysis'!$B$81</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Analysis'!$C$80:$D$80</c:f>
              <c:strCache>
                <c:ptCount val="2"/>
                <c:pt idx="0">
                  <c:v>Duplo</c:v>
                </c:pt>
                <c:pt idx="1">
                  <c:v>ROY</c:v>
                </c:pt>
              </c:strCache>
            </c:strRef>
          </c:cat>
          <c:val>
            <c:numRef>
              <c:f>'Overall Program. Analysis'!$C$81:$D$81</c:f>
              <c:numCache>
                <c:formatCode>General</c:formatCode>
                <c:ptCount val="2"/>
                <c:pt idx="0">
                  <c:v>9</c:v>
                </c:pt>
                <c:pt idx="1">
                  <c:v>19</c:v>
                </c:pt>
              </c:numCache>
            </c:numRef>
          </c:val>
          <c:extLst>
            <c:ext xmlns:c16="http://schemas.microsoft.com/office/drawing/2014/chart" uri="{C3380CC4-5D6E-409C-BE32-E72D297353CC}">
              <c16:uniqueId val="{00000000-D6D3-442B-A28A-A26DF7ACBCAA}"/>
            </c:ext>
          </c:extLst>
        </c:ser>
        <c:ser>
          <c:idx val="1"/>
          <c:order val="1"/>
          <c:tx>
            <c:strRef>
              <c:f>'Overall Program. Analysis'!$B$82</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Analysis'!$C$80:$D$80</c:f>
              <c:strCache>
                <c:ptCount val="2"/>
                <c:pt idx="0">
                  <c:v>Duplo</c:v>
                </c:pt>
                <c:pt idx="1">
                  <c:v>ROY</c:v>
                </c:pt>
              </c:strCache>
            </c:strRef>
          </c:cat>
          <c:val>
            <c:numRef>
              <c:f>'Overall Program. Analysis'!$C$82:$D$82</c:f>
              <c:numCache>
                <c:formatCode>General</c:formatCode>
                <c:ptCount val="2"/>
                <c:pt idx="0">
                  <c:v>14.25</c:v>
                </c:pt>
                <c:pt idx="1">
                  <c:v>6.5</c:v>
                </c:pt>
              </c:numCache>
            </c:numRef>
          </c:val>
          <c:extLst>
            <c:ext xmlns:c16="http://schemas.microsoft.com/office/drawing/2014/chart" uri="{C3380CC4-5D6E-409C-BE32-E72D297353CC}">
              <c16:uniqueId val="{00000001-D6D3-442B-A28A-A26DF7ACBCAA}"/>
            </c:ext>
          </c:extLst>
        </c:ser>
        <c:ser>
          <c:idx val="2"/>
          <c:order val="2"/>
          <c:tx>
            <c:strRef>
              <c:f>'Overall Program. Analysis'!$B$83</c:f>
              <c:strCache>
                <c:ptCount val="1"/>
                <c:pt idx="0">
                  <c:v>Med-Q1</c:v>
                </c:pt>
              </c:strCache>
            </c:strRef>
          </c:tx>
          <c:spPr>
            <a:ln w="28575">
              <a:solidFill>
                <a:schemeClr val="tx1"/>
              </a:solidFill>
            </a:ln>
          </c:spPr>
          <c:invertIfNegative val="0"/>
          <c:cat>
            <c:strRef>
              <c:f>'Overall Program. Analysis'!$C$80:$D$80</c:f>
              <c:strCache>
                <c:ptCount val="2"/>
                <c:pt idx="0">
                  <c:v>Duplo</c:v>
                </c:pt>
                <c:pt idx="1">
                  <c:v>ROY</c:v>
                </c:pt>
              </c:strCache>
            </c:strRef>
          </c:cat>
          <c:val>
            <c:numRef>
              <c:f>'Overall Program. Analysis'!$C$83:$D$83</c:f>
              <c:numCache>
                <c:formatCode>General</c:formatCode>
                <c:ptCount val="2"/>
                <c:pt idx="0">
                  <c:v>11.25</c:v>
                </c:pt>
                <c:pt idx="1">
                  <c:v>8.5</c:v>
                </c:pt>
              </c:numCache>
            </c:numRef>
          </c:val>
          <c:extLst>
            <c:ext xmlns:c16="http://schemas.microsoft.com/office/drawing/2014/chart" uri="{C3380CC4-5D6E-409C-BE32-E72D297353CC}">
              <c16:uniqueId val="{00000002-D6D3-442B-A28A-A26DF7ACBCAA}"/>
            </c:ext>
          </c:extLst>
        </c:ser>
        <c:ser>
          <c:idx val="3"/>
          <c:order val="3"/>
          <c:tx>
            <c:strRef>
              <c:f>'Overall Program. Analysis'!$B$84</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Analysis'!$C$85:$D$85</c:f>
                <c:numCache>
                  <c:formatCode>General</c:formatCode>
                  <c:ptCount val="2"/>
                  <c:pt idx="0">
                    <c:v>39</c:v>
                  </c:pt>
                  <c:pt idx="1">
                    <c:v>17.25</c:v>
                  </c:pt>
                </c:numCache>
              </c:numRef>
            </c:plus>
            <c:spPr>
              <a:ln w="28575"/>
            </c:spPr>
          </c:errBars>
          <c:cat>
            <c:strRef>
              <c:f>'Overall Program. Analysis'!$C$80:$D$80</c:f>
              <c:strCache>
                <c:ptCount val="2"/>
                <c:pt idx="0">
                  <c:v>Duplo</c:v>
                </c:pt>
                <c:pt idx="1">
                  <c:v>ROY</c:v>
                </c:pt>
              </c:strCache>
            </c:strRef>
          </c:cat>
          <c:val>
            <c:numRef>
              <c:f>'Overall Program. Analysis'!$C$84:$D$84</c:f>
              <c:numCache>
                <c:formatCode>General</c:formatCode>
                <c:ptCount val="2"/>
                <c:pt idx="0">
                  <c:v>11.5</c:v>
                </c:pt>
                <c:pt idx="1">
                  <c:v>12.75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 Executions</a:t>
                </a:r>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880223</xdr:colOff>
      <xdr:row>59</xdr:row>
      <xdr:rowOff>132787</xdr:rowOff>
    </xdr:from>
    <xdr:to>
      <xdr:col>13</xdr:col>
      <xdr:colOff>446554</xdr:colOff>
      <xdr:row>72</xdr:row>
      <xdr:rowOff>94409</xdr:rowOff>
    </xdr:to>
    <xdr:graphicFrame macro="">
      <xdr:nvGraphicFramePr>
        <xdr:cNvPr id="8" name="Chart 7">
          <a:extLst>
            <a:ext uri="{FF2B5EF4-FFF2-40B4-BE49-F238E27FC236}">
              <a16:creationId xmlns:a16="http://schemas.microsoft.com/office/drawing/2014/main" id="{93D8AF5E-A52C-48CB-83FB-7263170E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36</xdr:row>
      <xdr:rowOff>31749</xdr:rowOff>
    </xdr:from>
    <xdr:to>
      <xdr:col>8</xdr:col>
      <xdr:colOff>273049</xdr:colOff>
      <xdr:row>48</xdr:row>
      <xdr:rowOff>149224</xdr:rowOff>
    </xdr:to>
    <xdr:graphicFrame macro="">
      <xdr:nvGraphicFramePr>
        <xdr:cNvPr id="2" name="Chart 1">
          <a:extLst>
            <a:ext uri="{FF2B5EF4-FFF2-40B4-BE49-F238E27FC236}">
              <a16:creationId xmlns:a16="http://schemas.microsoft.com/office/drawing/2014/main" id="{27F6F362-7273-4BD6-8906-4017104B7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55</xdr:row>
      <xdr:rowOff>152401</xdr:rowOff>
    </xdr:from>
    <xdr:to>
      <xdr:col>8</xdr:col>
      <xdr:colOff>53975</xdr:colOff>
      <xdr:row>67</xdr:row>
      <xdr:rowOff>155575</xdr:rowOff>
    </xdr:to>
    <xdr:graphicFrame macro="">
      <xdr:nvGraphicFramePr>
        <xdr:cNvPr id="3" name="Chart 2">
          <a:extLst>
            <a:ext uri="{FF2B5EF4-FFF2-40B4-BE49-F238E27FC236}">
              <a16:creationId xmlns:a16="http://schemas.microsoft.com/office/drawing/2014/main" id="{BCDC306A-D3A6-4C68-AA91-682D90361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409574</xdr:colOff>
      <xdr:row>76</xdr:row>
      <xdr:rowOff>22225</xdr:rowOff>
    </xdr:from>
    <xdr:to>
      <xdr:col>8</xdr:col>
      <xdr:colOff>444499</xdr:colOff>
      <xdr:row>87</xdr:row>
      <xdr:rowOff>152400</xdr:rowOff>
    </xdr:to>
    <xdr:graphicFrame macro="">
      <xdr:nvGraphicFramePr>
        <xdr:cNvPr id="4" name="Chart 3">
          <a:extLst>
            <a:ext uri="{FF2B5EF4-FFF2-40B4-BE49-F238E27FC236}">
              <a16:creationId xmlns:a16="http://schemas.microsoft.com/office/drawing/2014/main" id="{4F11668D-88F6-4192-A6C6-57CC489F7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466724</xdr:colOff>
      <xdr:row>35</xdr:row>
      <xdr:rowOff>0</xdr:rowOff>
    </xdr:from>
    <xdr:to>
      <xdr:col>7</xdr:col>
      <xdr:colOff>1457324</xdr:colOff>
      <xdr:row>47</xdr:row>
      <xdr:rowOff>9524</xdr:rowOff>
    </xdr:to>
    <xdr:graphicFrame macro="">
      <xdr:nvGraphicFramePr>
        <xdr:cNvPr id="3" name="Chart 2">
          <a:extLst>
            <a:ext uri="{FF2B5EF4-FFF2-40B4-BE49-F238E27FC236}">
              <a16:creationId xmlns:a16="http://schemas.microsoft.com/office/drawing/2014/main" id="{C6C33263-0080-4208-8C3F-8F728B18E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555530</xdr:colOff>
      <xdr:row>57</xdr:row>
      <xdr:rowOff>110377</xdr:rowOff>
    </xdr:from>
    <xdr:to>
      <xdr:col>8</xdr:col>
      <xdr:colOff>890027</xdr:colOff>
      <xdr:row>71</xdr:row>
      <xdr:rowOff>15968</xdr:rowOff>
    </xdr:to>
    <xdr:graphicFrame macro="">
      <xdr:nvGraphicFramePr>
        <xdr:cNvPr id="2" name="Chart 1">
          <a:extLst>
            <a:ext uri="{FF2B5EF4-FFF2-40B4-BE49-F238E27FC236}">
              <a16:creationId xmlns:a16="http://schemas.microsoft.com/office/drawing/2014/main" id="{00DD57F3-56E8-45DC-9220-7F9167BD8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896469</xdr:colOff>
      <xdr:row>81</xdr:row>
      <xdr:rowOff>47904</xdr:rowOff>
    </xdr:from>
    <xdr:to>
      <xdr:col>8</xdr:col>
      <xdr:colOff>1299883</xdr:colOff>
      <xdr:row>96</xdr:row>
      <xdr:rowOff>76479</xdr:rowOff>
    </xdr:to>
    <xdr:graphicFrame macro="">
      <xdr:nvGraphicFramePr>
        <xdr:cNvPr id="4" name="Chart 3">
          <a:extLst>
            <a:ext uri="{FF2B5EF4-FFF2-40B4-BE49-F238E27FC236}">
              <a16:creationId xmlns:a16="http://schemas.microsoft.com/office/drawing/2014/main" id="{3952E906-C5E3-45F9-8F6F-404FA409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R45"/>
  <sheetViews>
    <sheetView topLeftCell="U1" workbookViewId="0">
      <selection activeCell="AE4" sqref="AE4:AE29"/>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4" ht="14.25">
      <c r="A1" s="2"/>
      <c r="B1" s="2"/>
      <c r="C1" s="3"/>
      <c r="D1" s="3"/>
      <c r="E1" s="138" t="s">
        <v>1</v>
      </c>
      <c r="F1" s="139"/>
      <c r="G1" s="139"/>
      <c r="H1" s="139"/>
      <c r="I1" s="139"/>
      <c r="J1" s="139"/>
      <c r="K1" s="139"/>
      <c r="L1" s="139"/>
      <c r="M1" s="139"/>
      <c r="N1" s="139"/>
      <c r="O1" s="139"/>
      <c r="P1" s="139"/>
      <c r="Q1" s="139"/>
      <c r="R1" s="139"/>
      <c r="S1" s="139"/>
      <c r="T1" s="140" t="s">
        <v>2</v>
      </c>
      <c r="U1" s="139"/>
      <c r="V1" s="139"/>
      <c r="W1" s="139"/>
      <c r="X1" s="139"/>
      <c r="Y1" s="139"/>
      <c r="Z1" s="139"/>
      <c r="AA1" s="139"/>
      <c r="AB1" s="139"/>
      <c r="AC1" s="139"/>
      <c r="AD1" s="139"/>
      <c r="AE1" s="139"/>
      <c r="AF1" s="139"/>
      <c r="AG1" s="139"/>
      <c r="AH1" s="139"/>
      <c r="AI1" s="139"/>
      <c r="AJ1" s="139"/>
      <c r="AK1" s="139"/>
      <c r="AL1" s="139"/>
      <c r="AM1" s="139"/>
      <c r="AN1" s="139"/>
    </row>
    <row r="2" spans="1:44" ht="14.25">
      <c r="A2" s="19"/>
      <c r="B2" s="2"/>
      <c r="C2" s="3"/>
      <c r="D2" s="3"/>
      <c r="E2" s="141" t="s">
        <v>3</v>
      </c>
      <c r="F2" s="139"/>
      <c r="G2" s="139"/>
      <c r="H2" s="139"/>
      <c r="I2" s="139"/>
      <c r="J2" s="139"/>
      <c r="K2" s="139"/>
      <c r="L2" s="139"/>
      <c r="M2" s="139"/>
      <c r="N2" s="139"/>
      <c r="O2" s="139"/>
      <c r="P2" s="142" t="s">
        <v>90</v>
      </c>
      <c r="Q2" s="139"/>
      <c r="R2" s="139"/>
      <c r="S2" s="139"/>
      <c r="T2" s="143" t="s">
        <v>5</v>
      </c>
      <c r="U2" s="139"/>
      <c r="V2" s="139"/>
      <c r="W2" s="139"/>
      <c r="X2" s="139"/>
      <c r="Y2" s="139"/>
      <c r="Z2" s="144" t="s">
        <v>6</v>
      </c>
      <c r="AA2" s="139"/>
      <c r="AB2" s="139"/>
      <c r="AC2" s="139"/>
      <c r="AD2" s="139"/>
      <c r="AE2" s="139"/>
      <c r="AF2" s="142" t="s">
        <v>4</v>
      </c>
      <c r="AG2" s="139"/>
      <c r="AH2" s="139"/>
      <c r="AI2" s="139"/>
      <c r="AJ2" s="139"/>
      <c r="AK2" s="139"/>
      <c r="AL2" s="139"/>
      <c r="AM2" s="145" t="s">
        <v>7</v>
      </c>
      <c r="AN2" s="139"/>
    </row>
    <row r="3" spans="1:44"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230</v>
      </c>
      <c r="AM3" s="16" t="s">
        <v>35</v>
      </c>
      <c r="AN3" s="17" t="s">
        <v>36</v>
      </c>
      <c r="AP3" s="107" t="s">
        <v>202</v>
      </c>
    </row>
    <row r="4" spans="1:44"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c r="AR4" s="135"/>
    </row>
    <row r="5" spans="1:44"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c r="AR5" s="135"/>
    </row>
    <row r="6" spans="1:44"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c r="AR6" s="135"/>
    </row>
    <row r="7" spans="1:44"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c r="AR7" s="135"/>
    </row>
    <row r="8" spans="1:44"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c r="AR8" s="135"/>
    </row>
    <row r="9" spans="1:44"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c r="AR9" s="135"/>
    </row>
    <row r="10" spans="1:44"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c r="AR10" s="135"/>
    </row>
    <row r="11" spans="1:44"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c r="AR11" s="135"/>
    </row>
    <row r="12" spans="1:44"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c r="AR12" s="135"/>
    </row>
    <row r="13" spans="1:44"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c r="AR13" s="135"/>
    </row>
    <row r="14" spans="1:44"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c r="AR14" s="135"/>
    </row>
    <row r="15" spans="1:44"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c r="AR15" s="135"/>
    </row>
    <row r="16" spans="1:44"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c r="AR16" s="135"/>
    </row>
    <row r="17" spans="1:44"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c r="AR17" s="135"/>
    </row>
    <row r="18" spans="1:44"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c r="AR18" s="135"/>
    </row>
    <row r="19" spans="1:44"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c r="AR19" s="135"/>
    </row>
    <row r="20" spans="1:44"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c r="AR20" s="135"/>
    </row>
    <row r="21" spans="1:44"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c r="AR21" s="135"/>
    </row>
    <row r="22" spans="1:44"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c r="AR22" s="135"/>
    </row>
    <row r="23" spans="1:44"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c r="AR23" s="135"/>
    </row>
    <row r="24" spans="1:44"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c r="AR24" s="135"/>
    </row>
    <row r="25" spans="1:44"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c r="AR25" s="135"/>
    </row>
    <row r="26" spans="1:44"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c r="AR26" s="135"/>
    </row>
    <row r="27" spans="1:44"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c r="AR27" s="135"/>
    </row>
    <row r="28" spans="1:44"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c r="AR28" s="135"/>
    </row>
    <row r="29" spans="1:44"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c r="AR29" s="135"/>
    </row>
    <row r="30" spans="1:44" ht="15" customHeight="1">
      <c r="AO30" s="108" t="s">
        <v>193</v>
      </c>
      <c r="AP30" s="60">
        <f>COUNTIF(AP4:AP29, 6)</f>
        <v>12</v>
      </c>
    </row>
    <row r="31" spans="1:44" ht="15" customHeight="1">
      <c r="AM31" s="65"/>
      <c r="AO31" s="108" t="s">
        <v>194</v>
      </c>
      <c r="AP31" s="60">
        <f>COUNTIF(AP4:AP29, 5)</f>
        <v>3</v>
      </c>
    </row>
    <row r="32" spans="1:44" ht="37.5" customHeight="1">
      <c r="P32" s="87" t="s">
        <v>23</v>
      </c>
      <c r="Q32" s="87" t="s">
        <v>24</v>
      </c>
      <c r="R32" s="87" t="s">
        <v>91</v>
      </c>
      <c r="S32" s="87" t="s">
        <v>92</v>
      </c>
      <c r="AO32" s="108" t="s">
        <v>195</v>
      </c>
      <c r="AP32">
        <f>COUNTIF(AP4:AP29, 4)</f>
        <v>4</v>
      </c>
    </row>
    <row r="33" spans="15:42" ht="15" customHeight="1">
      <c r="O33" s="86" t="s">
        <v>176</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196</v>
      </c>
      <c r="AP33">
        <f>COUNTIF(AP4:AP29, 3)</f>
        <v>1</v>
      </c>
    </row>
    <row r="34" spans="15:42" ht="15" customHeight="1">
      <c r="O34" s="86" t="s">
        <v>177</v>
      </c>
      <c r="P34">
        <f>MIN(P4:P29)</f>
        <v>19</v>
      </c>
      <c r="Q34" s="18">
        <f t="shared" ref="Q34:S34" si="6">MIN(Q4:Q29)</f>
        <v>1</v>
      </c>
      <c r="R34" s="18">
        <f t="shared" si="6"/>
        <v>7</v>
      </c>
      <c r="S34" s="18">
        <f t="shared" si="6"/>
        <v>0</v>
      </c>
      <c r="Y34" s="86" t="s">
        <v>174</v>
      </c>
      <c r="Z34">
        <f>COUNTIF(Z4:Z29,"y")</f>
        <v>23</v>
      </c>
      <c r="AA34" s="18">
        <f>COUNTIF(AA4:AA29,"y")</f>
        <v>21</v>
      </c>
      <c r="AB34" s="18">
        <f>COUNTIF(AB4:AB29,"y")</f>
        <v>22</v>
      </c>
      <c r="AC34" s="18">
        <f t="shared" ref="AC34:AE34" si="7">COUNTIF(AC4:AC29,"y")</f>
        <v>19</v>
      </c>
      <c r="AD34" s="18">
        <f t="shared" si="7"/>
        <v>15</v>
      </c>
      <c r="AE34" s="18">
        <f t="shared" si="7"/>
        <v>12</v>
      </c>
      <c r="AL34" s="21"/>
      <c r="AO34" s="108" t="s">
        <v>198</v>
      </c>
      <c r="AP34">
        <f>COUNTIF(AP4:AP29, 2)</f>
        <v>2</v>
      </c>
    </row>
    <row r="35" spans="15:42" ht="15" customHeight="1">
      <c r="O35" s="86" t="s">
        <v>178</v>
      </c>
      <c r="P35">
        <f>MAX(P4:P29)</f>
        <v>64</v>
      </c>
      <c r="Q35" s="18">
        <f t="shared" ref="Q35:S35" si="8">MAX(Q4:Q29)</f>
        <v>21</v>
      </c>
      <c r="R35" s="18">
        <f t="shared" si="8"/>
        <v>33</v>
      </c>
      <c r="S35" s="18">
        <f t="shared" si="8"/>
        <v>9</v>
      </c>
      <c r="Y35" s="86" t="s">
        <v>175</v>
      </c>
      <c r="Z35">
        <f>COUNTIF(Z4:Z29,"n")</f>
        <v>3</v>
      </c>
      <c r="AA35" s="18">
        <f t="shared" ref="AA35:AE35" si="9">COUNTIF(AA4:AA29,"n")</f>
        <v>5</v>
      </c>
      <c r="AB35" s="18">
        <f t="shared" si="9"/>
        <v>4</v>
      </c>
      <c r="AC35" s="18">
        <f t="shared" si="9"/>
        <v>7</v>
      </c>
      <c r="AD35" s="18">
        <f t="shared" si="9"/>
        <v>11</v>
      </c>
      <c r="AE35" s="18">
        <f t="shared" si="9"/>
        <v>14</v>
      </c>
      <c r="AO35" s="108" t="s">
        <v>197</v>
      </c>
      <c r="AP35">
        <f>COUNTIF(AP4:AP29, 1)</f>
        <v>2</v>
      </c>
    </row>
    <row r="36" spans="15:42" ht="15" customHeight="1">
      <c r="O36" s="86" t="s">
        <v>179</v>
      </c>
      <c r="P36" s="89">
        <f>_xlfn.STDEV.P(P4:P29)</f>
        <v>11.835159733487325</v>
      </c>
      <c r="Q36" s="89">
        <f t="shared" ref="Q36:S36" si="10">_xlfn.STDEV.P(Q4:Q29)</f>
        <v>5.0786710277674043</v>
      </c>
      <c r="R36" s="89">
        <f t="shared" si="10"/>
        <v>6.2307692307692308</v>
      </c>
      <c r="S36" s="89">
        <f t="shared" si="10"/>
        <v>2.4494897427831779</v>
      </c>
      <c r="AO36" s="108" t="s">
        <v>199</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174</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175</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176</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176</v>
      </c>
      <c r="AP42" s="92">
        <f>AVERAGE(AM4:AM29) * 1440</f>
        <v>92.692307692307679</v>
      </c>
    </row>
    <row r="43" spans="15:42" ht="15" customHeight="1">
      <c r="AE43" s="86" t="s">
        <v>177</v>
      </c>
      <c r="AF43" s="90">
        <f>MIN(AF4:AF29)</f>
        <v>7</v>
      </c>
      <c r="AG43" s="90">
        <f t="shared" ref="AG43:AL43" si="14">MIN(AG4:AG29)</f>
        <v>2</v>
      </c>
      <c r="AH43" s="90">
        <f t="shared" si="14"/>
        <v>11</v>
      </c>
      <c r="AI43" s="90">
        <f t="shared" si="14"/>
        <v>0</v>
      </c>
      <c r="AJ43" s="90">
        <f t="shared" si="14"/>
        <v>0</v>
      </c>
      <c r="AK43" s="90">
        <f t="shared" si="14"/>
        <v>8</v>
      </c>
      <c r="AL43" s="90">
        <f t="shared" si="14"/>
        <v>0</v>
      </c>
      <c r="AO43" s="86" t="s">
        <v>177</v>
      </c>
      <c r="AP43" s="88">
        <f>MIN(AM4:AM29) * 1440</f>
        <v>34.999999999999957</v>
      </c>
    </row>
    <row r="44" spans="15:42" ht="15" customHeight="1">
      <c r="AE44" s="86" t="s">
        <v>178</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178</v>
      </c>
      <c r="AP44" s="88">
        <f>MAX(AM4:AM29) * 1440</f>
        <v>105.00000000000011</v>
      </c>
    </row>
    <row r="45" spans="15:42" ht="15" customHeight="1">
      <c r="AE45" s="86" t="s">
        <v>179</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179</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V1" zoomScaleNormal="100" workbookViewId="0">
      <selection activeCell="AE4" sqref="AE4:AE29"/>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38" t="s">
        <v>1</v>
      </c>
      <c r="F1" s="139"/>
      <c r="G1" s="139"/>
      <c r="H1" s="139"/>
      <c r="I1" s="139"/>
      <c r="J1" s="139"/>
      <c r="K1" s="139"/>
      <c r="L1" s="139"/>
      <c r="M1" s="139"/>
      <c r="N1" s="139"/>
      <c r="O1" s="139"/>
      <c r="P1" s="139"/>
      <c r="Q1" s="139"/>
      <c r="R1" s="139"/>
      <c r="S1" s="139"/>
      <c r="T1" s="140" t="s">
        <v>2</v>
      </c>
      <c r="U1" s="139"/>
      <c r="V1" s="139"/>
      <c r="W1" s="139"/>
      <c r="X1" s="139"/>
      <c r="Y1" s="139"/>
      <c r="Z1" s="139"/>
      <c r="AA1" s="139"/>
      <c r="AB1" s="139"/>
      <c r="AC1" s="139"/>
      <c r="AD1" s="139"/>
      <c r="AE1" s="139"/>
      <c r="AF1" s="139"/>
      <c r="AG1" s="139"/>
      <c r="AH1" s="139"/>
      <c r="AI1" s="139"/>
      <c r="AJ1" s="139"/>
      <c r="AK1" s="139"/>
      <c r="AL1" s="139"/>
      <c r="AM1" s="139"/>
      <c r="AN1" s="139"/>
    </row>
    <row r="2" spans="1:42" ht="14.25">
      <c r="A2" s="4"/>
      <c r="B2" s="2"/>
      <c r="C2" s="3"/>
      <c r="D2" s="3"/>
      <c r="E2" s="141" t="s">
        <v>3</v>
      </c>
      <c r="F2" s="139"/>
      <c r="G2" s="139"/>
      <c r="H2" s="139"/>
      <c r="I2" s="139"/>
      <c r="J2" s="139"/>
      <c r="K2" s="139"/>
      <c r="L2" s="139"/>
      <c r="M2" s="139"/>
      <c r="N2" s="139"/>
      <c r="O2" s="139"/>
      <c r="P2" s="142" t="s">
        <v>4</v>
      </c>
      <c r="Q2" s="139"/>
      <c r="R2" s="139"/>
      <c r="S2" s="139"/>
      <c r="T2" s="143" t="s">
        <v>5</v>
      </c>
      <c r="U2" s="139"/>
      <c r="V2" s="139"/>
      <c r="W2" s="139"/>
      <c r="X2" s="139"/>
      <c r="Y2" s="139"/>
      <c r="Z2" s="144" t="s">
        <v>6</v>
      </c>
      <c r="AA2" s="139"/>
      <c r="AB2" s="139"/>
      <c r="AC2" s="139"/>
      <c r="AD2" s="139"/>
      <c r="AE2" s="139"/>
      <c r="AF2" s="142" t="s">
        <v>4</v>
      </c>
      <c r="AG2" s="139"/>
      <c r="AH2" s="139"/>
      <c r="AI2" s="139"/>
      <c r="AJ2" s="139"/>
      <c r="AK2" s="139"/>
      <c r="AL2" s="139"/>
      <c r="AM2" s="145" t="s">
        <v>7</v>
      </c>
      <c r="AN2" s="139"/>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230</v>
      </c>
      <c r="AM3" s="16" t="s">
        <v>35</v>
      </c>
      <c r="AN3" s="17" t="s">
        <v>36</v>
      </c>
      <c r="AP3" s="107" t="s">
        <v>202</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0">
        <v>0</v>
      </c>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193</v>
      </c>
      <c r="AP30" s="60">
        <f>COUNTIF(AP4:AP29, 6)</f>
        <v>21</v>
      </c>
    </row>
    <row r="31" spans="1:42" ht="15" customHeight="1">
      <c r="AO31" s="108" t="s">
        <v>194</v>
      </c>
      <c r="AP31" s="60">
        <f>COUNTIF(AP4:AP29, 5)</f>
        <v>1</v>
      </c>
    </row>
    <row r="32" spans="1:42" ht="33.75" customHeight="1">
      <c r="O32" s="18"/>
      <c r="P32" s="87" t="s">
        <v>23</v>
      </c>
      <c r="Q32" s="87" t="s">
        <v>24</v>
      </c>
      <c r="R32" s="87" t="s">
        <v>91</v>
      </c>
      <c r="S32" s="87" t="s">
        <v>92</v>
      </c>
      <c r="AO32" s="108" t="s">
        <v>195</v>
      </c>
      <c r="AP32" s="105">
        <f>COUNTIF(AP4:AP29, 4)</f>
        <v>4</v>
      </c>
    </row>
    <row r="33" spans="15:42" ht="15" customHeight="1">
      <c r="O33" s="86" t="s">
        <v>176</v>
      </c>
      <c r="P33" s="89">
        <f>AVERAGE(P4:P29)</f>
        <v>36.46153846153846</v>
      </c>
      <c r="Q33" s="89">
        <f t="shared" ref="Q33:R33" si="4">AVERAGE(Q4:Q29)</f>
        <v>4.5384615384615383</v>
      </c>
      <c r="R33" s="89">
        <f t="shared" si="4"/>
        <v>10.346153846153847</v>
      </c>
      <c r="S33" s="89">
        <f>AVERAGE(S4:S29)</f>
        <v>2.2307692307692308</v>
      </c>
      <c r="Y33" s="18"/>
      <c r="Z33" s="83" t="s">
        <v>14</v>
      </c>
      <c r="AA33" s="83" t="s">
        <v>15</v>
      </c>
      <c r="AB33" s="84" t="s">
        <v>17</v>
      </c>
      <c r="AC33" s="84" t="s">
        <v>18</v>
      </c>
      <c r="AD33" s="84" t="s">
        <v>20</v>
      </c>
      <c r="AE33" s="84" t="s">
        <v>27</v>
      </c>
      <c r="AO33" s="108" t="s">
        <v>196</v>
      </c>
      <c r="AP33" s="105">
        <f>COUNTIF(AP4:AP29, 3)</f>
        <v>0</v>
      </c>
    </row>
    <row r="34" spans="15:42" ht="15" customHeight="1">
      <c r="O34" s="86" t="s">
        <v>177</v>
      </c>
      <c r="P34" s="18">
        <f>MIN(P4:P29)</f>
        <v>9</v>
      </c>
      <c r="Q34" s="18">
        <f t="shared" ref="Q34:S34" si="5">MIN(Q4:Q29)</f>
        <v>0</v>
      </c>
      <c r="R34" s="18">
        <f t="shared" si="5"/>
        <v>1</v>
      </c>
      <c r="S34" s="18">
        <f t="shared" si="5"/>
        <v>0</v>
      </c>
      <c r="Y34" s="86" t="s">
        <v>174</v>
      </c>
      <c r="Z34" s="18">
        <f>COUNTIF(Z4:Z29,"y")</f>
        <v>26</v>
      </c>
      <c r="AA34" s="18">
        <f>COUNTIF(AA4:AA29,"y")</f>
        <v>26</v>
      </c>
      <c r="AB34" s="18">
        <f>COUNTIF(AB4:AB29,"y")</f>
        <v>26</v>
      </c>
      <c r="AC34" s="18">
        <f t="shared" ref="AC34:AE34" si="6">COUNTIF(AC4:AC29,"y")</f>
        <v>25</v>
      </c>
      <c r="AD34" s="18">
        <f t="shared" si="6"/>
        <v>22</v>
      </c>
      <c r="AE34" s="18">
        <f t="shared" si="6"/>
        <v>22</v>
      </c>
      <c r="AO34" s="108" t="s">
        <v>198</v>
      </c>
      <c r="AP34" s="105">
        <f>COUNTIF(AP4:AP29, 2)</f>
        <v>0</v>
      </c>
    </row>
    <row r="35" spans="15:42" ht="15" customHeight="1">
      <c r="O35" s="86" t="s">
        <v>178</v>
      </c>
      <c r="P35" s="18">
        <f>MAX(P4:P29)</f>
        <v>85</v>
      </c>
      <c r="Q35" s="18">
        <f t="shared" ref="Q35:S35" si="7">MAX(Q4:Q29)</f>
        <v>15</v>
      </c>
      <c r="R35" s="18">
        <f t="shared" si="7"/>
        <v>37</v>
      </c>
      <c r="S35" s="18">
        <f t="shared" si="7"/>
        <v>8</v>
      </c>
      <c r="Y35" s="86" t="s">
        <v>175</v>
      </c>
      <c r="Z35" s="18">
        <f>COUNTIF(Z4:Z29,"n")</f>
        <v>0</v>
      </c>
      <c r="AA35" s="18">
        <f t="shared" ref="AA35:AE35" si="8">COUNTIF(AA4:AA29,"n")</f>
        <v>0</v>
      </c>
      <c r="AB35" s="18">
        <f t="shared" si="8"/>
        <v>0</v>
      </c>
      <c r="AC35" s="18">
        <f t="shared" si="8"/>
        <v>1</v>
      </c>
      <c r="AD35" s="18">
        <f t="shared" si="8"/>
        <v>4</v>
      </c>
      <c r="AE35" s="18">
        <f t="shared" si="8"/>
        <v>4</v>
      </c>
      <c r="AO35" s="108" t="s">
        <v>197</v>
      </c>
      <c r="AP35" s="105">
        <f>COUNTIF(AP4:AP29, 1)</f>
        <v>0</v>
      </c>
    </row>
    <row r="36" spans="15:42" ht="15" customHeight="1">
      <c r="O36" s="86" t="s">
        <v>179</v>
      </c>
      <c r="P36" s="89">
        <f>_xlfn.STDEV.P(P4:P29)</f>
        <v>18.474995095722822</v>
      </c>
      <c r="Q36" s="89">
        <f t="shared" ref="Q36:S36" si="9">_xlfn.STDEV.P(Q4:Q29)</f>
        <v>4.1991827889095941</v>
      </c>
      <c r="R36" s="89">
        <f t="shared" si="9"/>
        <v>8.7042973811450324</v>
      </c>
      <c r="S36" s="89">
        <f t="shared" si="9"/>
        <v>3.0039421830410209</v>
      </c>
      <c r="Y36" s="18"/>
      <c r="Z36" s="18"/>
      <c r="AA36" s="18"/>
      <c r="AB36" s="18"/>
      <c r="AC36" s="18"/>
      <c r="AD36" s="18"/>
      <c r="AE36" s="18"/>
      <c r="AO36" s="108" t="s">
        <v>199</v>
      </c>
      <c r="AP36" s="105">
        <f>COUNTIF(AP4:AP29, 0)</f>
        <v>0</v>
      </c>
    </row>
    <row r="38" spans="15:42" ht="15" customHeight="1">
      <c r="S38" s="18"/>
      <c r="T38" s="85" t="s">
        <v>14</v>
      </c>
      <c r="U38" s="85" t="s">
        <v>15</v>
      </c>
      <c r="V38" s="85" t="s">
        <v>17</v>
      </c>
      <c r="W38" s="85" t="s">
        <v>18</v>
      </c>
      <c r="X38" s="85" t="s">
        <v>20</v>
      </c>
      <c r="Y38" s="85" t="s">
        <v>27</v>
      </c>
    </row>
    <row r="39" spans="15:42" ht="15" customHeight="1">
      <c r="S39" s="86" t="s">
        <v>174</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175</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176</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176</v>
      </c>
      <c r="AP42" s="92">
        <f>AVERAGE(AM4:AM29) * 1440</f>
        <v>66.961538461538453</v>
      </c>
    </row>
    <row r="43" spans="15:42" ht="15" customHeight="1">
      <c r="AE43" s="86" t="s">
        <v>177</v>
      </c>
      <c r="AF43" s="91">
        <f>MIN(AF4:AF29)</f>
        <v>11</v>
      </c>
      <c r="AG43" s="91">
        <f t="shared" ref="AG43:AL43" si="13">MIN(AG4:AG29)</f>
        <v>10</v>
      </c>
      <c r="AH43" s="91">
        <f t="shared" si="13"/>
        <v>22</v>
      </c>
      <c r="AI43" s="91">
        <f t="shared" si="13"/>
        <v>0</v>
      </c>
      <c r="AJ43" s="91">
        <f t="shared" si="13"/>
        <v>0</v>
      </c>
      <c r="AK43" s="91">
        <f t="shared" si="13"/>
        <v>8</v>
      </c>
      <c r="AL43" s="91">
        <f t="shared" si="13"/>
        <v>0</v>
      </c>
      <c r="AO43" s="86" t="s">
        <v>177</v>
      </c>
      <c r="AP43" s="88">
        <f>MIN(AM4:AM29) * 1440</f>
        <v>28.00000000000006</v>
      </c>
    </row>
    <row r="44" spans="15:42" ht="15" customHeight="1">
      <c r="AE44" s="86" t="s">
        <v>178</v>
      </c>
      <c r="AF44" s="89">
        <f>MAX(AF4:AF29)</f>
        <v>24</v>
      </c>
      <c r="AG44" s="89">
        <f t="shared" ref="AG44:AL44" si="14">MAX(AG4:AG29)</f>
        <v>22</v>
      </c>
      <c r="AH44" s="89">
        <f t="shared" si="14"/>
        <v>44</v>
      </c>
      <c r="AI44" s="89">
        <f t="shared" si="14"/>
        <v>4</v>
      </c>
      <c r="AJ44" s="89">
        <f t="shared" si="14"/>
        <v>7</v>
      </c>
      <c r="AK44" s="89">
        <f t="shared" si="14"/>
        <v>29</v>
      </c>
      <c r="AL44" s="89">
        <f t="shared" si="14"/>
        <v>2</v>
      </c>
      <c r="AO44" s="86" t="s">
        <v>178</v>
      </c>
      <c r="AP44" s="88">
        <f>MAX(AM4:AM29) * 1440</f>
        <v>105.00000000000011</v>
      </c>
    </row>
    <row r="45" spans="15:42" ht="15" customHeight="1">
      <c r="AE45" s="86" t="s">
        <v>179</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179</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827FB-404C-429A-B896-2608B8C38336}">
  <sheetPr>
    <tabColor theme="8" tint="0.39997558519241921"/>
  </sheetPr>
  <dimension ref="A2:L116"/>
  <sheetViews>
    <sheetView tabSelected="1" topLeftCell="A40" zoomScaleNormal="100" workbookViewId="0">
      <selection activeCell="B43" sqref="B43"/>
    </sheetView>
  </sheetViews>
  <sheetFormatPr defaultRowHeight="14.25"/>
  <cols>
    <col min="2" max="12" width="20.59765625" customWidth="1"/>
  </cols>
  <sheetData>
    <row r="2" spans="2:12">
      <c r="B2" s="141" t="s">
        <v>235</v>
      </c>
      <c r="C2" s="139"/>
      <c r="D2" s="139"/>
      <c r="E2" s="139"/>
      <c r="F2" s="139"/>
      <c r="G2" s="139"/>
      <c r="H2" s="139"/>
      <c r="I2" s="139"/>
      <c r="J2" s="139"/>
      <c r="K2" s="139"/>
      <c r="L2" s="139"/>
    </row>
    <row r="3" spans="2:12" ht="28.5">
      <c r="B3" s="8" t="s">
        <v>12</v>
      </c>
      <c r="C3" s="9" t="s">
        <v>13</v>
      </c>
      <c r="D3" s="9" t="s">
        <v>14</v>
      </c>
      <c r="E3" s="9" t="s">
        <v>15</v>
      </c>
      <c r="F3" s="11" t="s">
        <v>16</v>
      </c>
      <c r="G3" s="11" t="s">
        <v>17</v>
      </c>
      <c r="H3" s="11" t="s">
        <v>18</v>
      </c>
      <c r="I3" s="9" t="s">
        <v>19</v>
      </c>
      <c r="J3" s="9" t="s">
        <v>20</v>
      </c>
      <c r="K3" s="8" t="s">
        <v>21</v>
      </c>
      <c r="L3" s="12" t="s">
        <v>22</v>
      </c>
    </row>
    <row r="4" spans="2:12">
      <c r="B4" s="132">
        <v>0.46458333333333335</v>
      </c>
      <c r="C4" s="132">
        <v>0.46388888888888891</v>
      </c>
      <c r="D4" s="132">
        <v>0.48819444444444443</v>
      </c>
      <c r="E4" s="132">
        <v>0.48819444444444443</v>
      </c>
      <c r="F4" s="132">
        <v>0.46250000000000002</v>
      </c>
      <c r="G4" s="132">
        <v>0.47291666666666665</v>
      </c>
      <c r="H4" s="132">
        <v>0.47361111111111109</v>
      </c>
      <c r="I4" s="132">
        <v>0.46319444444444446</v>
      </c>
      <c r="J4" s="132"/>
      <c r="K4" s="132">
        <v>0.53541666666666665</v>
      </c>
      <c r="L4" s="133"/>
    </row>
    <row r="5" spans="2:12">
      <c r="B5" s="132">
        <v>0.72361111111111109</v>
      </c>
      <c r="C5" s="132">
        <v>0.72083333333333333</v>
      </c>
      <c r="D5" s="132">
        <v>0.7319444444444444</v>
      </c>
      <c r="E5" s="132">
        <v>0.73472222222222228</v>
      </c>
      <c r="F5" s="132">
        <v>0.72083333333333333</v>
      </c>
      <c r="G5" s="132">
        <v>0.73541666666666672</v>
      </c>
      <c r="H5" s="132">
        <v>0.73541666666666672</v>
      </c>
      <c r="I5" s="132">
        <v>0.72222222222222221</v>
      </c>
      <c r="J5" s="132">
        <v>0.75902777777777775</v>
      </c>
      <c r="K5" s="132">
        <v>0.7729166666666667</v>
      </c>
      <c r="L5" s="132">
        <v>3.9444444444444444E-4</v>
      </c>
    </row>
    <row r="6" spans="2:12">
      <c r="B6" s="132">
        <v>0.37569444444444444</v>
      </c>
      <c r="C6" s="132">
        <v>0.37569444444444444</v>
      </c>
      <c r="D6" s="132">
        <v>0.41597222222222224</v>
      </c>
      <c r="E6" s="132">
        <v>0.44722222222222224</v>
      </c>
      <c r="F6" s="132">
        <v>0.37430555555555556</v>
      </c>
      <c r="G6" s="133"/>
      <c r="H6" s="132">
        <v>0.44722222222222224</v>
      </c>
      <c r="I6" s="132">
        <v>0.37430555555555556</v>
      </c>
      <c r="J6" s="133"/>
      <c r="K6" s="132">
        <v>0.44722222222222224</v>
      </c>
      <c r="L6" s="133"/>
    </row>
    <row r="7" spans="2:12">
      <c r="B7" s="132">
        <v>0.65694444444444444</v>
      </c>
      <c r="C7" s="132">
        <v>0.65694444444444444</v>
      </c>
      <c r="D7" s="132">
        <v>0.68055555555555558</v>
      </c>
      <c r="E7" s="132">
        <v>0.70138888888888884</v>
      </c>
      <c r="F7" s="132">
        <v>0.65833333333333333</v>
      </c>
      <c r="G7" s="132">
        <v>0.69444444444444442</v>
      </c>
      <c r="H7" s="132">
        <v>0.69722222222222219</v>
      </c>
      <c r="I7" s="133"/>
      <c r="J7" s="133"/>
      <c r="K7" s="132">
        <v>0.72916666666666663</v>
      </c>
      <c r="L7" s="133"/>
    </row>
    <row r="8" spans="2:12">
      <c r="B8" s="132">
        <v>0.71458333333333335</v>
      </c>
      <c r="C8" s="132">
        <v>0.71250000000000002</v>
      </c>
      <c r="D8" s="132">
        <v>0.71736111111111112</v>
      </c>
      <c r="E8" s="132">
        <v>0.7368055555555556</v>
      </c>
      <c r="F8" s="132">
        <v>0.71319444444444446</v>
      </c>
      <c r="G8" s="132">
        <v>0.71736111111111112</v>
      </c>
      <c r="H8" s="132">
        <v>0.75277777777777777</v>
      </c>
      <c r="I8" s="132">
        <v>0.71319444444444446</v>
      </c>
      <c r="J8" s="132">
        <v>0.76458333333333328</v>
      </c>
      <c r="K8" s="132">
        <v>0.78402777777777777</v>
      </c>
      <c r="L8" s="133"/>
    </row>
    <row r="9" spans="2:12">
      <c r="B9" s="132">
        <v>0.45</v>
      </c>
      <c r="C9" s="132">
        <v>0.44930555555555557</v>
      </c>
      <c r="D9" s="132">
        <v>0.45</v>
      </c>
      <c r="E9" s="132">
        <v>0.45277777777777778</v>
      </c>
      <c r="F9" s="132">
        <v>0.45069444444444445</v>
      </c>
      <c r="G9" s="132">
        <v>0.4513888888888889</v>
      </c>
      <c r="H9" s="132">
        <v>0.46319444444444446</v>
      </c>
      <c r="I9" s="132">
        <v>0.46319444444444446</v>
      </c>
      <c r="J9" s="132">
        <v>0.46736111111111112</v>
      </c>
      <c r="K9" s="132">
        <v>0.47361111111111109</v>
      </c>
      <c r="L9" s="132">
        <v>3.8032407407407405E-4</v>
      </c>
    </row>
    <row r="10" spans="2:12">
      <c r="B10" s="132">
        <v>0.38819444444444445</v>
      </c>
      <c r="C10" s="132">
        <v>0.38750000000000001</v>
      </c>
      <c r="D10" s="132">
        <v>0.40277777777777779</v>
      </c>
      <c r="E10" s="132">
        <v>0.40763888888888888</v>
      </c>
      <c r="F10" s="132">
        <v>0.38750000000000001</v>
      </c>
      <c r="G10" s="132">
        <v>0.39791666666666664</v>
      </c>
      <c r="H10" s="132">
        <v>0.41041666666666665</v>
      </c>
      <c r="I10" s="132">
        <v>0.41111111111111109</v>
      </c>
      <c r="J10" s="132">
        <v>0.44583333333333336</v>
      </c>
      <c r="K10" s="132">
        <v>0.44791666666666669</v>
      </c>
      <c r="L10" s="132">
        <v>3.1712962962962961E-4</v>
      </c>
    </row>
    <row r="11" spans="2:12">
      <c r="B11" s="132">
        <v>0.6479166666666667</v>
      </c>
      <c r="C11" s="132">
        <v>0.64444444444444449</v>
      </c>
      <c r="D11" s="132">
        <v>0.65069444444444446</v>
      </c>
      <c r="E11" s="132">
        <v>0.65208333333333335</v>
      </c>
      <c r="F11" s="132">
        <v>0.64722222222222225</v>
      </c>
      <c r="G11" s="132">
        <v>0.6479166666666667</v>
      </c>
      <c r="H11" s="132">
        <v>0.65069444444444446</v>
      </c>
      <c r="I11" s="132">
        <v>0.67013888888888884</v>
      </c>
      <c r="J11" s="132">
        <v>0.6791666666666667</v>
      </c>
      <c r="K11" s="132">
        <v>0.70625000000000004</v>
      </c>
      <c r="L11" s="132">
        <v>4.7777777777777781E-4</v>
      </c>
    </row>
    <row r="12" spans="2:12">
      <c r="B12" s="132">
        <v>0.73263888888888884</v>
      </c>
      <c r="C12" s="132">
        <v>0.72986111111111107</v>
      </c>
      <c r="D12" s="132">
        <v>0.73333333333333328</v>
      </c>
      <c r="E12" s="132">
        <v>0.73819444444444449</v>
      </c>
      <c r="F12" s="134">
        <v>0.73055555555555551</v>
      </c>
      <c r="G12" s="132">
        <v>0.73888888888888893</v>
      </c>
      <c r="H12" s="132">
        <v>0.75138888888888888</v>
      </c>
      <c r="I12" s="132">
        <v>0.74791666666666667</v>
      </c>
      <c r="J12" s="132"/>
      <c r="K12" s="132">
        <v>0.80277777777777781</v>
      </c>
      <c r="L12" s="132"/>
    </row>
    <row r="13" spans="2:12">
      <c r="B13" s="132">
        <v>0.63124999999999998</v>
      </c>
      <c r="C13" s="132">
        <v>0.62986111111111109</v>
      </c>
      <c r="D13" s="132">
        <v>0.62986111111111109</v>
      </c>
      <c r="E13" s="132">
        <v>0.63055555555555554</v>
      </c>
      <c r="F13" s="132">
        <v>0.63124999999999998</v>
      </c>
      <c r="G13" s="132">
        <v>0.69930555555555551</v>
      </c>
      <c r="H13" s="132">
        <v>0.70208333333333328</v>
      </c>
      <c r="I13" s="133"/>
      <c r="J13" s="133"/>
      <c r="K13" s="132">
        <v>0.70208333333333328</v>
      </c>
      <c r="L13" s="133"/>
    </row>
    <row r="14" spans="2:12">
      <c r="B14" s="132">
        <v>0.7270833333333333</v>
      </c>
      <c r="C14" s="132">
        <v>0.72430555555555554</v>
      </c>
      <c r="D14" s="132">
        <v>0.74236111111111114</v>
      </c>
      <c r="E14" s="132">
        <v>0.74583333333333335</v>
      </c>
      <c r="F14" s="132">
        <v>0.75624999999999998</v>
      </c>
      <c r="G14" s="132">
        <v>0.75694444444444442</v>
      </c>
      <c r="H14" s="132">
        <v>0.7631944444444444</v>
      </c>
      <c r="I14" s="132">
        <v>0.76388888888888884</v>
      </c>
      <c r="J14" s="133"/>
      <c r="K14" s="132">
        <v>0.79513888888888884</v>
      </c>
      <c r="L14" s="133"/>
    </row>
    <row r="15" spans="2:12">
      <c r="B15" s="132">
        <v>0.70625000000000004</v>
      </c>
      <c r="C15" s="132">
        <v>0.70625000000000004</v>
      </c>
      <c r="D15" s="132">
        <v>0.71597222222222223</v>
      </c>
      <c r="E15" s="132">
        <v>0.77569444444444446</v>
      </c>
      <c r="F15" s="132">
        <v>0.70972222222222225</v>
      </c>
      <c r="G15" s="132">
        <v>0.74513888888888891</v>
      </c>
      <c r="H15" s="132">
        <v>0.75694444444444442</v>
      </c>
      <c r="I15" s="132">
        <v>0.72083333333333333</v>
      </c>
      <c r="J15" s="133"/>
      <c r="K15" s="132">
        <v>0.77569444444444446</v>
      </c>
      <c r="L15" s="133"/>
    </row>
    <row r="16" spans="2:12">
      <c r="B16" s="132">
        <v>0.66805555555555551</v>
      </c>
      <c r="C16" s="132">
        <v>0.66249999999999998</v>
      </c>
      <c r="D16" s="132">
        <v>0.68125000000000002</v>
      </c>
      <c r="E16" s="132">
        <v>0.68402777777777779</v>
      </c>
      <c r="F16" s="132">
        <v>0.66388888888888886</v>
      </c>
      <c r="G16" s="132">
        <v>0.68263888888888891</v>
      </c>
      <c r="H16" s="132">
        <v>0.68611111111111112</v>
      </c>
      <c r="I16" s="132">
        <v>0.66666666666666663</v>
      </c>
      <c r="J16" s="132">
        <v>0.69166666666666665</v>
      </c>
      <c r="K16" s="132">
        <v>0.73541666666666672</v>
      </c>
      <c r="L16" s="132">
        <v>2.4062499999999998E-4</v>
      </c>
    </row>
    <row r="17" spans="2:12">
      <c r="B17" s="132">
        <v>0.73124999999999996</v>
      </c>
      <c r="C17" s="132">
        <v>0.73124999999999996</v>
      </c>
      <c r="D17" s="132">
        <v>0.74652777777777779</v>
      </c>
      <c r="E17" s="132">
        <v>0.77638888888888891</v>
      </c>
      <c r="F17" s="132">
        <v>0.73124999999999996</v>
      </c>
      <c r="G17" s="132">
        <v>0.77430555555555558</v>
      </c>
      <c r="H17" s="132">
        <v>0.77916666666666667</v>
      </c>
      <c r="I17" s="132">
        <v>0.78125</v>
      </c>
      <c r="J17" s="132">
        <v>0.78194444444444444</v>
      </c>
      <c r="K17" s="132">
        <v>0.78194444444444444</v>
      </c>
      <c r="L17" s="132">
        <v>4.4247685185185183E-4</v>
      </c>
    </row>
    <row r="18" spans="2:12">
      <c r="B18" s="132">
        <v>0.72986111111111107</v>
      </c>
      <c r="C18" s="132">
        <v>0.72847222222222219</v>
      </c>
      <c r="D18" s="132">
        <v>0.75</v>
      </c>
      <c r="E18" s="132">
        <v>0.80069444444444449</v>
      </c>
      <c r="F18" s="132">
        <v>0.72847222222222219</v>
      </c>
      <c r="G18" s="132">
        <v>0.73472222222222228</v>
      </c>
      <c r="H18" s="132">
        <v>0.80069444444444449</v>
      </c>
      <c r="I18" s="132">
        <v>0.72916666666666663</v>
      </c>
      <c r="J18" s="133"/>
      <c r="K18" s="132">
        <v>0.80069444444444449</v>
      </c>
      <c r="L18" s="133"/>
    </row>
    <row r="19" spans="2:12">
      <c r="B19" s="132">
        <v>0.37777777777777777</v>
      </c>
      <c r="C19" s="132">
        <v>0.37847222222222221</v>
      </c>
      <c r="D19" s="132">
        <v>0.38333333333333336</v>
      </c>
      <c r="E19" s="132">
        <v>0.42777777777777776</v>
      </c>
      <c r="F19" s="132">
        <v>0.38750000000000001</v>
      </c>
      <c r="G19" s="132">
        <v>0.42916666666666664</v>
      </c>
      <c r="H19" s="132">
        <v>0.42916666666666664</v>
      </c>
      <c r="I19" s="132">
        <v>0.4</v>
      </c>
      <c r="J19" s="133"/>
      <c r="K19" s="132">
        <v>0.45069444444444445</v>
      </c>
      <c r="L19" s="133"/>
    </row>
    <row r="20" spans="2:12">
      <c r="B20" s="132">
        <v>0.43333333333333335</v>
      </c>
      <c r="C20" s="132">
        <v>0.43125000000000002</v>
      </c>
      <c r="D20" s="132">
        <v>0.44374999999999998</v>
      </c>
      <c r="E20" s="132">
        <v>0.44930555555555557</v>
      </c>
      <c r="F20" s="132">
        <v>0.43263888888888891</v>
      </c>
      <c r="G20" s="132">
        <v>0.43333333333333335</v>
      </c>
      <c r="H20" s="132">
        <v>0.45347222222222222</v>
      </c>
      <c r="I20" s="132">
        <v>0.45347222222222222</v>
      </c>
      <c r="J20" s="132">
        <v>0.49236111111111114</v>
      </c>
      <c r="K20" s="132">
        <v>0.49305555555555558</v>
      </c>
      <c r="L20" s="132">
        <v>3.3495370370370374E-4</v>
      </c>
    </row>
    <row r="21" spans="2:12">
      <c r="B21" s="132">
        <v>0.72499999999999998</v>
      </c>
      <c r="C21" s="132">
        <v>0.72499999999999998</v>
      </c>
      <c r="D21" s="132">
        <v>0.7270833333333333</v>
      </c>
      <c r="E21" s="132">
        <v>0.73611111111111116</v>
      </c>
      <c r="F21" s="132">
        <v>0.73263888888888884</v>
      </c>
      <c r="G21" s="132">
        <v>0.74444444444444446</v>
      </c>
      <c r="H21" s="132">
        <v>0.74444444444444446</v>
      </c>
      <c r="I21" s="132">
        <v>0.7368055555555556</v>
      </c>
      <c r="J21" s="132">
        <v>0.74513888888888891</v>
      </c>
      <c r="K21" s="132">
        <v>0.77361111111111114</v>
      </c>
      <c r="L21" s="132">
        <v>3.5393518518518516E-4</v>
      </c>
    </row>
    <row r="22" spans="2:12">
      <c r="B22" s="132">
        <v>0.36944444444444446</v>
      </c>
      <c r="C22" s="132">
        <v>0.36875000000000002</v>
      </c>
      <c r="D22" s="132">
        <v>0.38819444444444445</v>
      </c>
      <c r="E22" s="132">
        <v>0.39791666666666664</v>
      </c>
      <c r="F22" s="132">
        <v>0.37361111111111112</v>
      </c>
      <c r="G22" s="132">
        <v>0.37847222222222221</v>
      </c>
      <c r="H22" s="132">
        <v>0.37847222222222221</v>
      </c>
      <c r="I22" s="132">
        <v>0.37430555555555556</v>
      </c>
      <c r="J22" s="132">
        <v>0.40763888888888888</v>
      </c>
      <c r="K22" s="132">
        <v>0.4201388888888889</v>
      </c>
      <c r="L22" s="132">
        <v>6.082175925925926E-4</v>
      </c>
    </row>
    <row r="23" spans="2:12">
      <c r="B23" s="132">
        <v>0.48402777777777778</v>
      </c>
      <c r="C23" s="132">
        <v>0.47916666666666669</v>
      </c>
      <c r="D23" s="132">
        <v>0.49444444444444446</v>
      </c>
      <c r="E23" s="132">
        <v>0.50208333333333333</v>
      </c>
      <c r="F23" s="132">
        <v>0.47916666666666669</v>
      </c>
      <c r="G23" s="132">
        <v>0.49027777777777776</v>
      </c>
      <c r="H23" s="132">
        <v>0.5083333333333333</v>
      </c>
      <c r="I23" s="132">
        <v>0.51041666666666663</v>
      </c>
      <c r="J23" s="132">
        <v>0.51875000000000004</v>
      </c>
      <c r="K23" s="132">
        <v>0.51875000000000004</v>
      </c>
      <c r="L23" s="132">
        <v>3.6724537037037037E-4</v>
      </c>
    </row>
    <row r="24" spans="2:12">
      <c r="B24" s="132">
        <v>0.37986111111111109</v>
      </c>
      <c r="C24" s="132">
        <v>0.36875000000000002</v>
      </c>
      <c r="D24" s="132">
        <v>0.3888888888888889</v>
      </c>
      <c r="E24" s="132">
        <v>0.40277777777777779</v>
      </c>
      <c r="F24" s="132">
        <v>0.36875000000000002</v>
      </c>
      <c r="G24" s="132">
        <v>0.40277777777777779</v>
      </c>
      <c r="H24" s="132">
        <v>0.40347222222222223</v>
      </c>
      <c r="I24" s="132">
        <v>0.38611111111111113</v>
      </c>
      <c r="J24" s="132">
        <v>0.43541666666666667</v>
      </c>
      <c r="K24" s="132">
        <v>0.44097222222222221</v>
      </c>
      <c r="L24" s="133"/>
    </row>
    <row r="25" spans="2:12">
      <c r="B25" s="132">
        <v>0.65416666666666667</v>
      </c>
      <c r="C25" s="132">
        <v>0.65208333333333335</v>
      </c>
      <c r="D25" s="132">
        <v>0.65416666666666667</v>
      </c>
      <c r="E25" s="132">
        <v>0.66527777777777775</v>
      </c>
      <c r="F25" s="132">
        <v>0.66597222222222219</v>
      </c>
      <c r="G25" s="132">
        <v>0.66805555555555551</v>
      </c>
      <c r="H25" s="132">
        <v>0.67291666666666672</v>
      </c>
      <c r="I25" s="132">
        <v>0.67569444444444449</v>
      </c>
      <c r="J25" s="132">
        <v>0.67777777777777781</v>
      </c>
      <c r="K25" s="132">
        <v>0.72430555555555554</v>
      </c>
      <c r="L25" s="133"/>
    </row>
    <row r="26" spans="2:12">
      <c r="B26" s="132">
        <v>0.65277777777777779</v>
      </c>
      <c r="C26" s="132">
        <v>0.65208333333333335</v>
      </c>
      <c r="D26" s="132">
        <v>0.68472222222222223</v>
      </c>
      <c r="E26" s="132">
        <v>0.68888888888888888</v>
      </c>
      <c r="F26" s="132">
        <v>0.65555555555555556</v>
      </c>
      <c r="G26" s="134">
        <v>0.67638888888888893</v>
      </c>
      <c r="H26" s="132">
        <v>0.69513888888888886</v>
      </c>
      <c r="I26" s="132">
        <v>0.66249999999999998</v>
      </c>
      <c r="J26" s="132">
        <v>0.69791666666666663</v>
      </c>
      <c r="K26" s="132">
        <v>0.72430555555555554</v>
      </c>
      <c r="L26" s="133"/>
    </row>
    <row r="27" spans="2:12">
      <c r="B27" s="132">
        <v>0.65208333333333335</v>
      </c>
      <c r="C27" s="132">
        <v>0.65486111111111112</v>
      </c>
      <c r="D27" s="132">
        <v>0.65902777777777777</v>
      </c>
      <c r="E27" s="132">
        <v>0.66111111111111109</v>
      </c>
      <c r="F27" s="132">
        <v>0.65138888888888891</v>
      </c>
      <c r="G27" s="132">
        <v>0.66180555555555554</v>
      </c>
      <c r="H27" s="132">
        <v>0.67291666666666672</v>
      </c>
      <c r="I27" s="132">
        <v>0.67361111111111116</v>
      </c>
      <c r="J27" s="132">
        <v>0.70625000000000004</v>
      </c>
      <c r="K27" s="132">
        <v>0.71180555555555558</v>
      </c>
      <c r="L27" s="132">
        <v>2.4097222222222223E-4</v>
      </c>
    </row>
    <row r="28" spans="2:12">
      <c r="B28" s="132">
        <v>0.69444444444444442</v>
      </c>
      <c r="C28" s="132">
        <v>0.69444444444444442</v>
      </c>
      <c r="D28" s="132">
        <v>0.7006944444444444</v>
      </c>
      <c r="E28" s="132">
        <v>0.70625000000000004</v>
      </c>
      <c r="F28" s="132">
        <v>0.70763888888888893</v>
      </c>
      <c r="G28" s="132">
        <v>0.70972222222222225</v>
      </c>
      <c r="H28" s="132">
        <v>0.71250000000000002</v>
      </c>
      <c r="I28" s="132">
        <v>0.71597222222222223</v>
      </c>
      <c r="J28" s="132">
        <v>0.71666666666666667</v>
      </c>
      <c r="K28" s="132">
        <v>0.75347222222222221</v>
      </c>
      <c r="L28" s="132">
        <v>2.8344907407407404E-4</v>
      </c>
    </row>
    <row r="29" spans="2:12">
      <c r="B29" s="132">
        <v>0.50902777777777775</v>
      </c>
      <c r="C29" s="132">
        <v>0.50694444444444442</v>
      </c>
      <c r="D29" s="132">
        <v>0.50902777777777775</v>
      </c>
      <c r="E29" s="132">
        <v>0.54722222222222228</v>
      </c>
      <c r="F29" s="132">
        <v>0.50763888888888886</v>
      </c>
      <c r="G29" s="132">
        <v>0.50902777777777775</v>
      </c>
      <c r="H29" s="132">
        <v>0.57708333333333328</v>
      </c>
      <c r="I29" s="132">
        <v>0.51597222222222228</v>
      </c>
      <c r="J29" s="133"/>
      <c r="K29" s="133"/>
      <c r="L29" s="132"/>
    </row>
    <row r="30" spans="2:12" s="130" customFormat="1">
      <c r="B30" s="132"/>
      <c r="C30" s="132"/>
      <c r="D30" s="132"/>
      <c r="E30" s="132"/>
      <c r="F30" s="132"/>
      <c r="G30" s="132"/>
      <c r="H30" s="132"/>
      <c r="I30" s="132"/>
      <c r="J30" s="133"/>
      <c r="K30" s="133"/>
      <c r="L30" s="132"/>
    </row>
    <row r="31" spans="2:12">
      <c r="D31" s="9" t="s">
        <v>14</v>
      </c>
      <c r="E31" s="9" t="s">
        <v>15</v>
      </c>
      <c r="G31" s="11" t="s">
        <v>17</v>
      </c>
      <c r="H31" s="11" t="s">
        <v>18</v>
      </c>
      <c r="J31" s="9" t="s">
        <v>20</v>
      </c>
      <c r="K31" s="8" t="s">
        <v>27</v>
      </c>
    </row>
    <row r="32" spans="2:12">
      <c r="C32" s="60"/>
      <c r="D32">
        <f>(D4-C4)*1440</f>
        <v>34.999999999999957</v>
      </c>
      <c r="E32" s="137">
        <f>(E4-D4)*1440</f>
        <v>0</v>
      </c>
      <c r="F32" s="60"/>
      <c r="G32" s="158"/>
      <c r="H32" s="158"/>
      <c r="I32" s="60"/>
      <c r="J32" s="158"/>
      <c r="K32" s="158"/>
      <c r="L32" s="60"/>
    </row>
    <row r="33" spans="3:12">
      <c r="C33" s="60"/>
      <c r="D33" s="137">
        <f t="shared" ref="D33:D57" si="0">(D5-C5)*1440</f>
        <v>15.999999999999943</v>
      </c>
      <c r="E33" s="137">
        <f t="shared" ref="D33:E57" si="1">(E5-D5)*1440</f>
        <v>4.0000000000001457</v>
      </c>
      <c r="F33" s="60"/>
      <c r="G33" s="137">
        <f t="shared" ref="G33:H57" si="2">(G5-F5)*1440</f>
        <v>21.000000000000085</v>
      </c>
      <c r="H33" s="137">
        <f t="shared" si="2"/>
        <v>0</v>
      </c>
      <c r="I33" s="60"/>
      <c r="J33" s="137">
        <f t="shared" ref="J33:K57" si="3">(J5-I5)*1440</f>
        <v>52.999999999999972</v>
      </c>
      <c r="K33" s="137">
        <f t="shared" si="3"/>
        <v>20.000000000000089</v>
      </c>
      <c r="L33" s="60"/>
    </row>
    <row r="34" spans="3:12">
      <c r="C34" s="60"/>
      <c r="D34" s="137">
        <f t="shared" si="0"/>
        <v>58.000000000000036</v>
      </c>
      <c r="E34" s="158"/>
      <c r="F34" s="60"/>
      <c r="G34" s="158"/>
      <c r="H34" s="158"/>
      <c r="I34" s="60"/>
      <c r="J34" s="158"/>
      <c r="K34" s="158"/>
      <c r="L34" s="60"/>
    </row>
    <row r="35" spans="3:12">
      <c r="C35" s="60"/>
      <c r="D35" s="137">
        <f t="shared" si="0"/>
        <v>34.000000000000043</v>
      </c>
      <c r="E35" s="158"/>
      <c r="F35" s="60"/>
      <c r="G35" s="137">
        <f t="shared" si="2"/>
        <v>51.999999999999972</v>
      </c>
      <c r="H35" s="158"/>
      <c r="I35" s="60"/>
      <c r="J35" s="158"/>
      <c r="K35" s="158"/>
      <c r="L35" s="60"/>
    </row>
    <row r="36" spans="3:12">
      <c r="C36" s="60"/>
      <c r="D36" s="158"/>
      <c r="E36" s="158"/>
      <c r="F36" s="60"/>
      <c r="G36" s="137">
        <f t="shared" si="2"/>
        <v>5.9999999999999787</v>
      </c>
      <c r="H36" s="158"/>
      <c r="I36" s="60"/>
      <c r="J36" s="158"/>
      <c r="K36" s="158"/>
      <c r="L36" s="60"/>
    </row>
    <row r="37" spans="3:12">
      <c r="C37" s="60"/>
      <c r="D37" s="137">
        <f t="shared" si="0"/>
        <v>0.99999999999999645</v>
      </c>
      <c r="E37" s="137">
        <f t="shared" si="1"/>
        <v>3.9999999999999858</v>
      </c>
      <c r="F37" s="60"/>
      <c r="G37" s="137">
        <f t="shared" si="2"/>
        <v>0.99999999999999645</v>
      </c>
      <c r="H37" s="137">
        <f t="shared" si="2"/>
        <v>17.000000000000021</v>
      </c>
      <c r="I37" s="60"/>
      <c r="J37" s="137">
        <f t="shared" si="3"/>
        <v>5.9999999999999787</v>
      </c>
      <c r="K37" s="137">
        <f t="shared" si="3"/>
        <v>8.999999999999968</v>
      </c>
      <c r="L37" s="60"/>
    </row>
    <row r="38" spans="3:12">
      <c r="C38" s="60"/>
      <c r="D38" s="137">
        <f t="shared" si="0"/>
        <v>22</v>
      </c>
      <c r="E38" s="137">
        <f t="shared" si="1"/>
        <v>6.9999999999999751</v>
      </c>
      <c r="F38" s="60"/>
      <c r="G38" s="137">
        <f t="shared" si="2"/>
        <v>14.999999999999947</v>
      </c>
      <c r="H38" s="137">
        <f t="shared" si="2"/>
        <v>18.000000000000014</v>
      </c>
      <c r="I38" s="60"/>
      <c r="J38" s="137">
        <f t="shared" si="3"/>
        <v>50.000000000000064</v>
      </c>
      <c r="K38" s="137">
        <f t="shared" si="3"/>
        <v>2.9999999999999893</v>
      </c>
      <c r="L38" s="60"/>
    </row>
    <row r="39" spans="3:12">
      <c r="C39" s="60"/>
      <c r="D39" s="137">
        <f t="shared" si="0"/>
        <v>8.999999999999968</v>
      </c>
      <c r="E39" s="137">
        <f t="shared" si="1"/>
        <v>1.9999999999999929</v>
      </c>
      <c r="F39" s="60"/>
      <c r="G39" s="137">
        <f t="shared" si="2"/>
        <v>0.99999999999999645</v>
      </c>
      <c r="H39" s="137">
        <f t="shared" si="2"/>
        <v>3.9999999999999858</v>
      </c>
      <c r="I39" s="60"/>
      <c r="J39" s="137">
        <f t="shared" si="3"/>
        <v>13.000000000000114</v>
      </c>
      <c r="K39" s="137">
        <f t="shared" si="3"/>
        <v>39.000000000000021</v>
      </c>
      <c r="L39" s="60"/>
    </row>
    <row r="40" spans="3:12">
      <c r="C40" s="60"/>
      <c r="D40" s="137">
        <f t="shared" si="0"/>
        <v>4.9999999999999822</v>
      </c>
      <c r="E40" s="137">
        <f t="shared" si="1"/>
        <v>7.000000000000135</v>
      </c>
      <c r="F40" s="60"/>
      <c r="G40" s="137">
        <f t="shared" si="2"/>
        <v>12.000000000000117</v>
      </c>
      <c r="H40" s="137">
        <f t="shared" si="2"/>
        <v>17.999999999999936</v>
      </c>
      <c r="I40" s="60"/>
      <c r="J40" s="158"/>
      <c r="K40" s="158"/>
      <c r="L40" s="60"/>
    </row>
    <row r="41" spans="3:12">
      <c r="C41" s="60"/>
      <c r="D41" s="137">
        <f t="shared" si="0"/>
        <v>0</v>
      </c>
      <c r="E41" s="137">
        <f t="shared" si="1"/>
        <v>0.99999999999999645</v>
      </c>
      <c r="F41" s="60"/>
      <c r="G41" s="137">
        <f t="shared" si="2"/>
        <v>97.999999999999972</v>
      </c>
      <c r="H41" s="137">
        <f t="shared" si="2"/>
        <v>3.9999999999999858</v>
      </c>
      <c r="I41" s="60"/>
      <c r="J41" s="158"/>
      <c r="K41" s="158"/>
      <c r="L41" s="60"/>
    </row>
    <row r="42" spans="3:12">
      <c r="C42" s="60"/>
      <c r="D42" s="137">
        <f t="shared" si="0"/>
        <v>26.000000000000068</v>
      </c>
      <c r="E42" s="137">
        <f t="shared" si="1"/>
        <v>4.9999999999999822</v>
      </c>
      <c r="F42" s="60"/>
      <c r="G42" s="137">
        <f t="shared" si="2"/>
        <v>0.99999999999999645</v>
      </c>
      <c r="H42" s="137">
        <f t="shared" si="2"/>
        <v>8.999999999999968</v>
      </c>
      <c r="I42" s="60"/>
      <c r="J42" s="158"/>
      <c r="K42" s="158"/>
      <c r="L42" s="60"/>
    </row>
    <row r="43" spans="3:12">
      <c r="C43" s="60"/>
      <c r="D43" s="158"/>
      <c r="E43" s="158"/>
      <c r="F43" s="60"/>
      <c r="G43" s="158"/>
      <c r="H43" s="158"/>
      <c r="I43" s="60"/>
      <c r="J43" s="158"/>
      <c r="K43" s="158"/>
      <c r="L43" s="60"/>
    </row>
    <row r="44" spans="3:12">
      <c r="C44" s="60"/>
      <c r="D44" s="137">
        <f t="shared" si="0"/>
        <v>27.000000000000064</v>
      </c>
      <c r="E44" s="137">
        <f t="shared" si="1"/>
        <v>3.9999999999999858</v>
      </c>
      <c r="F44" s="60"/>
      <c r="G44" s="137">
        <f t="shared" si="2"/>
        <v>27.000000000000064</v>
      </c>
      <c r="H44" s="137">
        <f t="shared" si="2"/>
        <v>4.9999999999999822</v>
      </c>
      <c r="I44" s="60"/>
      <c r="J44" s="137">
        <f t="shared" si="3"/>
        <v>36.000000000000028</v>
      </c>
      <c r="K44" s="137">
        <f t="shared" si="3"/>
        <v>63.000000000000099</v>
      </c>
      <c r="L44" s="60"/>
    </row>
    <row r="45" spans="3:12">
      <c r="C45" s="60"/>
      <c r="D45" s="137">
        <f t="shared" si="0"/>
        <v>22.000000000000082</v>
      </c>
      <c r="E45" s="137">
        <f t="shared" si="1"/>
        <v>43.000000000000007</v>
      </c>
      <c r="F45" s="60"/>
      <c r="G45" s="137">
        <f t="shared" si="2"/>
        <v>62.000000000000099</v>
      </c>
      <c r="H45" s="137">
        <f t="shared" si="2"/>
        <v>6.9999999999999751</v>
      </c>
      <c r="I45" s="60"/>
      <c r="J45" s="137">
        <f t="shared" si="3"/>
        <v>0.99999999999999645</v>
      </c>
      <c r="K45" s="137">
        <f t="shared" si="3"/>
        <v>0</v>
      </c>
      <c r="L45" s="60"/>
    </row>
    <row r="46" spans="3:12">
      <c r="C46" s="60"/>
      <c r="D46" s="158"/>
      <c r="E46" s="158"/>
      <c r="F46" s="60"/>
      <c r="G46" s="158"/>
      <c r="H46" s="158"/>
      <c r="I46" s="60"/>
      <c r="J46" s="158"/>
      <c r="K46" s="158"/>
      <c r="L46" s="60"/>
    </row>
    <row r="47" spans="3:12">
      <c r="C47" s="60"/>
      <c r="D47" s="137">
        <f t="shared" si="0"/>
        <v>7.0000000000000551</v>
      </c>
      <c r="E47" s="137">
        <f t="shared" si="1"/>
        <v>63.999999999999929</v>
      </c>
      <c r="F47" s="60"/>
      <c r="G47" s="137">
        <f t="shared" si="2"/>
        <v>59.999999999999943</v>
      </c>
      <c r="H47" s="158"/>
      <c r="I47" s="60"/>
      <c r="J47" s="158"/>
      <c r="K47" s="158"/>
      <c r="L47" s="60"/>
    </row>
    <row r="48" spans="3:12">
      <c r="C48" s="60"/>
      <c r="D48" s="137">
        <f t="shared" si="0"/>
        <v>17.999999999999936</v>
      </c>
      <c r="E48" s="137">
        <f t="shared" si="1"/>
        <v>8.0000000000000515</v>
      </c>
      <c r="F48" s="60"/>
      <c r="G48" s="137">
        <f t="shared" si="2"/>
        <v>0.99999999999999645</v>
      </c>
      <c r="H48" s="137">
        <f t="shared" si="2"/>
        <v>28.999999999999979</v>
      </c>
      <c r="I48" s="60"/>
      <c r="J48" s="137">
        <f t="shared" si="3"/>
        <v>56.000000000000043</v>
      </c>
      <c r="K48" s="137">
        <f t="shared" si="3"/>
        <v>0.99999999999999645</v>
      </c>
      <c r="L48" s="60"/>
    </row>
    <row r="49" spans="2:12">
      <c r="C49" s="60"/>
      <c r="D49" s="137">
        <f t="shared" si="0"/>
        <v>2.9999999999999893</v>
      </c>
      <c r="E49" s="137">
        <f t="shared" si="1"/>
        <v>13.000000000000114</v>
      </c>
      <c r="F49" s="60"/>
      <c r="G49" s="137">
        <f t="shared" si="2"/>
        <v>17.000000000000099</v>
      </c>
      <c r="H49" s="137">
        <f t="shared" si="2"/>
        <v>0</v>
      </c>
      <c r="I49" s="60"/>
      <c r="J49" s="137">
        <f t="shared" si="3"/>
        <v>11.999999999999957</v>
      </c>
      <c r="K49" s="137">
        <f t="shared" si="3"/>
        <v>41.000000000000014</v>
      </c>
      <c r="L49" s="60"/>
    </row>
    <row r="50" spans="2:12">
      <c r="C50" s="60"/>
      <c r="D50" s="137">
        <f t="shared" si="0"/>
        <v>27.999999999999979</v>
      </c>
      <c r="E50" s="137">
        <f t="shared" si="1"/>
        <v>13.99999999999995</v>
      </c>
      <c r="F50" s="60"/>
      <c r="G50" s="137">
        <f t="shared" si="2"/>
        <v>6.9999999999999751</v>
      </c>
      <c r="H50" s="137">
        <f t="shared" si="2"/>
        <v>0</v>
      </c>
      <c r="I50" s="60"/>
      <c r="J50" s="137">
        <f t="shared" si="3"/>
        <v>47.999999999999986</v>
      </c>
      <c r="K50" s="137">
        <f t="shared" si="3"/>
        <v>18.000000000000014</v>
      </c>
      <c r="L50" s="60"/>
    </row>
    <row r="51" spans="2:12">
      <c r="C51" s="60"/>
      <c r="D51" s="137">
        <f t="shared" si="0"/>
        <v>22</v>
      </c>
      <c r="E51" s="137">
        <f t="shared" si="1"/>
        <v>10.999999999999961</v>
      </c>
      <c r="F51" s="60"/>
      <c r="G51" s="137">
        <f t="shared" si="2"/>
        <v>15.999999999999943</v>
      </c>
      <c r="H51" s="137">
        <f t="shared" si="2"/>
        <v>25.999999999999986</v>
      </c>
      <c r="I51" s="60"/>
      <c r="J51" s="137">
        <f t="shared" si="3"/>
        <v>12.000000000000117</v>
      </c>
      <c r="K51" s="137">
        <f t="shared" si="3"/>
        <v>0</v>
      </c>
      <c r="L51" s="60"/>
    </row>
    <row r="52" spans="2:12">
      <c r="C52" s="60"/>
      <c r="D52" s="137">
        <f t="shared" si="0"/>
        <v>28.999999999999979</v>
      </c>
      <c r="E52" s="137">
        <f t="shared" si="1"/>
        <v>20.000000000000007</v>
      </c>
      <c r="F52" s="60"/>
      <c r="G52" s="137">
        <f t="shared" si="2"/>
        <v>48.999999999999986</v>
      </c>
      <c r="H52" s="137">
        <f t="shared" si="2"/>
        <v>0.99999999999999645</v>
      </c>
      <c r="I52" s="60"/>
      <c r="J52" s="137">
        <f t="shared" si="3"/>
        <v>70.999999999999986</v>
      </c>
      <c r="K52" s="158"/>
      <c r="L52" s="60"/>
    </row>
    <row r="53" spans="2:12">
      <c r="C53" s="60"/>
      <c r="D53" s="137">
        <f t="shared" si="0"/>
        <v>2.9999999999999893</v>
      </c>
      <c r="E53" s="137">
        <f t="shared" si="1"/>
        <v>15.999999999999943</v>
      </c>
      <c r="F53" s="60"/>
      <c r="G53" s="137">
        <f t="shared" si="2"/>
        <v>2.9999999999999893</v>
      </c>
      <c r="H53" s="137">
        <f t="shared" si="2"/>
        <v>7.000000000000135</v>
      </c>
      <c r="I53" s="60"/>
      <c r="J53" s="137">
        <f t="shared" si="3"/>
        <v>2.9999999999999893</v>
      </c>
      <c r="K53" s="158"/>
      <c r="L53" s="60"/>
    </row>
    <row r="54" spans="2:12">
      <c r="C54" s="60"/>
      <c r="D54" s="137">
        <f t="shared" si="0"/>
        <v>46.999999999999993</v>
      </c>
      <c r="E54" s="137">
        <f t="shared" si="1"/>
        <v>5.9999999999999787</v>
      </c>
      <c r="F54" s="60"/>
      <c r="G54" s="137">
        <f t="shared" si="2"/>
        <v>30.000000000000053</v>
      </c>
      <c r="H54" s="137">
        <f t="shared" si="2"/>
        <v>26.999999999999904</v>
      </c>
      <c r="I54" s="60"/>
      <c r="J54" s="137">
        <f t="shared" si="3"/>
        <v>50.999999999999979</v>
      </c>
      <c r="K54" s="158"/>
      <c r="L54" s="60"/>
    </row>
    <row r="55" spans="2:12">
      <c r="C55" s="60"/>
      <c r="D55" s="137">
        <f t="shared" si="0"/>
        <v>5.9999999999999787</v>
      </c>
      <c r="E55" s="137">
        <f t="shared" si="1"/>
        <v>2.9999999999999893</v>
      </c>
      <c r="F55" s="60"/>
      <c r="G55" s="137">
        <f t="shared" si="2"/>
        <v>14.999999999999947</v>
      </c>
      <c r="H55" s="137">
        <f t="shared" si="2"/>
        <v>16.000000000000103</v>
      </c>
      <c r="I55" s="60"/>
      <c r="J55" s="137">
        <f t="shared" si="3"/>
        <v>46.999999999999993</v>
      </c>
      <c r="K55" s="137">
        <f t="shared" si="3"/>
        <v>7.9999999999999716</v>
      </c>
      <c r="L55" s="60"/>
    </row>
    <row r="56" spans="2:12">
      <c r="C56" s="60"/>
      <c r="D56" s="137">
        <f t="shared" si="0"/>
        <v>8.999999999999968</v>
      </c>
      <c r="E56" s="137">
        <f t="shared" si="1"/>
        <v>8.0000000000001315</v>
      </c>
      <c r="F56" s="60"/>
      <c r="G56" s="137">
        <f t="shared" si="2"/>
        <v>2.9999999999999893</v>
      </c>
      <c r="H56" s="137">
        <f t="shared" si="2"/>
        <v>3.9999999999999858</v>
      </c>
      <c r="I56" s="60"/>
      <c r="J56" s="137">
        <f t="shared" si="3"/>
        <v>0.99999999999999645</v>
      </c>
      <c r="K56" s="137">
        <f t="shared" si="3"/>
        <v>52.999999999999972</v>
      </c>
      <c r="L56" s="60"/>
    </row>
    <row r="57" spans="2:12">
      <c r="C57" s="60"/>
      <c r="D57" s="137">
        <f t="shared" si="0"/>
        <v>2.9999999999999893</v>
      </c>
      <c r="E57" s="137">
        <f t="shared" si="1"/>
        <v>55.000000000000128</v>
      </c>
      <c r="F57" s="60"/>
      <c r="G57" s="137">
        <f t="shared" si="2"/>
        <v>1.9999999999999929</v>
      </c>
      <c r="H57" s="137">
        <f t="shared" si="2"/>
        <v>97.999999999999972</v>
      </c>
      <c r="I57" s="60"/>
      <c r="J57" s="158"/>
      <c r="K57" s="158"/>
      <c r="L57" s="60"/>
    </row>
    <row r="58" spans="2:12">
      <c r="C58" s="159" t="s">
        <v>237</v>
      </c>
      <c r="D58" s="160">
        <f>AVERAGE(D32:D57)</f>
        <v>18.695652173913047</v>
      </c>
      <c r="E58" s="160">
        <f>AVERAGE(E32:E57)</f>
        <v>14.047619047619067</v>
      </c>
      <c r="F58" s="160"/>
      <c r="G58" s="160">
        <f t="shared" ref="F58:K58" si="4">AVERAGE(G32:G57)</f>
        <v>22.681818181818191</v>
      </c>
      <c r="H58" s="160">
        <f t="shared" si="4"/>
        <v>15.263157894736842</v>
      </c>
      <c r="I58" s="160"/>
      <c r="J58" s="160">
        <f t="shared" si="4"/>
        <v>30.666666666666686</v>
      </c>
      <c r="K58" s="160">
        <f t="shared" si="4"/>
        <v>21.250000000000011</v>
      </c>
    </row>
    <row r="59" spans="2:12">
      <c r="D59" s="136"/>
    </row>
    <row r="60" spans="2:12">
      <c r="B60" s="141" t="s">
        <v>236</v>
      </c>
      <c r="C60" s="139"/>
      <c r="D60" s="139"/>
      <c r="E60" s="139"/>
      <c r="F60" s="139"/>
      <c r="G60" s="139"/>
      <c r="H60" s="139"/>
      <c r="I60" s="139"/>
      <c r="J60" s="139"/>
      <c r="K60" s="139"/>
      <c r="L60" s="139"/>
    </row>
    <row r="61" spans="2:12" ht="28.5">
      <c r="B61" s="8" t="s">
        <v>12</v>
      </c>
      <c r="C61" s="9" t="s">
        <v>13</v>
      </c>
      <c r="D61" s="9" t="s">
        <v>14</v>
      </c>
      <c r="E61" s="9" t="s">
        <v>15</v>
      </c>
      <c r="F61" s="10" t="s">
        <v>16</v>
      </c>
      <c r="G61" s="11" t="s">
        <v>17</v>
      </c>
      <c r="H61" s="11" t="s">
        <v>18</v>
      </c>
      <c r="I61" s="8" t="s">
        <v>19</v>
      </c>
      <c r="J61" s="9" t="s">
        <v>20</v>
      </c>
      <c r="K61" s="9" t="s">
        <v>21</v>
      </c>
      <c r="L61" s="12" t="s">
        <v>22</v>
      </c>
    </row>
    <row r="62" spans="2:12">
      <c r="B62" s="62">
        <v>0.73402777777777772</v>
      </c>
      <c r="C62" s="62">
        <v>0.73333333333333328</v>
      </c>
      <c r="D62" s="62">
        <v>0.73958333333333337</v>
      </c>
      <c r="E62" s="62">
        <v>0.74097222222222225</v>
      </c>
      <c r="F62" s="62">
        <v>0.7416666666666667</v>
      </c>
      <c r="G62" s="62">
        <v>0.74513888888888891</v>
      </c>
      <c r="H62" s="62">
        <v>0.75416666666666665</v>
      </c>
      <c r="I62" s="62">
        <v>0.75277777777777777</v>
      </c>
      <c r="J62" s="62">
        <v>0.77916666666666667</v>
      </c>
      <c r="K62" s="62">
        <v>0.78402777777777777</v>
      </c>
      <c r="L62" s="67">
        <v>2.716435185185185E-4</v>
      </c>
    </row>
    <row r="63" spans="2:12">
      <c r="B63" s="62">
        <v>0.38055555555555554</v>
      </c>
      <c r="C63" s="62">
        <v>0.37916666666666665</v>
      </c>
      <c r="D63" s="62">
        <v>0.3923611111111111</v>
      </c>
      <c r="E63" s="62">
        <v>0.39444444444444443</v>
      </c>
      <c r="F63" s="62">
        <v>0.39583333333333331</v>
      </c>
      <c r="G63" s="62">
        <v>0.40138888888888891</v>
      </c>
      <c r="H63" s="62">
        <v>0.41805555555555557</v>
      </c>
      <c r="I63" s="62">
        <v>0.39583333333333331</v>
      </c>
      <c r="J63" s="62">
        <v>0.42916666666666664</v>
      </c>
      <c r="K63" s="62">
        <v>0.44305555555555554</v>
      </c>
      <c r="L63" s="67">
        <v>3.4039351851851852E-4</v>
      </c>
    </row>
    <row r="64" spans="2:12">
      <c r="B64" s="62">
        <v>0.73541666666666672</v>
      </c>
      <c r="C64" s="62">
        <v>0.7319444444444444</v>
      </c>
      <c r="D64" s="62">
        <v>0.74236111111111114</v>
      </c>
      <c r="E64" s="62">
        <v>0.74722222222222223</v>
      </c>
      <c r="F64" s="62">
        <v>0.7319444444444444</v>
      </c>
      <c r="G64" s="62">
        <v>0.75069444444444444</v>
      </c>
      <c r="H64" s="62">
        <v>0.76458333333333328</v>
      </c>
      <c r="I64" s="62">
        <v>0.78680555555555554</v>
      </c>
      <c r="J64" s="62">
        <v>0.79236111111111107</v>
      </c>
      <c r="K64" s="62">
        <v>0.8041666666666667</v>
      </c>
      <c r="L64" s="63"/>
    </row>
    <row r="65" spans="2:12">
      <c r="B65" s="62">
        <v>0.37708333333333333</v>
      </c>
      <c r="C65" s="62">
        <v>0.37569444444444444</v>
      </c>
      <c r="D65" s="62">
        <v>0.38055555555555554</v>
      </c>
      <c r="E65" s="62">
        <v>0.38611111111111113</v>
      </c>
      <c r="F65" s="62">
        <v>0.375</v>
      </c>
      <c r="G65" s="62">
        <v>0.3888888888888889</v>
      </c>
      <c r="H65" s="62">
        <v>0.39166666666666666</v>
      </c>
      <c r="I65" s="62">
        <v>0.39305555555555555</v>
      </c>
      <c r="J65" s="62">
        <v>0.39930555555555558</v>
      </c>
      <c r="K65" s="62">
        <v>0.40347222222222223</v>
      </c>
      <c r="L65" s="67">
        <v>3.2800925925925928E-4</v>
      </c>
    </row>
    <row r="66" spans="2:12">
      <c r="B66" s="62">
        <v>0.65347222222222223</v>
      </c>
      <c r="C66" s="62">
        <v>0.65277777777777779</v>
      </c>
      <c r="D66" s="62">
        <v>0.66180555555555554</v>
      </c>
      <c r="E66" s="62">
        <v>0.67013888888888884</v>
      </c>
      <c r="F66" s="62">
        <v>0.65277777777777779</v>
      </c>
      <c r="G66" s="62">
        <v>0.66736111111111107</v>
      </c>
      <c r="H66" s="62">
        <v>0.67152777777777772</v>
      </c>
      <c r="I66" s="62">
        <v>0.67222222222222228</v>
      </c>
      <c r="J66" s="62">
        <v>0.68472222222222223</v>
      </c>
      <c r="K66" s="62">
        <v>0.68611111111111112</v>
      </c>
      <c r="L66" s="67">
        <v>2.8773148148148148E-4</v>
      </c>
    </row>
    <row r="67" spans="2:12">
      <c r="B67" s="62">
        <v>0.72777777777777775</v>
      </c>
      <c r="C67" s="62">
        <v>0.72847222222222219</v>
      </c>
      <c r="D67" s="62">
        <v>0.73263888888888884</v>
      </c>
      <c r="E67" s="62">
        <v>0.73333333333333328</v>
      </c>
      <c r="F67" s="62">
        <v>0.72777777777777775</v>
      </c>
      <c r="G67" s="62">
        <v>0.74097222222222225</v>
      </c>
      <c r="H67" s="62">
        <v>0.74513888888888891</v>
      </c>
      <c r="I67" s="62">
        <v>0.74652777777777779</v>
      </c>
      <c r="J67" s="62">
        <v>0.7583333333333333</v>
      </c>
      <c r="K67" s="62">
        <v>0.8</v>
      </c>
      <c r="L67" s="63"/>
    </row>
    <row r="68" spans="2:12">
      <c r="B68" s="62">
        <v>0.72361111111111109</v>
      </c>
      <c r="C68" s="62">
        <v>0.72291666666666665</v>
      </c>
      <c r="D68" s="62">
        <v>0.72569444444444442</v>
      </c>
      <c r="E68" s="62">
        <v>0.7319444444444444</v>
      </c>
      <c r="F68" s="62">
        <v>0.72361111111111109</v>
      </c>
      <c r="G68" s="62">
        <v>0.73124999999999996</v>
      </c>
      <c r="H68" s="62">
        <v>0.73819444444444449</v>
      </c>
      <c r="I68" s="62">
        <v>0.74236111111111114</v>
      </c>
      <c r="J68" s="62">
        <v>0.74375000000000002</v>
      </c>
      <c r="K68" s="62">
        <v>0.74513888888888891</v>
      </c>
      <c r="L68" s="76">
        <v>2.4270833333333333E-4</v>
      </c>
    </row>
    <row r="69" spans="2:12">
      <c r="B69" s="62">
        <v>0.70486111111111116</v>
      </c>
      <c r="C69" s="62">
        <v>0.70416666666666672</v>
      </c>
      <c r="D69" s="62">
        <v>0.71527777777777779</v>
      </c>
      <c r="E69" s="62">
        <v>0.71527777777777779</v>
      </c>
      <c r="F69" s="62">
        <v>0.71597222222222223</v>
      </c>
      <c r="G69" s="62">
        <v>0.71805555555555556</v>
      </c>
      <c r="H69" s="62">
        <v>0.72013888888888888</v>
      </c>
      <c r="I69" s="62">
        <v>0.72083333333333333</v>
      </c>
      <c r="J69" s="62">
        <v>0.72291666666666665</v>
      </c>
      <c r="K69" s="62">
        <v>0.73402777777777772</v>
      </c>
      <c r="L69" s="67">
        <v>2.8437500000000001E-4</v>
      </c>
    </row>
    <row r="70" spans="2:12">
      <c r="B70" s="62">
        <v>0.70486111111111116</v>
      </c>
      <c r="C70" s="62">
        <v>0.70416666666666672</v>
      </c>
      <c r="D70" s="62">
        <v>0.70625000000000004</v>
      </c>
      <c r="E70" s="62">
        <v>0.70763888888888893</v>
      </c>
      <c r="F70" s="62">
        <v>0.70833333333333337</v>
      </c>
      <c r="G70" s="62">
        <v>0.71319444444444446</v>
      </c>
      <c r="H70" s="62">
        <v>0.71944444444444444</v>
      </c>
      <c r="I70" s="62">
        <v>0.72291666666666665</v>
      </c>
      <c r="J70" s="62">
        <v>0.72430555555555554</v>
      </c>
      <c r="K70" s="62">
        <v>0.77708333333333335</v>
      </c>
      <c r="L70" s="63"/>
    </row>
    <row r="71" spans="2:12">
      <c r="B71" s="62">
        <v>0.38750000000000001</v>
      </c>
      <c r="C71" s="62">
        <v>0.38750000000000001</v>
      </c>
      <c r="D71" s="62">
        <v>0.39097222222222222</v>
      </c>
      <c r="E71" s="62">
        <v>0.3923611111111111</v>
      </c>
      <c r="F71" s="62">
        <v>0.39305555555555555</v>
      </c>
      <c r="G71" s="62">
        <v>0.40208333333333335</v>
      </c>
      <c r="H71" s="62">
        <v>0.40833333333333333</v>
      </c>
      <c r="I71" s="62">
        <v>0.40972222222222221</v>
      </c>
      <c r="J71" s="62">
        <v>0.4201388888888889</v>
      </c>
      <c r="K71" s="62">
        <v>0.43333333333333335</v>
      </c>
      <c r="L71" s="67">
        <v>3.0671296296296295E-4</v>
      </c>
    </row>
    <row r="72" spans="2:12">
      <c r="B72" s="62">
        <v>0.65486111111111112</v>
      </c>
      <c r="C72" s="62">
        <v>0.65347222222222223</v>
      </c>
      <c r="D72" s="62">
        <v>0.65486111111111112</v>
      </c>
      <c r="E72" s="62">
        <v>0.68055555555555558</v>
      </c>
      <c r="F72" s="62">
        <v>0.68125000000000002</v>
      </c>
      <c r="G72" s="62">
        <v>0.6875</v>
      </c>
      <c r="H72" s="62">
        <v>0.7006944444444444</v>
      </c>
      <c r="I72" s="62">
        <v>0.7006944444444444</v>
      </c>
      <c r="J72" s="62">
        <v>0.72569444444444442</v>
      </c>
      <c r="K72" s="62">
        <v>0.72569444444444442</v>
      </c>
      <c r="L72" s="63"/>
    </row>
    <row r="73" spans="2:12">
      <c r="B73" s="62">
        <v>0.37291666666666667</v>
      </c>
      <c r="C73" s="62">
        <v>0.37083333333333335</v>
      </c>
      <c r="D73" s="62">
        <v>0.38124999999999998</v>
      </c>
      <c r="E73" s="62">
        <v>0.38124999999999998</v>
      </c>
      <c r="F73" s="62">
        <v>0.37083333333333335</v>
      </c>
      <c r="G73" s="62">
        <v>0.37638888888888888</v>
      </c>
      <c r="H73" s="62">
        <v>0.39027777777777778</v>
      </c>
      <c r="I73" s="62">
        <v>0.41249999999999998</v>
      </c>
      <c r="J73" s="62">
        <v>0.41805555555555557</v>
      </c>
      <c r="K73" s="62">
        <v>0.4284722222222222</v>
      </c>
      <c r="L73" s="67">
        <v>2.3425925925925925E-4</v>
      </c>
    </row>
    <row r="74" spans="2:12">
      <c r="B74" s="62">
        <v>0.72916666666666663</v>
      </c>
      <c r="C74" s="62">
        <v>0.71944444444444444</v>
      </c>
      <c r="D74" s="62">
        <v>0.73263888888888884</v>
      </c>
      <c r="E74" s="62">
        <v>0.73263888888888884</v>
      </c>
      <c r="F74" s="62">
        <v>0.72361111111111109</v>
      </c>
      <c r="G74" s="62">
        <v>0.73541666666666672</v>
      </c>
      <c r="H74" s="62">
        <v>0.73541666666666672</v>
      </c>
      <c r="I74" s="62">
        <v>0.7368055555555556</v>
      </c>
      <c r="J74" s="62">
        <v>0.74097222222222225</v>
      </c>
      <c r="K74" s="62">
        <v>0.74791666666666667</v>
      </c>
      <c r="L74" s="67">
        <v>2.1435185185185186E-4</v>
      </c>
    </row>
    <row r="75" spans="2:12">
      <c r="B75" s="62">
        <v>0.61458333333333337</v>
      </c>
      <c r="C75" s="62">
        <v>0.61319444444444449</v>
      </c>
      <c r="D75" s="62">
        <v>0.61527777777777781</v>
      </c>
      <c r="E75" s="62">
        <v>0.61736111111111114</v>
      </c>
      <c r="F75" s="62">
        <v>0.61875000000000002</v>
      </c>
      <c r="G75" s="62">
        <v>0.62430555555555556</v>
      </c>
      <c r="H75" s="62">
        <v>0.63194444444444442</v>
      </c>
      <c r="I75" s="62">
        <v>0.63263888888888886</v>
      </c>
      <c r="J75" s="62">
        <v>0.63472222222222219</v>
      </c>
      <c r="K75" s="62">
        <v>0.65</v>
      </c>
      <c r="L75" s="67">
        <v>2.2476851851851854E-4</v>
      </c>
    </row>
    <row r="76" spans="2:12">
      <c r="B76" s="62">
        <v>0.37708333333333333</v>
      </c>
      <c r="C76" s="62">
        <v>0.375</v>
      </c>
      <c r="D76" s="62">
        <v>0.38541666666666669</v>
      </c>
      <c r="E76" s="62">
        <v>0.3888888888888889</v>
      </c>
      <c r="F76" s="62">
        <v>0.38958333333333334</v>
      </c>
      <c r="G76" s="62">
        <v>0.3923611111111111</v>
      </c>
      <c r="H76" s="62">
        <v>0.40347222222222223</v>
      </c>
      <c r="I76" s="62">
        <v>0.40763888888888888</v>
      </c>
      <c r="J76" s="62">
        <v>0.41597222222222224</v>
      </c>
      <c r="K76" s="62">
        <v>0.41736111111111113</v>
      </c>
      <c r="L76" s="67">
        <v>5.9780092592592589E-4</v>
      </c>
    </row>
    <row r="77" spans="2:12">
      <c r="B77" s="62">
        <v>0.69374999999999998</v>
      </c>
      <c r="C77" s="62">
        <v>0.69305555555555554</v>
      </c>
      <c r="D77" s="62">
        <v>0.69791666666666663</v>
      </c>
      <c r="E77" s="62">
        <v>0.70138888888888884</v>
      </c>
      <c r="F77" s="62">
        <v>0.70138888888888884</v>
      </c>
      <c r="G77" s="62">
        <v>0.70347222222222228</v>
      </c>
      <c r="H77" s="74">
        <v>0.7055555555555556</v>
      </c>
      <c r="I77" s="62">
        <v>0.70625000000000004</v>
      </c>
      <c r="J77" s="62">
        <v>0.70902777777777781</v>
      </c>
      <c r="K77" s="62">
        <v>0.71319444444444446</v>
      </c>
      <c r="L77" s="67">
        <v>2.2465277777777777E-4</v>
      </c>
    </row>
    <row r="78" spans="2:12">
      <c r="B78" s="62">
        <v>0.69166666666666665</v>
      </c>
      <c r="C78" s="62">
        <v>0.6958333333333333</v>
      </c>
      <c r="D78" s="62">
        <v>0.69652777777777775</v>
      </c>
      <c r="E78" s="62">
        <v>0.69861111111111107</v>
      </c>
      <c r="F78" s="62">
        <v>0.69166666666666665</v>
      </c>
      <c r="G78" s="62">
        <v>0.69444444444444442</v>
      </c>
      <c r="H78" s="62">
        <v>0.70763888888888893</v>
      </c>
      <c r="I78" s="62">
        <v>0.70902777777777781</v>
      </c>
      <c r="J78" s="62">
        <v>0.72222222222222221</v>
      </c>
      <c r="K78" s="62">
        <v>0.72430555555555554</v>
      </c>
      <c r="L78" s="67">
        <v>1.7245370370370372E-4</v>
      </c>
    </row>
    <row r="79" spans="2:12">
      <c r="B79" s="62">
        <v>0.6645833333333333</v>
      </c>
      <c r="C79" s="62">
        <v>0.66388888888888886</v>
      </c>
      <c r="D79" s="62">
        <v>0.66874999999999996</v>
      </c>
      <c r="E79" s="62">
        <v>0.67013888888888884</v>
      </c>
      <c r="F79" s="62">
        <v>0.66527777777777775</v>
      </c>
      <c r="G79" s="62">
        <v>0.66666666666666663</v>
      </c>
      <c r="H79" s="62">
        <v>0.67083333333333328</v>
      </c>
      <c r="I79" s="62">
        <v>0.67152777777777772</v>
      </c>
      <c r="J79" s="62">
        <v>0.6791666666666667</v>
      </c>
      <c r="K79" s="62">
        <v>0.68333333333333335</v>
      </c>
      <c r="L79" s="67">
        <v>2.1041666666666667E-4</v>
      </c>
    </row>
    <row r="80" spans="2:12">
      <c r="B80" s="62">
        <v>0.73055555555555551</v>
      </c>
      <c r="C80" s="62">
        <v>0.72986111111111107</v>
      </c>
      <c r="D80" s="62">
        <v>0.73819444444444449</v>
      </c>
      <c r="E80" s="62">
        <v>0.73888888888888893</v>
      </c>
      <c r="F80" s="62">
        <v>0.73958333333333337</v>
      </c>
      <c r="G80" s="62">
        <v>0.74375000000000002</v>
      </c>
      <c r="H80" s="62">
        <v>0.74513888888888891</v>
      </c>
      <c r="I80" s="62">
        <v>0.74027777777777781</v>
      </c>
      <c r="J80" s="62">
        <v>0.76111111111111107</v>
      </c>
      <c r="K80" s="62">
        <v>0.79374999999999996</v>
      </c>
      <c r="L80" s="76">
        <v>1.5046296296296297E-4</v>
      </c>
    </row>
    <row r="81" spans="1:12">
      <c r="B81" s="62">
        <v>0.71666666666666667</v>
      </c>
      <c r="C81" s="62">
        <v>0.71736111111111112</v>
      </c>
      <c r="D81" s="62">
        <v>0.71805555555555556</v>
      </c>
      <c r="E81" s="62">
        <v>0.72986111111111107</v>
      </c>
      <c r="F81" s="62">
        <v>0.71666666666666667</v>
      </c>
      <c r="G81" s="62">
        <v>0.71805555555555556</v>
      </c>
      <c r="H81" s="62">
        <v>0.75277777777777777</v>
      </c>
      <c r="I81" s="62">
        <v>0.75347222222222221</v>
      </c>
      <c r="J81" s="68"/>
      <c r="K81" s="62">
        <v>0.7895833333333333</v>
      </c>
      <c r="L81" s="63"/>
    </row>
    <row r="82" spans="1:12">
      <c r="B82" s="62">
        <v>0.47222222222222221</v>
      </c>
      <c r="C82" s="62">
        <v>0.46944444444444444</v>
      </c>
      <c r="D82" s="62">
        <v>0.47430555555555554</v>
      </c>
      <c r="E82" s="62">
        <v>0.47430555555555554</v>
      </c>
      <c r="F82" s="62">
        <v>0.47499999999999998</v>
      </c>
      <c r="G82" s="62">
        <v>0.47847222222222224</v>
      </c>
      <c r="H82" s="62">
        <v>0.47847222222222224</v>
      </c>
      <c r="I82" s="62">
        <v>0.48472222222222222</v>
      </c>
      <c r="J82" s="62">
        <v>0.48958333333333331</v>
      </c>
      <c r="K82" s="62">
        <v>0.49930555555555556</v>
      </c>
      <c r="L82" s="67">
        <v>2.7060185185185184E-4</v>
      </c>
    </row>
    <row r="83" spans="1:12">
      <c r="B83" s="78">
        <v>0.68402777777777779</v>
      </c>
      <c r="C83" s="78">
        <v>0.68402777777777779</v>
      </c>
      <c r="D83" s="78">
        <v>0.68611111111111112</v>
      </c>
      <c r="E83" s="78">
        <v>0.68680555555555556</v>
      </c>
      <c r="F83" s="78">
        <v>0.68263888888888891</v>
      </c>
      <c r="G83" s="78">
        <v>0.68402777777777779</v>
      </c>
      <c r="H83" s="78">
        <v>0.69444444444444442</v>
      </c>
      <c r="I83" s="78">
        <v>0.69652777777777775</v>
      </c>
      <c r="J83" s="78">
        <v>0.71527777777777779</v>
      </c>
      <c r="K83" s="78">
        <v>0.73611111111111116</v>
      </c>
      <c r="L83" s="79">
        <v>2.351851851851852E-4</v>
      </c>
    </row>
    <row r="84" spans="1:12">
      <c r="B84" s="62">
        <v>0.46875</v>
      </c>
      <c r="C84" s="62">
        <v>0.46875</v>
      </c>
      <c r="D84" s="62">
        <v>0.4777777777777778</v>
      </c>
      <c r="E84" s="62">
        <v>0.47986111111111113</v>
      </c>
      <c r="F84" s="62">
        <v>0.46805555555555556</v>
      </c>
      <c r="G84" s="62">
        <v>0.4777777777777778</v>
      </c>
      <c r="H84" s="62">
        <v>0.49513888888888891</v>
      </c>
      <c r="I84" s="62">
        <v>0.49722222222222223</v>
      </c>
      <c r="J84" s="62">
        <v>0.50069444444444444</v>
      </c>
      <c r="K84" s="62">
        <v>0.53541666666666665</v>
      </c>
      <c r="L84" s="76">
        <v>2.775462962962963E-4</v>
      </c>
    </row>
    <row r="85" spans="1:12">
      <c r="B85" s="62">
        <v>0.6</v>
      </c>
      <c r="C85" s="62">
        <v>0.59930555555555554</v>
      </c>
      <c r="D85" s="62">
        <v>0.60069444444444442</v>
      </c>
      <c r="E85" s="62">
        <v>0.61111111111111116</v>
      </c>
      <c r="F85" s="62">
        <v>0.6020833333333333</v>
      </c>
      <c r="G85" s="62">
        <v>0.61111111111111116</v>
      </c>
      <c r="H85" s="62">
        <v>0.61319444444444449</v>
      </c>
      <c r="I85" s="62">
        <v>0.61388888888888893</v>
      </c>
      <c r="J85" s="62">
        <v>0.61875000000000002</v>
      </c>
      <c r="K85" s="62">
        <v>0.63263888888888886</v>
      </c>
      <c r="L85" s="67">
        <v>2.1018518518518519E-4</v>
      </c>
    </row>
    <row r="86" spans="1:12">
      <c r="B86" s="62">
        <v>0.61458333333333337</v>
      </c>
      <c r="C86" s="74">
        <v>0.6118055555555556</v>
      </c>
      <c r="D86" s="62">
        <v>0.6166666666666667</v>
      </c>
      <c r="E86" s="62">
        <v>0.6166666666666667</v>
      </c>
      <c r="F86" s="62">
        <v>0.60833333333333328</v>
      </c>
      <c r="G86" s="62">
        <v>0.61458333333333337</v>
      </c>
      <c r="H86" s="62">
        <v>0.61458333333333337</v>
      </c>
      <c r="I86" s="62">
        <v>0.61736111111111114</v>
      </c>
      <c r="J86" s="62">
        <v>0.62569444444444444</v>
      </c>
      <c r="K86" s="62">
        <v>0.62847222222222221</v>
      </c>
      <c r="L86" s="67">
        <v>2.2407407407407407E-4</v>
      </c>
    </row>
    <row r="87" spans="1:12">
      <c r="B87" s="62">
        <v>0.68125000000000002</v>
      </c>
      <c r="C87" s="62">
        <v>0.68055555555555558</v>
      </c>
      <c r="D87" s="74">
        <v>0.68125000000000002</v>
      </c>
      <c r="E87" s="62">
        <v>0.68333333333333335</v>
      </c>
      <c r="F87" s="62">
        <v>0.68472222222222223</v>
      </c>
      <c r="G87" s="62">
        <v>0.68541666666666667</v>
      </c>
      <c r="H87" s="62">
        <v>0.69027777777777777</v>
      </c>
      <c r="I87" s="62">
        <v>0.69097222222222221</v>
      </c>
      <c r="J87" s="62">
        <v>0.69236111111111109</v>
      </c>
      <c r="K87" s="62">
        <v>0.70486111111111116</v>
      </c>
      <c r="L87" s="67">
        <v>2.3877314814814814E-4</v>
      </c>
    </row>
    <row r="88" spans="1:12">
      <c r="A88" s="137"/>
      <c r="B88" s="132"/>
      <c r="C88" s="132"/>
      <c r="D88" s="132"/>
      <c r="E88" s="132"/>
      <c r="F88" s="132"/>
      <c r="G88" s="132"/>
      <c r="H88" s="132"/>
      <c r="I88" s="132"/>
      <c r="J88" s="133"/>
      <c r="K88" s="133"/>
      <c r="L88" s="132"/>
    </row>
    <row r="89" spans="1:12">
      <c r="A89" s="137"/>
      <c r="B89" s="137"/>
      <c r="C89" s="137"/>
      <c r="D89" s="9" t="s">
        <v>14</v>
      </c>
      <c r="E89" s="9" t="s">
        <v>15</v>
      </c>
      <c r="F89" s="137"/>
      <c r="G89" s="11" t="s">
        <v>17</v>
      </c>
      <c r="H89" s="11" t="s">
        <v>18</v>
      </c>
      <c r="I89" s="137"/>
      <c r="J89" s="9" t="s">
        <v>20</v>
      </c>
      <c r="K89" s="8" t="s">
        <v>27</v>
      </c>
      <c r="L89" s="137"/>
    </row>
    <row r="90" spans="1:12">
      <c r="A90" s="137"/>
      <c r="B90" s="137"/>
      <c r="C90" s="60"/>
      <c r="D90" s="137">
        <f>(D62-C62)*1440</f>
        <v>9.0000000000001279</v>
      </c>
      <c r="E90" s="137">
        <f>(E62-D62)*1440</f>
        <v>1.9999999999999929</v>
      </c>
      <c r="F90" s="137"/>
      <c r="G90" s="137">
        <f>(G62-F62)*1440</f>
        <v>4.9999999999999822</v>
      </c>
      <c r="H90" s="137">
        <f>(H62-G62)*1440</f>
        <v>12.999999999999954</v>
      </c>
      <c r="I90" s="60"/>
      <c r="J90" s="137">
        <f>(J62-I62)*1440</f>
        <v>38.000000000000028</v>
      </c>
      <c r="K90" s="137">
        <f>(K62-J62)*1440</f>
        <v>6.9999999999999751</v>
      </c>
      <c r="L90" s="60"/>
    </row>
    <row r="91" spans="1:12">
      <c r="A91" s="137"/>
      <c r="B91" s="137"/>
      <c r="C91" s="60"/>
      <c r="D91" s="137">
        <f t="shared" ref="D91:E106" si="5">(D63-C63)*1440</f>
        <v>19.000000000000014</v>
      </c>
      <c r="E91" s="137">
        <f t="shared" si="5"/>
        <v>2.9999999999999893</v>
      </c>
      <c r="F91" s="137"/>
      <c r="G91" s="137">
        <f t="shared" ref="G91:H91" si="6">(G63-F63)*1440</f>
        <v>8.0000000000000515</v>
      </c>
      <c r="H91" s="137">
        <f t="shared" si="6"/>
        <v>23.999999999999993</v>
      </c>
      <c r="I91" s="60"/>
      <c r="J91" s="137">
        <f t="shared" ref="J91:K91" si="7">(J63-I63)*1440</f>
        <v>47.999999999999986</v>
      </c>
      <c r="K91" s="137">
        <f t="shared" si="7"/>
        <v>20.000000000000007</v>
      </c>
      <c r="L91" s="60"/>
    </row>
    <row r="92" spans="1:12">
      <c r="A92" s="137"/>
      <c r="B92" s="137"/>
      <c r="C92" s="60"/>
      <c r="D92" s="137">
        <f t="shared" si="5"/>
        <v>15.000000000000107</v>
      </c>
      <c r="E92" s="137">
        <f t="shared" si="5"/>
        <v>6.9999999999999751</v>
      </c>
      <c r="F92" s="137"/>
      <c r="G92" s="137">
        <f t="shared" ref="G92:H92" si="8">(G64-F64)*1440</f>
        <v>27.000000000000064</v>
      </c>
      <c r="H92" s="137">
        <f t="shared" si="8"/>
        <v>19.999999999999929</v>
      </c>
      <c r="I92" s="60"/>
      <c r="J92" s="158"/>
      <c r="K92" s="158"/>
      <c r="L92" s="60"/>
    </row>
    <row r="93" spans="1:12">
      <c r="A93" s="137"/>
      <c r="B93" s="137"/>
      <c r="C93" s="60"/>
      <c r="D93" s="137">
        <f t="shared" si="5"/>
        <v>6.9999999999999751</v>
      </c>
      <c r="E93" s="137">
        <f t="shared" si="5"/>
        <v>8.0000000000000515</v>
      </c>
      <c r="F93" s="137"/>
      <c r="G93" s="137">
        <f t="shared" ref="G93:H93" si="9">(G65-F65)*1440</f>
        <v>20.000000000000007</v>
      </c>
      <c r="H93" s="137">
        <f t="shared" si="9"/>
        <v>3.9999999999999858</v>
      </c>
      <c r="I93" s="60"/>
      <c r="J93" s="137">
        <f t="shared" ref="J93:K93" si="10">(J65-I65)*1440</f>
        <v>9.000000000000048</v>
      </c>
      <c r="K93" s="137">
        <f t="shared" si="10"/>
        <v>5.9999999999999787</v>
      </c>
      <c r="L93" s="60"/>
    </row>
    <row r="94" spans="1:12">
      <c r="A94" s="137"/>
      <c r="B94" s="137"/>
      <c r="C94" s="60"/>
      <c r="D94" s="137">
        <f t="shared" si="5"/>
        <v>12.999999999999954</v>
      </c>
      <c r="E94" s="137">
        <f t="shared" si="5"/>
        <v>11.999999999999957</v>
      </c>
      <c r="F94" s="137"/>
      <c r="G94" s="137">
        <f t="shared" ref="G94:H94" si="11">(G66-F66)*1440</f>
        <v>20.999999999999925</v>
      </c>
      <c r="H94" s="137">
        <f t="shared" si="11"/>
        <v>5.9999999999999787</v>
      </c>
      <c r="I94" s="60"/>
      <c r="J94" s="137">
        <f t="shared" ref="J94:K94" si="12">(J66-I66)*1440</f>
        <v>17.999999999999936</v>
      </c>
      <c r="K94" s="137">
        <f t="shared" si="12"/>
        <v>1.9999999999999929</v>
      </c>
      <c r="L94" s="60"/>
    </row>
    <row r="95" spans="1:12">
      <c r="A95" s="137"/>
      <c r="B95" s="137"/>
      <c r="C95" s="60"/>
      <c r="D95" s="137">
        <f t="shared" si="5"/>
        <v>5.9999999999999787</v>
      </c>
      <c r="E95" s="137">
        <f t="shared" si="5"/>
        <v>0.99999999999999645</v>
      </c>
      <c r="F95" s="137"/>
      <c r="G95" s="137">
        <f t="shared" ref="G95:H95" si="13">(G67-F67)*1440</f>
        <v>19.000000000000092</v>
      </c>
      <c r="H95" s="137">
        <f t="shared" si="13"/>
        <v>5.9999999999999787</v>
      </c>
      <c r="I95" s="60"/>
      <c r="J95" s="158"/>
      <c r="K95" s="158"/>
      <c r="L95" s="60"/>
    </row>
    <row r="96" spans="1:12">
      <c r="A96" s="137"/>
      <c r="B96" s="137"/>
      <c r="C96" s="60"/>
      <c r="D96" s="137">
        <f t="shared" si="5"/>
        <v>3.9999999999999858</v>
      </c>
      <c r="E96" s="137">
        <f t="shared" si="5"/>
        <v>8.999999999999968</v>
      </c>
      <c r="F96" s="137"/>
      <c r="G96" s="137">
        <f t="shared" ref="G96:H96" si="14">(G68-F68)*1440</f>
        <v>10.999999999999961</v>
      </c>
      <c r="H96" s="137">
        <f t="shared" si="14"/>
        <v>10.000000000000124</v>
      </c>
      <c r="I96" s="60"/>
      <c r="J96" s="137">
        <f t="shared" ref="J96:K96" si="15">(J68-I68)*1440</f>
        <v>1.9999999999999929</v>
      </c>
      <c r="K96" s="137">
        <f t="shared" si="15"/>
        <v>1.9999999999999929</v>
      </c>
      <c r="L96" s="60"/>
    </row>
    <row r="97" spans="1:12">
      <c r="A97" s="137"/>
      <c r="B97" s="137"/>
      <c r="C97" s="60"/>
      <c r="D97" s="137">
        <f t="shared" si="5"/>
        <v>15.999999999999943</v>
      </c>
      <c r="E97" s="137">
        <f t="shared" si="5"/>
        <v>0</v>
      </c>
      <c r="F97" s="137"/>
      <c r="G97" s="137">
        <f t="shared" ref="G97:H97" si="16">(G69-F69)*1440</f>
        <v>2.9999999999999893</v>
      </c>
      <c r="H97" s="137">
        <f t="shared" si="16"/>
        <v>2.9999999999999893</v>
      </c>
      <c r="I97" s="60"/>
      <c r="J97" s="137">
        <f t="shared" ref="J97:K97" si="17">(J69-I69)*1440</f>
        <v>2.9999999999999893</v>
      </c>
      <c r="K97" s="137">
        <f t="shared" si="17"/>
        <v>15.999999999999943</v>
      </c>
      <c r="L97" s="60"/>
    </row>
    <row r="98" spans="1:12">
      <c r="A98" s="137"/>
      <c r="B98" s="137"/>
      <c r="C98" s="60"/>
      <c r="D98" s="137">
        <f t="shared" si="5"/>
        <v>2.9999999999999893</v>
      </c>
      <c r="E98" s="137">
        <f t="shared" si="5"/>
        <v>1.9999999999999929</v>
      </c>
      <c r="F98" s="137"/>
      <c r="G98" s="137">
        <f t="shared" ref="G98:H98" si="18">(G70-F70)*1440</f>
        <v>6.9999999999999751</v>
      </c>
      <c r="H98" s="137">
        <f t="shared" si="18"/>
        <v>8.999999999999968</v>
      </c>
      <c r="I98" s="60"/>
      <c r="J98" s="158"/>
      <c r="K98" s="158"/>
      <c r="L98" s="60"/>
    </row>
    <row r="99" spans="1:12">
      <c r="A99" s="137"/>
      <c r="B99" s="137"/>
      <c r="C99" s="60"/>
      <c r="D99" s="137">
        <f t="shared" si="5"/>
        <v>4.9999999999999822</v>
      </c>
      <c r="E99" s="137">
        <f t="shared" si="5"/>
        <v>1.9999999999999929</v>
      </c>
      <c r="F99" s="137"/>
      <c r="G99" s="137">
        <f t="shared" ref="G99:H99" si="19">(G71-F71)*1440</f>
        <v>13.000000000000034</v>
      </c>
      <c r="H99" s="137">
        <f t="shared" si="19"/>
        <v>8.999999999999968</v>
      </c>
      <c r="I99" s="60"/>
      <c r="J99" s="137">
        <f t="shared" ref="J99:K99" si="20">(J71-I71)*1440</f>
        <v>15.000000000000027</v>
      </c>
      <c r="K99" s="137">
        <f t="shared" si="20"/>
        <v>19.000000000000014</v>
      </c>
      <c r="L99" s="60"/>
    </row>
    <row r="100" spans="1:12">
      <c r="A100" s="137"/>
      <c r="B100" s="137"/>
      <c r="C100" s="60"/>
      <c r="D100" s="137">
        <f t="shared" si="5"/>
        <v>1.9999999999999929</v>
      </c>
      <c r="E100" s="137">
        <f t="shared" si="5"/>
        <v>37.000000000000028</v>
      </c>
      <c r="F100" s="137"/>
      <c r="G100" s="137">
        <f t="shared" ref="G100:H100" si="21">(G72-F72)*1440</f>
        <v>8.999999999999968</v>
      </c>
      <c r="H100" s="158"/>
      <c r="I100" s="60"/>
      <c r="J100" s="137">
        <f t="shared" ref="J100:K100" si="22">(J72-I72)*1440</f>
        <v>36.000000000000028</v>
      </c>
      <c r="K100" s="137">
        <f t="shared" si="22"/>
        <v>0</v>
      </c>
      <c r="L100" s="60"/>
    </row>
    <row r="101" spans="1:12">
      <c r="A101" s="137"/>
      <c r="B101" s="137"/>
      <c r="C101" s="60"/>
      <c r="D101" s="137">
        <f t="shared" si="5"/>
        <v>14.999999999999947</v>
      </c>
      <c r="E101" s="137">
        <f t="shared" si="5"/>
        <v>0</v>
      </c>
      <c r="F101" s="137"/>
      <c r="G101" s="137">
        <f t="shared" ref="G101:H101" si="23">(G73-F73)*1440</f>
        <v>7.9999999999999716</v>
      </c>
      <c r="H101" s="137">
        <f t="shared" si="23"/>
        <v>20.000000000000007</v>
      </c>
      <c r="I101" s="60"/>
      <c r="J101" s="137">
        <f t="shared" ref="J101:K101" si="24">(J73-I73)*1440</f>
        <v>8.0000000000000515</v>
      </c>
      <c r="K101" s="137">
        <f t="shared" si="24"/>
        <v>14.999999999999947</v>
      </c>
      <c r="L101" s="60"/>
    </row>
    <row r="102" spans="1:12">
      <c r="A102" s="137"/>
      <c r="B102" s="137"/>
      <c r="C102" s="60"/>
      <c r="D102" s="137">
        <f t="shared" si="5"/>
        <v>18.999999999999932</v>
      </c>
      <c r="E102" s="137">
        <f t="shared" si="5"/>
        <v>0</v>
      </c>
      <c r="F102" s="137"/>
      <c r="G102" s="137">
        <f t="shared" ref="G102:H102" si="25">(G74-F74)*1440</f>
        <v>17.000000000000099</v>
      </c>
      <c r="H102" s="137">
        <f t="shared" si="25"/>
        <v>0</v>
      </c>
      <c r="I102" s="60"/>
      <c r="J102" s="137">
        <f t="shared" ref="J102:K102" si="26">(J74-I74)*1440</f>
        <v>5.9999999999999787</v>
      </c>
      <c r="K102" s="137">
        <f t="shared" si="26"/>
        <v>9.9999999999999645</v>
      </c>
      <c r="L102" s="60"/>
    </row>
    <row r="103" spans="1:12">
      <c r="A103" s="137"/>
      <c r="B103" s="137"/>
      <c r="C103" s="60"/>
      <c r="D103" s="137">
        <f t="shared" si="5"/>
        <v>2.9999999999999893</v>
      </c>
      <c r="E103" s="137">
        <f t="shared" si="5"/>
        <v>2.9999999999999893</v>
      </c>
      <c r="F103" s="137"/>
      <c r="G103" s="137">
        <f t="shared" ref="G103:H103" si="27">(G75-F75)*1440</f>
        <v>7.9999999999999716</v>
      </c>
      <c r="H103" s="137">
        <f t="shared" si="27"/>
        <v>10.999999999999961</v>
      </c>
      <c r="I103" s="60"/>
      <c r="J103" s="137">
        <f t="shared" ref="J103:K103" si="28">(J75-I75)*1440</f>
        <v>2.9999999999999893</v>
      </c>
      <c r="K103" s="137">
        <f t="shared" si="28"/>
        <v>22.000000000000082</v>
      </c>
      <c r="L103" s="60"/>
    </row>
    <row r="104" spans="1:12">
      <c r="A104" s="137"/>
      <c r="B104" s="137"/>
      <c r="C104" s="60"/>
      <c r="D104" s="137">
        <f t="shared" si="5"/>
        <v>15.000000000000027</v>
      </c>
      <c r="E104" s="137">
        <f t="shared" si="5"/>
        <v>4.9999999999999822</v>
      </c>
      <c r="F104" s="137"/>
      <c r="G104" s="137">
        <f t="shared" ref="G104:H104" si="29">(G76-F76)*1440</f>
        <v>3.9999999999999858</v>
      </c>
      <c r="H104" s="137">
        <f t="shared" si="29"/>
        <v>16.000000000000021</v>
      </c>
      <c r="I104" s="60"/>
      <c r="J104" s="137">
        <f t="shared" ref="J104:K104" si="30">(J76-I76)*1440</f>
        <v>12.000000000000037</v>
      </c>
      <c r="K104" s="137">
        <f t="shared" si="30"/>
        <v>1.9999999999999929</v>
      </c>
      <c r="L104" s="60"/>
    </row>
    <row r="105" spans="1:12">
      <c r="A105" s="137"/>
      <c r="B105" s="137"/>
      <c r="C105" s="60"/>
      <c r="D105" s="137">
        <f t="shared" si="5"/>
        <v>6.9999999999999751</v>
      </c>
      <c r="E105" s="137">
        <f t="shared" si="5"/>
        <v>4.9999999999999822</v>
      </c>
      <c r="F105" s="137"/>
      <c r="G105" s="137">
        <f t="shared" ref="G105:H105" si="31">(G77-F77)*1440</f>
        <v>3.0000000000001492</v>
      </c>
      <c r="H105" s="137">
        <f t="shared" si="31"/>
        <v>2.9999999999999893</v>
      </c>
      <c r="I105" s="60"/>
      <c r="J105" s="137">
        <f t="shared" ref="J105:K105" si="32">(J77-I77)*1440</f>
        <v>3.9999999999999858</v>
      </c>
      <c r="K105" s="137">
        <f t="shared" si="32"/>
        <v>5.9999999999999787</v>
      </c>
      <c r="L105" s="60"/>
    </row>
    <row r="106" spans="1:12">
      <c r="A106" s="137"/>
      <c r="B106" s="137"/>
      <c r="C106" s="60"/>
      <c r="D106" s="137">
        <f t="shared" si="5"/>
        <v>0.99999999999999645</v>
      </c>
      <c r="E106" s="137">
        <f t="shared" si="5"/>
        <v>2.9999999999999893</v>
      </c>
      <c r="F106" s="137"/>
      <c r="G106" s="137">
        <f t="shared" ref="G106:H106" si="33">(G78-F78)*1440</f>
        <v>3.9999999999999858</v>
      </c>
      <c r="H106" s="137">
        <f t="shared" si="33"/>
        <v>19.000000000000092</v>
      </c>
      <c r="I106" s="60"/>
      <c r="J106" s="137">
        <f t="shared" ref="J106:K106" si="34">(J78-I78)*1440</f>
        <v>18.999999999999932</v>
      </c>
      <c r="K106" s="137">
        <f t="shared" si="34"/>
        <v>2.9999999999999893</v>
      </c>
      <c r="L106" s="60"/>
    </row>
    <row r="107" spans="1:12">
      <c r="A107" s="137"/>
      <c r="B107" s="137"/>
      <c r="C107" s="60"/>
      <c r="D107" s="137">
        <f t="shared" ref="D107:E115" si="35">(D79-C79)*1440</f>
        <v>6.9999999999999751</v>
      </c>
      <c r="E107" s="137">
        <f t="shared" si="35"/>
        <v>1.9999999999999929</v>
      </c>
      <c r="F107" s="137"/>
      <c r="G107" s="137">
        <f t="shared" ref="G107:H107" si="36">(G79-F79)*1440</f>
        <v>1.9999999999999929</v>
      </c>
      <c r="H107" s="137">
        <f t="shared" si="36"/>
        <v>5.9999999999999787</v>
      </c>
      <c r="I107" s="60"/>
      <c r="J107" s="137">
        <f t="shared" ref="J107:K107" si="37">(J79-I79)*1440</f>
        <v>11.000000000000121</v>
      </c>
      <c r="K107" s="137">
        <f t="shared" si="37"/>
        <v>5.9999999999999787</v>
      </c>
      <c r="L107" s="60"/>
    </row>
    <row r="108" spans="1:12">
      <c r="A108" s="137"/>
      <c r="B108" s="137"/>
      <c r="C108" s="60"/>
      <c r="D108" s="137">
        <f t="shared" si="35"/>
        <v>12.000000000000117</v>
      </c>
      <c r="E108" s="137">
        <f t="shared" si="35"/>
        <v>0.99999999999999645</v>
      </c>
      <c r="F108" s="137"/>
      <c r="G108" s="137">
        <f t="shared" ref="G108:H108" si="38">(G80-F80)*1440</f>
        <v>5.9999999999999787</v>
      </c>
      <c r="H108" s="137">
        <f t="shared" si="38"/>
        <v>1.9999999999999929</v>
      </c>
      <c r="I108" s="60"/>
      <c r="J108" s="137">
        <f t="shared" ref="J108:K108" si="39">(J80-I80)*1440</f>
        <v>29.999999999999893</v>
      </c>
      <c r="K108" s="137">
        <f t="shared" si="39"/>
        <v>46.999999999999993</v>
      </c>
      <c r="L108" s="60"/>
    </row>
    <row r="109" spans="1:12">
      <c r="A109" s="137"/>
      <c r="B109" s="137"/>
      <c r="C109" s="60"/>
      <c r="D109" s="137">
        <f t="shared" si="35"/>
        <v>0.99999999999999645</v>
      </c>
      <c r="E109" s="137">
        <f t="shared" si="35"/>
        <v>16.99999999999994</v>
      </c>
      <c r="F109" s="137"/>
      <c r="G109" s="137">
        <f t="shared" ref="G109:H109" si="40">(G81-F81)*1440</f>
        <v>1.9999999999999929</v>
      </c>
      <c r="H109" s="137">
        <f t="shared" si="40"/>
        <v>49.999999999999986</v>
      </c>
      <c r="I109" s="60"/>
      <c r="J109" s="158"/>
      <c r="K109" s="158"/>
      <c r="L109" s="60"/>
    </row>
    <row r="110" spans="1:12">
      <c r="A110" s="137"/>
      <c r="B110" s="137"/>
      <c r="C110" s="60"/>
      <c r="D110" s="137">
        <f t="shared" si="35"/>
        <v>6.9999999999999751</v>
      </c>
      <c r="E110" s="137">
        <f t="shared" si="35"/>
        <v>0</v>
      </c>
      <c r="F110" s="137"/>
      <c r="G110" s="137">
        <f t="shared" ref="G110:H110" si="41">(G82-F82)*1440</f>
        <v>5.0000000000000622</v>
      </c>
      <c r="H110" s="137">
        <f t="shared" si="41"/>
        <v>0</v>
      </c>
      <c r="I110" s="60"/>
      <c r="J110" s="137">
        <f t="shared" ref="J110:K110" si="42">(J82-I82)*1440</f>
        <v>6.9999999999999751</v>
      </c>
      <c r="K110" s="137">
        <f t="shared" si="42"/>
        <v>14.00000000000003</v>
      </c>
      <c r="L110" s="60"/>
    </row>
    <row r="111" spans="1:12">
      <c r="A111" s="137"/>
      <c r="B111" s="137"/>
      <c r="C111" s="81"/>
      <c r="D111" s="137">
        <f t="shared" si="35"/>
        <v>2.9999999999999893</v>
      </c>
      <c r="E111" s="137">
        <f t="shared" si="35"/>
        <v>0.99999999999999645</v>
      </c>
      <c r="F111" s="137"/>
      <c r="G111" s="137">
        <f t="shared" ref="G111:H111" si="43">(G83-F83)*1440</f>
        <v>1.9999999999999929</v>
      </c>
      <c r="H111" s="137">
        <f t="shared" si="43"/>
        <v>14.999999999999947</v>
      </c>
      <c r="I111" s="81"/>
      <c r="J111" s="137">
        <f t="shared" ref="J111:K111" si="44">(J83-I83)*1440</f>
        <v>27.000000000000064</v>
      </c>
      <c r="K111" s="137">
        <f t="shared" si="44"/>
        <v>30.000000000000053</v>
      </c>
      <c r="L111" s="81"/>
    </row>
    <row r="112" spans="1:12">
      <c r="A112" s="137"/>
      <c r="B112" s="137"/>
      <c r="C112" s="60"/>
      <c r="D112" s="137">
        <f t="shared" si="35"/>
        <v>13.000000000000034</v>
      </c>
      <c r="E112" s="137">
        <f t="shared" si="35"/>
        <v>2.9999999999999893</v>
      </c>
      <c r="F112" s="137"/>
      <c r="G112" s="137">
        <f t="shared" ref="G112:H112" si="45">(G84-F84)*1440</f>
        <v>14.00000000000003</v>
      </c>
      <c r="H112" s="137">
        <f t="shared" si="45"/>
        <v>24.999999999999993</v>
      </c>
      <c r="I112" s="60"/>
      <c r="J112" s="137">
        <f t="shared" ref="J112:K112" si="46">(J84-I84)*1440</f>
        <v>4.9999999999999822</v>
      </c>
      <c r="K112" s="137">
        <f t="shared" si="46"/>
        <v>49.999999999999986</v>
      </c>
      <c r="L112" s="60"/>
    </row>
    <row r="113" spans="1:12">
      <c r="A113" s="137"/>
      <c r="B113" s="137"/>
      <c r="C113" s="60"/>
      <c r="D113" s="137">
        <f t="shared" si="35"/>
        <v>1.9999999999999929</v>
      </c>
      <c r="E113" s="137">
        <f t="shared" si="35"/>
        <v>15.000000000000107</v>
      </c>
      <c r="F113" s="137"/>
      <c r="G113" s="137">
        <f t="shared" ref="G113:H113" si="47">(G85-F85)*1440</f>
        <v>13.000000000000114</v>
      </c>
      <c r="H113" s="137">
        <f t="shared" si="47"/>
        <v>2.9999999999999893</v>
      </c>
      <c r="I113" s="60"/>
      <c r="J113" s="137">
        <f t="shared" ref="J113:K113" si="48">(J85-I85)*1440</f>
        <v>6.9999999999999751</v>
      </c>
      <c r="K113" s="137">
        <f t="shared" si="48"/>
        <v>19.999999999999929</v>
      </c>
      <c r="L113" s="60"/>
    </row>
    <row r="114" spans="1:12">
      <c r="A114" s="137"/>
      <c r="B114" s="137"/>
      <c r="C114" s="60"/>
      <c r="D114" s="137">
        <f t="shared" si="35"/>
        <v>6.9999999999999751</v>
      </c>
      <c r="E114" s="137">
        <f t="shared" si="35"/>
        <v>0</v>
      </c>
      <c r="F114" s="137"/>
      <c r="G114" s="137">
        <f t="shared" ref="G114:H114" si="49">(G86-F86)*1440</f>
        <v>9.0000000000001279</v>
      </c>
      <c r="H114" s="137">
        <f t="shared" si="49"/>
        <v>0</v>
      </c>
      <c r="I114" s="60"/>
      <c r="J114" s="137">
        <f t="shared" ref="J114:K114" si="50">(J86-I86)*1440</f>
        <v>11.999999999999957</v>
      </c>
      <c r="K114" s="137">
        <f t="shared" si="50"/>
        <v>3.9999999999999858</v>
      </c>
      <c r="L114" s="60"/>
    </row>
    <row r="115" spans="1:12">
      <c r="A115" s="137"/>
      <c r="B115" s="137"/>
      <c r="C115" s="60"/>
      <c r="D115" s="137">
        <f t="shared" si="35"/>
        <v>0.99999999999999645</v>
      </c>
      <c r="E115" s="137">
        <f t="shared" si="35"/>
        <v>2.9999999999999893</v>
      </c>
      <c r="F115" s="137"/>
      <c r="G115" s="137">
        <f t="shared" ref="G115:H115" si="51">(G87-F87)*1440</f>
        <v>0.99999999999999645</v>
      </c>
      <c r="H115" s="137">
        <f t="shared" si="51"/>
        <v>6.9999999999999751</v>
      </c>
      <c r="I115" s="60"/>
      <c r="J115" s="137">
        <f t="shared" ref="J115:K115" si="52">(J87-I87)*1440</f>
        <v>1.9999999999999929</v>
      </c>
      <c r="K115" s="137">
        <f t="shared" si="52"/>
        <v>18.000000000000096</v>
      </c>
      <c r="L115" s="60"/>
    </row>
    <row r="116" spans="1:12">
      <c r="C116" s="159" t="s">
        <v>237</v>
      </c>
      <c r="D116" s="160">
        <f>AVERAGE(D90:D115)</f>
        <v>8.1538461538461533</v>
      </c>
      <c r="E116" s="160">
        <f>AVERAGE(E90:E115)</f>
        <v>5.4230769230769198</v>
      </c>
      <c r="F116" s="160"/>
      <c r="G116" s="160">
        <f t="shared" ref="G116" si="53">AVERAGE(G90:G115)</f>
        <v>9.269230769230786</v>
      </c>
      <c r="H116" s="160">
        <f t="shared" ref="H116" si="54">AVERAGE(H90:H115)</f>
        <v>11.239999999999993</v>
      </c>
      <c r="I116" s="160"/>
      <c r="J116" s="160">
        <f t="shared" ref="J116" si="55">AVERAGE(J90:J115)</f>
        <v>14.636363636363637</v>
      </c>
      <c r="K116" s="160">
        <f t="shared" ref="K116" si="56">AVERAGE(K90:K115)</f>
        <v>14.499999999999998</v>
      </c>
    </row>
  </sheetData>
  <mergeCells count="2">
    <mergeCell ref="B2:L2"/>
    <mergeCell ref="B60:L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103"/>
  <sheetViews>
    <sheetView zoomScale="85" zoomScaleNormal="85" workbookViewId="0">
      <selection activeCell="C59" sqref="C59"/>
    </sheetView>
  </sheetViews>
  <sheetFormatPr defaultRowHeight="14.25"/>
  <cols>
    <col min="2" max="14" width="15.59765625" customWidth="1"/>
  </cols>
  <sheetData>
    <row r="2" spans="2:8">
      <c r="B2" s="150" t="s">
        <v>201</v>
      </c>
      <c r="C2" s="150"/>
      <c r="D2" s="150"/>
      <c r="E2" s="150"/>
      <c r="F2" s="150"/>
      <c r="G2" s="150"/>
      <c r="H2" s="150"/>
    </row>
    <row r="3" spans="2:8">
      <c r="B3" s="148" t="s">
        <v>226</v>
      </c>
      <c r="C3" s="149"/>
      <c r="D3" s="149"/>
      <c r="E3" s="149"/>
      <c r="F3" s="149"/>
      <c r="G3" s="149"/>
      <c r="H3" s="149"/>
    </row>
    <row r="4" spans="2:8">
      <c r="B4" s="93"/>
      <c r="C4" s="94" t="s">
        <v>190</v>
      </c>
      <c r="D4" s="94" t="s">
        <v>15</v>
      </c>
      <c r="E4" s="94" t="s">
        <v>191</v>
      </c>
      <c r="F4" s="94" t="s">
        <v>18</v>
      </c>
      <c r="G4" s="94" t="s">
        <v>192</v>
      </c>
      <c r="H4" s="94" t="s">
        <v>27</v>
      </c>
    </row>
    <row r="5" spans="2:8">
      <c r="B5" s="82" t="s">
        <v>188</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189</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49" t="s">
        <v>153</v>
      </c>
      <c r="C7" s="149"/>
      <c r="D7" s="149"/>
      <c r="E7" s="149"/>
      <c r="F7" s="149"/>
      <c r="G7" s="149"/>
      <c r="H7" s="149"/>
    </row>
    <row r="8" spans="2:8">
      <c r="B8" s="95"/>
      <c r="C8" s="95" t="s">
        <v>190</v>
      </c>
      <c r="D8" s="95" t="s">
        <v>15</v>
      </c>
      <c r="E8" s="95" t="s">
        <v>191</v>
      </c>
      <c r="F8" s="95" t="s">
        <v>18</v>
      </c>
      <c r="G8" s="95" t="s">
        <v>192</v>
      </c>
      <c r="H8" s="95" t="s">
        <v>27</v>
      </c>
    </row>
    <row r="9" spans="2:8">
      <c r="B9" s="82" t="s">
        <v>188</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189</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51" t="s">
        <v>200</v>
      </c>
      <c r="C12" s="151"/>
      <c r="D12" s="151"/>
      <c r="E12" s="151"/>
      <c r="F12" s="151"/>
      <c r="G12" s="151"/>
      <c r="H12" s="151"/>
    </row>
    <row r="13" spans="2:8">
      <c r="B13" s="148" t="s">
        <v>226</v>
      </c>
      <c r="C13" s="149"/>
      <c r="D13" s="149"/>
      <c r="E13" s="149"/>
      <c r="F13" s="149"/>
      <c r="G13" s="149"/>
      <c r="H13" s="149"/>
    </row>
    <row r="14" spans="2:8">
      <c r="B14" s="100"/>
      <c r="C14" s="101" t="s">
        <v>190</v>
      </c>
      <c r="D14" s="101" t="s">
        <v>15</v>
      </c>
      <c r="E14" s="101" t="s">
        <v>191</v>
      </c>
      <c r="F14" s="101" t="s">
        <v>18</v>
      </c>
      <c r="G14" s="101" t="s">
        <v>192</v>
      </c>
      <c r="H14" s="101" t="s">
        <v>27</v>
      </c>
    </row>
    <row r="15" spans="2:8">
      <c r="B15" s="98" t="s">
        <v>188</v>
      </c>
      <c r="C15" s="102">
        <v>23</v>
      </c>
      <c r="D15" s="103">
        <v>21</v>
      </c>
      <c r="E15" s="103">
        <v>22</v>
      </c>
      <c r="F15" s="103">
        <v>19</v>
      </c>
      <c r="G15" s="103">
        <v>15</v>
      </c>
      <c r="H15" s="103">
        <v>12</v>
      </c>
    </row>
    <row r="16" spans="2:8">
      <c r="B16" s="98" t="s">
        <v>189</v>
      </c>
      <c r="C16" s="103">
        <v>3</v>
      </c>
      <c r="D16" s="103">
        <v>5</v>
      </c>
      <c r="E16" s="103">
        <v>4</v>
      </c>
      <c r="F16" s="103">
        <v>7</v>
      </c>
      <c r="G16" s="103">
        <v>11</v>
      </c>
      <c r="H16" s="103">
        <v>14</v>
      </c>
    </row>
    <row r="17" spans="2:8">
      <c r="B17" s="147" t="s">
        <v>153</v>
      </c>
      <c r="C17" s="147"/>
      <c r="D17" s="147"/>
      <c r="E17" s="147"/>
      <c r="F17" s="147"/>
      <c r="G17" s="147"/>
      <c r="H17" s="147"/>
    </row>
    <row r="18" spans="2:8">
      <c r="B18" s="104"/>
      <c r="C18" s="104" t="s">
        <v>190</v>
      </c>
      <c r="D18" s="104" t="s">
        <v>15</v>
      </c>
      <c r="E18" s="104" t="s">
        <v>191</v>
      </c>
      <c r="F18" s="104" t="s">
        <v>18</v>
      </c>
      <c r="G18" s="104" t="s">
        <v>192</v>
      </c>
      <c r="H18" s="104" t="s">
        <v>27</v>
      </c>
    </row>
    <row r="19" spans="2:8">
      <c r="B19" s="98" t="s">
        <v>188</v>
      </c>
      <c r="C19" s="103">
        <v>26</v>
      </c>
      <c r="D19" s="103">
        <v>26</v>
      </c>
      <c r="E19" s="103">
        <v>26</v>
      </c>
      <c r="F19" s="103">
        <v>25</v>
      </c>
      <c r="G19" s="103">
        <v>22</v>
      </c>
      <c r="H19" s="103">
        <v>22</v>
      </c>
    </row>
    <row r="20" spans="2:8">
      <c r="B20" s="98" t="s">
        <v>189</v>
      </c>
      <c r="C20" s="103">
        <v>0</v>
      </c>
      <c r="D20" s="103">
        <v>0</v>
      </c>
      <c r="E20" s="103">
        <f xml:space="preserve"> 0 / 26</f>
        <v>0</v>
      </c>
      <c r="F20" s="103">
        <v>1</v>
      </c>
      <c r="G20" s="103">
        <v>4</v>
      </c>
      <c r="H20" s="103">
        <v>4</v>
      </c>
    </row>
    <row r="21" spans="2:8">
      <c r="G21" s="110"/>
    </row>
    <row r="22" spans="2:8">
      <c r="B22" s="146" t="s">
        <v>187</v>
      </c>
      <c r="C22" s="146"/>
    </row>
    <row r="23" spans="2:8">
      <c r="B23" s="109" t="s">
        <v>153</v>
      </c>
      <c r="C23" s="115" t="s">
        <v>226</v>
      </c>
      <c r="E23" t="s">
        <v>212</v>
      </c>
    </row>
    <row r="24" spans="2:8">
      <c r="B24" s="89">
        <f>'Duplo (Raw)'!AM21 * 1440</f>
        <v>28.00000000000006</v>
      </c>
      <c r="C24" s="89">
        <f>'ROY (Raw)'!AM9 * 1440</f>
        <v>34.999999999999957</v>
      </c>
    </row>
    <row r="25" spans="2:8">
      <c r="B25" s="89">
        <f>'Duplo (Raw)'!AM19 * 1440</f>
        <v>31.00000000000005</v>
      </c>
      <c r="C25" s="89">
        <f>'ROY (Raw)'!AM23 * 1440</f>
        <v>57.000000000000036</v>
      </c>
      <c r="E25" s="114"/>
      <c r="F25" s="114" t="str">
        <f>B23</f>
        <v>Duplo</v>
      </c>
      <c r="G25" s="114" t="str">
        <f>C23</f>
        <v>ROY</v>
      </c>
    </row>
    <row r="26" spans="2:8">
      <c r="B26" s="89">
        <f>'Duplo (Raw)'!AM28 * 1440</f>
        <v>32.000000000000043</v>
      </c>
      <c r="C26" s="89">
        <f>'ROY (Raw)'!AM21 * 1440</f>
        <v>70.000000000000071</v>
      </c>
      <c r="E26" t="s">
        <v>180</v>
      </c>
      <c r="F26" s="89">
        <f>AVERAGE(B24:B49)</f>
        <v>66.961538461538481</v>
      </c>
      <c r="G26" s="89">
        <f>AVERAGE(C24:C49)</f>
        <v>92.692307692307708</v>
      </c>
    </row>
    <row r="27" spans="2:8">
      <c r="B27" s="89">
        <f>'Duplo (Raw)'!AM10 * 1440</f>
        <v>34.000000000000043</v>
      </c>
      <c r="C27" s="89">
        <f>'ROY (Raw)'!AM17 * 1440</f>
        <v>74.000000000000057</v>
      </c>
      <c r="E27" t="s">
        <v>213</v>
      </c>
      <c r="F27">
        <f>_xlfn.STDEV.S(B24:B49)/SQRT(COUNT(B24:B49))</f>
        <v>5.3626861148927851</v>
      </c>
      <c r="G27" s="106">
        <f>_xlfn.STDEV.S(C24:C49)/SQRT(COUNT(C24:C49))</f>
        <v>3.5720148293125007</v>
      </c>
    </row>
    <row r="28" spans="2:8">
      <c r="B28" s="89">
        <f>'Duplo (Raw)'!AM29 * 1440</f>
        <v>36.000000000000028</v>
      </c>
      <c r="C28" s="89">
        <f>'ROY (Raw)'!AM22 * 1440</f>
        <v>74.999999999999972</v>
      </c>
      <c r="E28" t="s">
        <v>181</v>
      </c>
      <c r="F28" s="89">
        <f>MEDIAN(B24:B49)</f>
        <v>63.50000000000005</v>
      </c>
      <c r="G28" s="89">
        <f>MEDIAN(C24:C49)</f>
        <v>104.99999999999994</v>
      </c>
    </row>
    <row r="29" spans="2:8">
      <c r="B29" s="89">
        <f>'Duplo (Raw)'!AM16 * 1440</f>
        <v>42.000000000000014</v>
      </c>
      <c r="C29" s="89">
        <f>'ROY (Raw)'!AM5 * 1440</f>
        <v>81.000000000000028</v>
      </c>
      <c r="E29" t="s">
        <v>214</v>
      </c>
      <c r="F29">
        <f>MODE(B24:B49)</f>
        <v>104.99999999999994</v>
      </c>
      <c r="G29" s="106">
        <f>MODE(C24:C49)</f>
        <v>104.99999999999994</v>
      </c>
    </row>
    <row r="30" spans="2:8">
      <c r="B30" s="89">
        <f>'Duplo (Raw)'!AM24 * 1440</f>
        <v>43.000000000000007</v>
      </c>
      <c r="C30" s="89">
        <f>'ROY (Raw)'!AM28 * 1440</f>
        <v>86.000000000000014</v>
      </c>
      <c r="E30" t="s">
        <v>179</v>
      </c>
      <c r="F30">
        <f>_xlfn.STDEV.S(B24:B49)</f>
        <v>27.344441145111389</v>
      </c>
      <c r="G30" s="106">
        <f>_xlfn.STDEV.S(C24:C49)</f>
        <v>18.21377331750724</v>
      </c>
    </row>
    <row r="31" spans="2:8">
      <c r="B31" s="89">
        <f>'Duplo (Raw)'!AM8 * 1440</f>
        <v>47.999999999999986</v>
      </c>
      <c r="C31" s="89">
        <f>'ROY (Raw)'!AM10 * 1440</f>
        <v>87.000000000000014</v>
      </c>
      <c r="E31" t="s">
        <v>215</v>
      </c>
      <c r="F31">
        <f>_xlfn.VAR.S(B24:B49)</f>
        <v>747.7184615384607</v>
      </c>
      <c r="G31" s="106">
        <f>_xlfn.VAR.S(C24:C49)</f>
        <v>331.74153846153871</v>
      </c>
    </row>
    <row r="32" spans="2:8">
      <c r="B32" s="89">
        <f>'Duplo (Raw)'!AM20 * 1440</f>
        <v>47.999999999999986</v>
      </c>
      <c r="C32" s="89">
        <f>'ROY (Raw)'!AM11 * 1440</f>
        <v>89</v>
      </c>
      <c r="E32" t="s">
        <v>216</v>
      </c>
      <c r="F32">
        <f>KURT(B24:B49)</f>
        <v>-1.4820628376530973</v>
      </c>
      <c r="G32" s="106">
        <f>KURT(C24:C49)</f>
        <v>2.8677376911807317</v>
      </c>
    </row>
    <row r="33" spans="2:7">
      <c r="B33" s="89">
        <f>'Duplo (Raw)'!AM27 * 1440</f>
        <v>48.999999999999986</v>
      </c>
      <c r="C33" s="89">
        <f>'ROY (Raw)'!AM27 * 1440</f>
        <v>89</v>
      </c>
      <c r="E33" t="s">
        <v>217</v>
      </c>
      <c r="F33">
        <f>SKEW(B24:B49)</f>
        <v>0.16550870075093296</v>
      </c>
      <c r="G33" s="106">
        <f>SKEW(C24:C49)</f>
        <v>-1.6886899202746464</v>
      </c>
    </row>
    <row r="34" spans="2:7">
      <c r="B34" s="89">
        <f>'Duplo (Raw)'!AM7 * 1440</f>
        <v>52.999999999999972</v>
      </c>
      <c r="C34" s="89">
        <f>'ROY (Raw)'!AM20 * 1440</f>
        <v>92.000000000000071</v>
      </c>
      <c r="E34" t="s">
        <v>218</v>
      </c>
      <c r="F34">
        <f>F35-F36</f>
        <v>77.000000000000057</v>
      </c>
      <c r="G34" s="106">
        <f>G35-G36</f>
        <v>70.000000000000156</v>
      </c>
    </row>
    <row r="35" spans="2:7">
      <c r="B35" s="89">
        <f>'Duplo (Raw)'!AM17 * 1440</f>
        <v>54.999999999999964</v>
      </c>
      <c r="C35" s="89">
        <f>'ROY (Raw)'!AM4 * 1440</f>
        <v>104.99999999999994</v>
      </c>
      <c r="E35" t="s">
        <v>178</v>
      </c>
      <c r="F35" s="89">
        <f>MAX(B24:B49)</f>
        <v>105.00000000000011</v>
      </c>
      <c r="G35" s="89">
        <f>MAX(C24:C49)</f>
        <v>105.00000000000011</v>
      </c>
    </row>
    <row r="36" spans="2:7">
      <c r="B36" s="89">
        <f>'Duplo (Raw)'!AM11 * 1440</f>
        <v>61.000000000000099</v>
      </c>
      <c r="C36" s="89">
        <f>'ROY (Raw)'!AM7 * 1440</f>
        <v>104.99999999999994</v>
      </c>
      <c r="E36" t="s">
        <v>177</v>
      </c>
      <c r="F36" s="89">
        <f>MIN(B24:B49)</f>
        <v>28.00000000000006</v>
      </c>
      <c r="G36" s="89">
        <f>MIN(C24:C49)</f>
        <v>34.999999999999957</v>
      </c>
    </row>
    <row r="37" spans="2:7">
      <c r="B37" s="89">
        <f>'Duplo (Raw)'!AM18 * 1440</f>
        <v>66</v>
      </c>
      <c r="C37" s="89">
        <f>'ROY (Raw)'!AM8 * 1440</f>
        <v>104.99999999999994</v>
      </c>
      <c r="E37" t="s">
        <v>219</v>
      </c>
      <c r="F37" s="89">
        <f>SUM(B24:B49)</f>
        <v>1741.0000000000005</v>
      </c>
      <c r="G37" s="89">
        <f>SUM(C24:C49)</f>
        <v>2410.0000000000005</v>
      </c>
    </row>
    <row r="38" spans="2:7">
      <c r="B38" s="89">
        <f>'Duplo (Raw)'!AM13 * 1440</f>
        <v>69.999999999999986</v>
      </c>
      <c r="C38" s="89">
        <f>'ROY (Raw)'!AM13 * 1440</f>
        <v>104.99999999999994</v>
      </c>
      <c r="E38" t="s">
        <v>220</v>
      </c>
      <c r="F38">
        <f>COUNT(B24:B49)</f>
        <v>26</v>
      </c>
      <c r="G38" s="106">
        <f>COUNT(C24:C49)</f>
        <v>26</v>
      </c>
    </row>
    <row r="39" spans="2:7">
      <c r="B39" s="89">
        <f>'Duplo (Raw)'!AM4 * 1440</f>
        <v>74.000000000000057</v>
      </c>
      <c r="C39" s="89">
        <f>'ROY (Raw)'!AM14 * 1440</f>
        <v>104.99999999999994</v>
      </c>
      <c r="E39" t="s">
        <v>221</v>
      </c>
      <c r="F39">
        <f>GEOMEAN(B24:B49)</f>
        <v>61.310123422634391</v>
      </c>
      <c r="G39" s="106">
        <f>GEOMEAN(C24:C49)</f>
        <v>90.334893608702103</v>
      </c>
    </row>
    <row r="40" spans="2:7">
      <c r="B40" s="89">
        <f>'Duplo (Raw)'!AM25 * 1440</f>
        <v>78.000000000000043</v>
      </c>
      <c r="C40" s="89">
        <f>'ROY (Raw)'!AM24 * 1440</f>
        <v>104.99999999999994</v>
      </c>
      <c r="E40" t="s">
        <v>222</v>
      </c>
      <c r="F40">
        <f>HARMEAN(B24:B49)</f>
        <v>55.7978952986875</v>
      </c>
      <c r="G40" s="106">
        <f>HARMEAN(C24:C49)</f>
        <v>86.981450680303425</v>
      </c>
    </row>
    <row r="41" spans="2:7">
      <c r="B41" s="89">
        <f>'Duplo (Raw)'!AM15 * 1440</f>
        <v>84.999999999999943</v>
      </c>
      <c r="C41" s="89">
        <f>'ROY (Raw)'!AM25 * 1440</f>
        <v>104.99999999999994</v>
      </c>
      <c r="E41" t="s">
        <v>223</v>
      </c>
      <c r="F41">
        <f>AVEDEV(B24:B49)</f>
        <v>23.958579881656799</v>
      </c>
      <c r="G41" s="106">
        <f>AVEDEV(C24:C49)</f>
        <v>14.201183431952652</v>
      </c>
    </row>
    <row r="42" spans="2:7">
      <c r="B42" s="89">
        <f>'Duplo (Raw)'!AM5 * 1440</f>
        <v>92</v>
      </c>
      <c r="C42" s="89">
        <f>'ROY (Raw)'!AM26 * 1440</f>
        <v>104.99999999999994</v>
      </c>
      <c r="E42" t="s">
        <v>224</v>
      </c>
      <c r="F42">
        <f>[1]!MAD(B24:B49)</f>
        <v>24.500000000000028</v>
      </c>
      <c r="G42" s="106">
        <f>[1]!MAD(C24:C49)</f>
        <v>1.7053025658242404E-13</v>
      </c>
    </row>
    <row r="43" spans="2:7">
      <c r="B43" s="89">
        <f>'Duplo (Raw)'!AM22 * 1440</f>
        <v>93.999999999999986</v>
      </c>
      <c r="C43" s="89">
        <f>'ROY (Raw)'!AM6 * 1440</f>
        <v>105.00000000000003</v>
      </c>
      <c r="E43" s="113" t="s">
        <v>225</v>
      </c>
      <c r="F43" s="113">
        <f>[1]!IQR(B24:B49,FALSE)</f>
        <v>49.249999999999986</v>
      </c>
      <c r="G43" s="113">
        <f>[1]!IQR(C24:C49,FALSE)</f>
        <v>18.749999999999986</v>
      </c>
    </row>
    <row r="44" spans="2:7">
      <c r="B44" s="89">
        <f>'Duplo (Raw)'!AM26 * 1440</f>
        <v>96.999999999999972</v>
      </c>
      <c r="C44" s="89">
        <f>'ROY (Raw)'!AM19 * 1440</f>
        <v>105.00000000000003</v>
      </c>
    </row>
    <row r="45" spans="2:7">
      <c r="B45" s="89">
        <f>'Duplo (Raw)'!AM12 * 1440</f>
        <v>104.99999999999994</v>
      </c>
      <c r="C45" s="89">
        <f>'ROY (Raw)'!AM12 * 1440</f>
        <v>105.00000000000011</v>
      </c>
    </row>
    <row r="46" spans="2:7">
      <c r="B46" s="89">
        <f>'Duplo (Raw)'!AM14 * 1440</f>
        <v>104.99999999999994</v>
      </c>
      <c r="C46" s="89">
        <f>'ROY (Raw)'!AM15 * 1440</f>
        <v>105.00000000000011</v>
      </c>
    </row>
    <row r="47" spans="2:7">
      <c r="B47" s="89">
        <f>'Duplo (Raw)'!AM23 * 1440</f>
        <v>104.99999999999994</v>
      </c>
      <c r="C47" s="89">
        <f>'ROY (Raw)'!AM16 * 1440</f>
        <v>105.00000000000011</v>
      </c>
    </row>
    <row r="48" spans="2:7">
      <c r="B48" s="89">
        <f>'Duplo (Raw)'!AM6 * 1440</f>
        <v>105.00000000000011</v>
      </c>
      <c r="C48" s="89">
        <f>'ROY (Raw)'!AM18 * 1440</f>
        <v>105.00000000000011</v>
      </c>
    </row>
    <row r="49" spans="2:15">
      <c r="B49" s="89">
        <f>'Duplo (Raw)'!AM9 * 1440</f>
        <v>105.00000000000011</v>
      </c>
      <c r="C49" s="89">
        <f>'ROY (Raw)'!AM29 * 1440</f>
        <v>105.00000000000011</v>
      </c>
    </row>
    <row r="51" spans="2:15">
      <c r="B51" s="117" t="s">
        <v>228</v>
      </c>
      <c r="C51" s="117" t="s">
        <v>227</v>
      </c>
      <c r="D51" s="117" t="s">
        <v>229</v>
      </c>
    </row>
    <row r="52" spans="2:15">
      <c r="B52" s="116" t="s">
        <v>153</v>
      </c>
      <c r="C52" s="116">
        <v>28.00000000000006</v>
      </c>
    </row>
    <row r="53" spans="2:15">
      <c r="B53" s="116" t="s">
        <v>153</v>
      </c>
      <c r="C53" s="116">
        <v>31.00000000000005</v>
      </c>
      <c r="O53" s="110" t="s">
        <v>209</v>
      </c>
    </row>
    <row r="54" spans="2:15">
      <c r="B54" s="116" t="s">
        <v>153</v>
      </c>
      <c r="C54" s="116">
        <v>32.000000000000043</v>
      </c>
    </row>
    <row r="55" spans="2:15">
      <c r="B55" s="116" t="s">
        <v>153</v>
      </c>
      <c r="C55" s="116">
        <v>34.000000000000043</v>
      </c>
    </row>
    <row r="56" spans="2:15">
      <c r="B56" s="116" t="s">
        <v>226</v>
      </c>
      <c r="C56" s="116">
        <v>34.999999999999957</v>
      </c>
    </row>
    <row r="57" spans="2:15">
      <c r="B57" s="116" t="s">
        <v>153</v>
      </c>
      <c r="C57" s="116">
        <v>36.000000000000028</v>
      </c>
    </row>
    <row r="58" spans="2:15">
      <c r="B58" s="116" t="s">
        <v>153</v>
      </c>
      <c r="C58" s="116">
        <v>42.000000000000014</v>
      </c>
    </row>
    <row r="59" spans="2:15">
      <c r="B59" s="116" t="s">
        <v>153</v>
      </c>
      <c r="C59" s="116">
        <v>43.000000000000007</v>
      </c>
    </row>
    <row r="60" spans="2:15">
      <c r="B60" s="116" t="s">
        <v>153</v>
      </c>
      <c r="C60" s="116">
        <v>47.999999999999986</v>
      </c>
    </row>
    <row r="61" spans="2:15">
      <c r="B61" s="116" t="s">
        <v>153</v>
      </c>
      <c r="C61" s="116">
        <v>47.999999999999986</v>
      </c>
    </row>
    <row r="62" spans="2:15">
      <c r="B62" s="116" t="s">
        <v>153</v>
      </c>
      <c r="C62" s="116">
        <v>48.999999999999986</v>
      </c>
    </row>
    <row r="63" spans="2:15">
      <c r="B63" s="116" t="s">
        <v>153</v>
      </c>
      <c r="C63" s="116">
        <v>52.999999999999972</v>
      </c>
    </row>
    <row r="64" spans="2:15">
      <c r="B64" s="116" t="s">
        <v>153</v>
      </c>
      <c r="C64" s="116">
        <v>54.999999999999964</v>
      </c>
    </row>
    <row r="65" spans="2:3">
      <c r="B65" s="116" t="s">
        <v>226</v>
      </c>
      <c r="C65" s="116">
        <v>57.000000000000036</v>
      </c>
    </row>
    <row r="66" spans="2:3">
      <c r="B66" s="116" t="s">
        <v>153</v>
      </c>
      <c r="C66" s="116">
        <v>61.000000000000099</v>
      </c>
    </row>
    <row r="67" spans="2:3">
      <c r="B67" s="116" t="s">
        <v>153</v>
      </c>
      <c r="C67" s="116">
        <v>66</v>
      </c>
    </row>
    <row r="68" spans="2:3">
      <c r="B68" s="116" t="s">
        <v>153</v>
      </c>
      <c r="C68" s="116">
        <v>69.999999999999986</v>
      </c>
    </row>
    <row r="69" spans="2:3">
      <c r="B69" s="116" t="s">
        <v>226</v>
      </c>
      <c r="C69" s="116">
        <v>70.000000000000071</v>
      </c>
    </row>
    <row r="70" spans="2:3">
      <c r="B70" s="116" t="s">
        <v>153</v>
      </c>
      <c r="C70" s="116">
        <v>74.000000000000057</v>
      </c>
    </row>
    <row r="71" spans="2:3">
      <c r="B71" s="116" t="s">
        <v>226</v>
      </c>
      <c r="C71" s="116">
        <v>74.000000000000057</v>
      </c>
    </row>
    <row r="72" spans="2:3">
      <c r="B72" s="116" t="s">
        <v>226</v>
      </c>
      <c r="C72" s="116">
        <v>74.999999999999972</v>
      </c>
    </row>
    <row r="73" spans="2:3">
      <c r="B73" s="116" t="s">
        <v>153</v>
      </c>
      <c r="C73" s="116">
        <v>78.000000000000043</v>
      </c>
    </row>
    <row r="74" spans="2:3">
      <c r="B74" s="116" t="s">
        <v>226</v>
      </c>
      <c r="C74" s="116">
        <v>81.000000000000028</v>
      </c>
    </row>
    <row r="75" spans="2:3">
      <c r="B75" s="116" t="s">
        <v>153</v>
      </c>
      <c r="C75" s="116">
        <v>84.999999999999943</v>
      </c>
    </row>
    <row r="76" spans="2:3">
      <c r="B76" s="116" t="s">
        <v>226</v>
      </c>
      <c r="C76" s="116">
        <v>86.000000000000014</v>
      </c>
    </row>
    <row r="77" spans="2:3">
      <c r="B77" s="116" t="s">
        <v>226</v>
      </c>
      <c r="C77" s="116">
        <v>87.000000000000014</v>
      </c>
    </row>
    <row r="78" spans="2:3">
      <c r="B78" s="116" t="s">
        <v>226</v>
      </c>
      <c r="C78" s="116">
        <v>89</v>
      </c>
    </row>
    <row r="79" spans="2:3">
      <c r="B79" s="116" t="s">
        <v>226</v>
      </c>
      <c r="C79" s="116">
        <v>89</v>
      </c>
    </row>
    <row r="80" spans="2:3">
      <c r="B80" s="116" t="s">
        <v>153</v>
      </c>
      <c r="C80" s="116">
        <v>92</v>
      </c>
    </row>
    <row r="81" spans="2:4">
      <c r="B81" s="116" t="s">
        <v>226</v>
      </c>
      <c r="C81" s="116">
        <v>92.000000000000071</v>
      </c>
    </row>
    <row r="82" spans="2:4">
      <c r="B82" s="116" t="s">
        <v>153</v>
      </c>
      <c r="C82" s="116">
        <v>93.999999999999986</v>
      </c>
    </row>
    <row r="83" spans="2:4">
      <c r="B83" s="116" t="s">
        <v>153</v>
      </c>
      <c r="C83" s="116">
        <v>96.999999999999972</v>
      </c>
    </row>
    <row r="84" spans="2:4">
      <c r="B84" s="116" t="s">
        <v>226</v>
      </c>
      <c r="C84" s="116">
        <v>104.99999999999994</v>
      </c>
    </row>
    <row r="85" spans="2:4">
      <c r="B85" s="116" t="s">
        <v>153</v>
      </c>
      <c r="C85" s="116">
        <v>104.99999999999994</v>
      </c>
      <c r="D85" s="119" t="s">
        <v>232</v>
      </c>
    </row>
    <row r="86" spans="2:4">
      <c r="B86" s="116" t="s">
        <v>153</v>
      </c>
      <c r="C86" s="116">
        <v>104.99999999999994</v>
      </c>
      <c r="D86" s="119" t="s">
        <v>232</v>
      </c>
    </row>
    <row r="87" spans="2:4">
      <c r="B87" s="116" t="s">
        <v>153</v>
      </c>
      <c r="C87" s="116">
        <v>104.99999999999994</v>
      </c>
      <c r="D87" s="119" t="s">
        <v>232</v>
      </c>
    </row>
    <row r="88" spans="2:4">
      <c r="B88" s="116" t="s">
        <v>226</v>
      </c>
      <c r="C88" s="116">
        <v>104.99999999999994</v>
      </c>
      <c r="D88" s="119" t="s">
        <v>232</v>
      </c>
    </row>
    <row r="89" spans="2:4">
      <c r="B89" s="116" t="s">
        <v>226</v>
      </c>
      <c r="C89" s="116">
        <v>104.99999999999994</v>
      </c>
      <c r="D89" s="119" t="s">
        <v>232</v>
      </c>
    </row>
    <row r="90" spans="2:4">
      <c r="B90" s="116" t="s">
        <v>226</v>
      </c>
      <c r="C90" s="116">
        <v>104.99999999999994</v>
      </c>
      <c r="D90" s="119" t="s">
        <v>232</v>
      </c>
    </row>
    <row r="91" spans="2:4">
      <c r="B91" s="116" t="s">
        <v>226</v>
      </c>
      <c r="C91" s="116">
        <v>104.99999999999994</v>
      </c>
      <c r="D91" s="119" t="s">
        <v>232</v>
      </c>
    </row>
    <row r="92" spans="2:4">
      <c r="B92" s="116" t="s">
        <v>226</v>
      </c>
      <c r="C92" s="116">
        <v>104.99999999999994</v>
      </c>
      <c r="D92" s="119" t="s">
        <v>232</v>
      </c>
    </row>
    <row r="93" spans="2:4">
      <c r="B93" s="116" t="s">
        <v>226</v>
      </c>
      <c r="C93" s="116">
        <v>104.99999999999994</v>
      </c>
      <c r="D93" s="119" t="s">
        <v>232</v>
      </c>
    </row>
    <row r="94" spans="2:4">
      <c r="B94" s="116" t="s">
        <v>226</v>
      </c>
      <c r="C94" s="116">
        <v>104.99999999999994</v>
      </c>
      <c r="D94" s="119" t="s">
        <v>232</v>
      </c>
    </row>
    <row r="95" spans="2:4">
      <c r="B95" s="116" t="s">
        <v>226</v>
      </c>
      <c r="C95" s="116">
        <v>105.00000000000003</v>
      </c>
      <c r="D95" s="119" t="s">
        <v>232</v>
      </c>
    </row>
    <row r="96" spans="2:4">
      <c r="B96" s="116" t="s">
        <v>226</v>
      </c>
      <c r="C96" s="116">
        <v>105.00000000000003</v>
      </c>
      <c r="D96" s="119" t="s">
        <v>232</v>
      </c>
    </row>
    <row r="97" spans="2:4">
      <c r="B97" s="116" t="s">
        <v>153</v>
      </c>
      <c r="C97" s="116">
        <v>105.00000000000011</v>
      </c>
      <c r="D97" s="119" t="s">
        <v>232</v>
      </c>
    </row>
    <row r="98" spans="2:4">
      <c r="B98" s="116" t="s">
        <v>153</v>
      </c>
      <c r="C98" s="116">
        <v>105.00000000000011</v>
      </c>
      <c r="D98" s="119" t="s">
        <v>232</v>
      </c>
    </row>
    <row r="99" spans="2:4">
      <c r="B99" s="116" t="s">
        <v>226</v>
      </c>
      <c r="C99" s="116">
        <v>105.00000000000011</v>
      </c>
      <c r="D99" s="119" t="s">
        <v>232</v>
      </c>
    </row>
    <row r="100" spans="2:4">
      <c r="B100" s="116" t="s">
        <v>226</v>
      </c>
      <c r="C100" s="116">
        <v>105.00000000000011</v>
      </c>
      <c r="D100" s="119" t="s">
        <v>232</v>
      </c>
    </row>
    <row r="101" spans="2:4">
      <c r="B101" s="116" t="s">
        <v>226</v>
      </c>
      <c r="C101" s="116">
        <v>105.00000000000011</v>
      </c>
      <c r="D101" s="119" t="s">
        <v>232</v>
      </c>
    </row>
    <row r="102" spans="2:4">
      <c r="B102" s="116" t="s">
        <v>226</v>
      </c>
      <c r="C102" s="116">
        <v>105.00000000000011</v>
      </c>
      <c r="D102" s="119" t="s">
        <v>232</v>
      </c>
    </row>
    <row r="103" spans="2:4">
      <c r="B103" s="116" t="s">
        <v>226</v>
      </c>
      <c r="C103" s="116">
        <v>105.00000000000011</v>
      </c>
      <c r="D103" s="119" t="s">
        <v>232</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A2:P106"/>
  <sheetViews>
    <sheetView zoomScale="85" zoomScaleNormal="85" workbookViewId="0">
      <selection activeCell="I48" sqref="I48"/>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7" width="17.59765625" customWidth="1"/>
    <col min="8" max="8" width="23.33203125" customWidth="1"/>
    <col min="9" max="12" width="17.59765625" customWidth="1"/>
    <col min="13" max="14" width="17.59765625" style="99" customWidth="1"/>
    <col min="15" max="16" width="17.59765625" customWidth="1"/>
  </cols>
  <sheetData>
    <row r="2" spans="2:16" ht="39.75" customHeight="1">
      <c r="B2" s="153" t="s">
        <v>24</v>
      </c>
      <c r="C2" s="153"/>
      <c r="D2" s="153" t="s">
        <v>210</v>
      </c>
      <c r="E2" s="153"/>
      <c r="F2" s="152" t="s">
        <v>211</v>
      </c>
      <c r="G2" s="152"/>
      <c r="M2"/>
      <c r="N2"/>
    </row>
    <row r="3" spans="2:16">
      <c r="B3" s="109" t="s">
        <v>153</v>
      </c>
      <c r="C3" s="109" t="s">
        <v>226</v>
      </c>
      <c r="D3" s="109" t="s">
        <v>153</v>
      </c>
      <c r="E3" s="109" t="s">
        <v>226</v>
      </c>
      <c r="F3" s="109" t="s">
        <v>153</v>
      </c>
      <c r="G3" s="109" t="s">
        <v>226</v>
      </c>
      <c r="H3" s="124"/>
      <c r="M3"/>
      <c r="N3"/>
    </row>
    <row r="4" spans="2:16">
      <c r="B4" s="125">
        <v>10</v>
      </c>
      <c r="C4" s="125">
        <v>9</v>
      </c>
      <c r="D4" s="125">
        <v>9</v>
      </c>
      <c r="E4" s="125">
        <v>11</v>
      </c>
      <c r="F4" s="125">
        <v>5</v>
      </c>
      <c r="G4" s="125">
        <v>7</v>
      </c>
      <c r="M4"/>
      <c r="N4"/>
    </row>
    <row r="5" spans="2:16">
      <c r="B5" s="125">
        <v>4</v>
      </c>
      <c r="C5" s="125">
        <v>12</v>
      </c>
      <c r="D5" s="125">
        <v>10</v>
      </c>
      <c r="E5" s="125">
        <v>12</v>
      </c>
      <c r="F5" s="125">
        <v>1</v>
      </c>
      <c r="G5" s="125">
        <v>1</v>
      </c>
      <c r="M5"/>
      <c r="N5"/>
      <c r="O5" s="21"/>
      <c r="P5" s="21"/>
    </row>
    <row r="6" spans="2:16">
      <c r="B6" s="125">
        <v>14</v>
      </c>
      <c r="C6" s="125">
        <v>21</v>
      </c>
      <c r="D6" s="125">
        <v>27</v>
      </c>
      <c r="E6" s="125">
        <v>8</v>
      </c>
      <c r="F6" s="125">
        <v>6</v>
      </c>
      <c r="G6" s="125">
        <v>0</v>
      </c>
      <c r="M6"/>
      <c r="N6"/>
      <c r="O6" s="21"/>
      <c r="P6" s="21"/>
    </row>
    <row r="7" spans="2:16">
      <c r="B7" s="125">
        <v>4</v>
      </c>
      <c r="C7" s="125">
        <v>19</v>
      </c>
      <c r="D7" s="125">
        <v>1</v>
      </c>
      <c r="E7" s="125">
        <v>20</v>
      </c>
      <c r="F7" s="125">
        <v>0</v>
      </c>
      <c r="G7" s="125">
        <v>1</v>
      </c>
      <c r="M7"/>
      <c r="N7"/>
      <c r="O7" s="21"/>
      <c r="P7" s="21"/>
    </row>
    <row r="8" spans="2:16">
      <c r="B8" s="125">
        <v>2</v>
      </c>
      <c r="C8" s="125">
        <v>12</v>
      </c>
      <c r="D8" s="125">
        <v>8</v>
      </c>
      <c r="E8" s="125">
        <v>16</v>
      </c>
      <c r="F8" s="125">
        <v>0</v>
      </c>
      <c r="G8" s="125">
        <v>3</v>
      </c>
      <c r="M8"/>
      <c r="N8"/>
      <c r="O8" s="21"/>
      <c r="P8" s="21"/>
    </row>
    <row r="9" spans="2:16">
      <c r="B9" s="125">
        <v>8</v>
      </c>
      <c r="C9" s="125">
        <v>6</v>
      </c>
      <c r="D9" s="125">
        <v>21</v>
      </c>
      <c r="E9" s="125">
        <v>7</v>
      </c>
      <c r="F9" s="125">
        <v>7</v>
      </c>
      <c r="G9" s="125">
        <v>0</v>
      </c>
      <c r="M9"/>
      <c r="N9"/>
      <c r="O9" s="21"/>
      <c r="P9" s="21"/>
    </row>
    <row r="10" spans="2:16">
      <c r="B10" s="125">
        <v>6</v>
      </c>
      <c r="C10" s="125">
        <v>4</v>
      </c>
      <c r="D10" s="125">
        <v>6</v>
      </c>
      <c r="E10" s="125">
        <v>14</v>
      </c>
      <c r="F10" s="125">
        <v>0</v>
      </c>
      <c r="G10" s="125">
        <v>3</v>
      </c>
      <c r="M10"/>
      <c r="N10"/>
      <c r="O10" s="21"/>
      <c r="P10" s="21"/>
    </row>
    <row r="11" spans="2:16">
      <c r="B11" s="125">
        <v>6</v>
      </c>
      <c r="C11" s="125">
        <v>5</v>
      </c>
      <c r="D11" s="125">
        <v>17</v>
      </c>
      <c r="E11" s="125">
        <v>15</v>
      </c>
      <c r="F11" s="125">
        <v>0</v>
      </c>
      <c r="G11" s="125">
        <v>3</v>
      </c>
      <c r="M11"/>
      <c r="N11"/>
      <c r="O11" s="21"/>
      <c r="P11" s="21"/>
    </row>
    <row r="12" spans="2:16">
      <c r="B12" s="125">
        <v>7</v>
      </c>
      <c r="C12" s="125">
        <v>9</v>
      </c>
      <c r="D12" s="125">
        <v>19</v>
      </c>
      <c r="E12" s="125">
        <v>10</v>
      </c>
      <c r="F12" s="125">
        <v>0</v>
      </c>
      <c r="G12" s="125">
        <v>9</v>
      </c>
      <c r="M12"/>
      <c r="N12"/>
      <c r="O12" s="21"/>
      <c r="P12" s="21"/>
    </row>
    <row r="13" spans="2:16">
      <c r="B13" s="125">
        <v>3</v>
      </c>
      <c r="C13" s="125">
        <v>2</v>
      </c>
      <c r="D13" s="125">
        <v>11</v>
      </c>
      <c r="E13" s="125">
        <v>7</v>
      </c>
      <c r="F13" s="125">
        <v>0</v>
      </c>
      <c r="G13" s="125">
        <v>4</v>
      </c>
      <c r="M13"/>
      <c r="N13"/>
      <c r="O13" s="21"/>
      <c r="P13" s="21"/>
    </row>
    <row r="14" spans="2:16">
      <c r="B14" s="125">
        <v>15</v>
      </c>
      <c r="C14" s="125">
        <v>9</v>
      </c>
      <c r="D14" s="125">
        <v>10</v>
      </c>
      <c r="E14" s="125">
        <v>24</v>
      </c>
      <c r="F14" s="125">
        <v>4</v>
      </c>
      <c r="G14" s="125">
        <v>0</v>
      </c>
      <c r="M14"/>
      <c r="N14"/>
      <c r="O14" s="21"/>
      <c r="P14" s="21"/>
    </row>
    <row r="15" spans="2:16" ht="15.75">
      <c r="B15" s="125">
        <v>12</v>
      </c>
      <c r="C15" s="126">
        <v>9</v>
      </c>
      <c r="D15" s="125">
        <v>5</v>
      </c>
      <c r="E15" s="126">
        <v>33</v>
      </c>
      <c r="F15" s="125">
        <v>8</v>
      </c>
      <c r="G15" s="125">
        <v>1</v>
      </c>
      <c r="M15"/>
      <c r="N15"/>
      <c r="O15" s="21"/>
      <c r="P15" s="21"/>
    </row>
    <row r="16" spans="2:16">
      <c r="B16" s="125">
        <v>0</v>
      </c>
      <c r="C16" s="125">
        <v>2</v>
      </c>
      <c r="D16" s="125">
        <v>4</v>
      </c>
      <c r="E16" s="125">
        <v>21</v>
      </c>
      <c r="F16" s="125">
        <v>0</v>
      </c>
      <c r="G16" s="125">
        <v>4</v>
      </c>
      <c r="M16"/>
      <c r="N16"/>
      <c r="O16" s="21"/>
      <c r="P16" s="21"/>
    </row>
    <row r="17" spans="1:16">
      <c r="B17" s="125">
        <v>7</v>
      </c>
      <c r="C17" s="125">
        <v>7</v>
      </c>
      <c r="D17" s="125">
        <v>4</v>
      </c>
      <c r="E17" s="125">
        <v>12</v>
      </c>
      <c r="F17" s="125">
        <v>1</v>
      </c>
      <c r="G17" s="125">
        <v>0</v>
      </c>
      <c r="M17"/>
      <c r="N17"/>
      <c r="O17" s="21"/>
      <c r="P17" s="21"/>
    </row>
    <row r="18" spans="1:16">
      <c r="B18" s="125">
        <v>4</v>
      </c>
      <c r="C18" s="125">
        <v>9</v>
      </c>
      <c r="D18" s="125">
        <v>2</v>
      </c>
      <c r="E18" s="125">
        <v>19</v>
      </c>
      <c r="F18" s="125">
        <v>0</v>
      </c>
      <c r="G18" s="125">
        <v>0</v>
      </c>
      <c r="M18"/>
      <c r="N18"/>
      <c r="O18" s="21"/>
      <c r="P18" s="21"/>
    </row>
    <row r="19" spans="1:16">
      <c r="B19" s="125">
        <v>2</v>
      </c>
      <c r="C19" s="125">
        <v>11</v>
      </c>
      <c r="D19" s="125">
        <v>12</v>
      </c>
      <c r="E19" s="125">
        <v>25</v>
      </c>
      <c r="F19" s="125">
        <v>0</v>
      </c>
      <c r="G19" s="125">
        <v>1</v>
      </c>
      <c r="M19"/>
      <c r="N19"/>
      <c r="O19" s="21"/>
      <c r="P19" s="21"/>
    </row>
    <row r="20" spans="1:16">
      <c r="B20" s="125">
        <v>1</v>
      </c>
      <c r="C20" s="125">
        <v>2</v>
      </c>
      <c r="D20" s="125">
        <v>2</v>
      </c>
      <c r="E20" s="125">
        <v>15</v>
      </c>
      <c r="F20" s="125">
        <v>3</v>
      </c>
      <c r="G20" s="125">
        <v>1</v>
      </c>
      <c r="M20"/>
      <c r="N20"/>
      <c r="O20" s="21"/>
      <c r="P20" s="21"/>
    </row>
    <row r="21" spans="1:16">
      <c r="B21" s="125">
        <v>3</v>
      </c>
      <c r="C21" s="125">
        <v>1</v>
      </c>
      <c r="D21" s="125">
        <v>8</v>
      </c>
      <c r="E21" s="125">
        <v>14</v>
      </c>
      <c r="F21" s="125">
        <v>0</v>
      </c>
      <c r="G21" s="125">
        <v>0</v>
      </c>
      <c r="M21"/>
      <c r="N21"/>
      <c r="O21" s="21"/>
      <c r="P21" s="21"/>
    </row>
    <row r="22" spans="1:16">
      <c r="B22" s="125">
        <v>2</v>
      </c>
      <c r="C22" s="125">
        <v>2</v>
      </c>
      <c r="D22" s="125">
        <v>37</v>
      </c>
      <c r="E22" s="125">
        <v>16</v>
      </c>
      <c r="F22" s="125">
        <v>8</v>
      </c>
      <c r="G22" s="125">
        <v>0</v>
      </c>
      <c r="M22"/>
      <c r="N22"/>
      <c r="O22" s="21"/>
      <c r="P22" s="21"/>
    </row>
    <row r="23" spans="1:16">
      <c r="B23" s="125">
        <v>3</v>
      </c>
      <c r="C23" s="125">
        <v>4</v>
      </c>
      <c r="D23" s="125">
        <v>23</v>
      </c>
      <c r="E23" s="125">
        <v>11</v>
      </c>
      <c r="F23" s="125">
        <v>7</v>
      </c>
      <c r="G23" s="125">
        <v>0</v>
      </c>
      <c r="M23"/>
      <c r="N23"/>
      <c r="O23" s="21"/>
      <c r="P23" s="21"/>
    </row>
    <row r="24" spans="1:16">
      <c r="B24" s="125">
        <v>0</v>
      </c>
      <c r="C24" s="125">
        <v>1</v>
      </c>
      <c r="D24" s="125">
        <v>6</v>
      </c>
      <c r="E24" s="125">
        <v>8</v>
      </c>
      <c r="F24" s="125">
        <v>0</v>
      </c>
      <c r="G24" s="125">
        <v>2</v>
      </c>
      <c r="M24"/>
      <c r="N24"/>
      <c r="O24" s="21"/>
      <c r="P24" s="21"/>
    </row>
    <row r="25" spans="1:16">
      <c r="B25" s="127">
        <v>2</v>
      </c>
      <c r="C25" s="125">
        <v>3</v>
      </c>
      <c r="D25" s="127">
        <v>11</v>
      </c>
      <c r="E25" s="125">
        <v>19</v>
      </c>
      <c r="F25" s="127">
        <v>1</v>
      </c>
      <c r="G25" s="125">
        <v>0</v>
      </c>
      <c r="M25"/>
      <c r="N25"/>
      <c r="O25" s="21"/>
      <c r="P25" s="21"/>
    </row>
    <row r="26" spans="1:16">
      <c r="B26" s="125">
        <v>1</v>
      </c>
      <c r="C26" s="125">
        <v>6</v>
      </c>
      <c r="D26" s="125">
        <v>9</v>
      </c>
      <c r="E26" s="125">
        <v>15</v>
      </c>
      <c r="F26" s="125">
        <v>7</v>
      </c>
      <c r="G26" s="125">
        <v>0</v>
      </c>
      <c r="M26"/>
      <c r="N26"/>
      <c r="O26" s="21"/>
      <c r="P26" s="21"/>
    </row>
    <row r="27" spans="1:16">
      <c r="B27" s="125">
        <v>1</v>
      </c>
      <c r="C27" s="125">
        <v>4</v>
      </c>
      <c r="D27" s="125">
        <v>4</v>
      </c>
      <c r="E27" s="125">
        <v>18</v>
      </c>
      <c r="F27" s="125">
        <v>0</v>
      </c>
      <c r="G27" s="125">
        <v>7</v>
      </c>
      <c r="M27"/>
      <c r="N27"/>
      <c r="O27" s="21"/>
      <c r="P27" s="21"/>
    </row>
    <row r="28" spans="1:16">
      <c r="B28" s="125">
        <v>1</v>
      </c>
      <c r="C28" s="125">
        <v>4</v>
      </c>
      <c r="D28" s="125">
        <v>2</v>
      </c>
      <c r="E28" s="125">
        <v>8</v>
      </c>
      <c r="F28" s="125">
        <v>0</v>
      </c>
      <c r="G28" s="125">
        <v>2</v>
      </c>
      <c r="M28"/>
      <c r="N28"/>
      <c r="O28" s="21"/>
      <c r="P28" s="21"/>
    </row>
    <row r="29" spans="1:16" s="121" customFormat="1">
      <c r="A29"/>
      <c r="B29" s="125">
        <v>0</v>
      </c>
      <c r="C29" s="125">
        <v>3</v>
      </c>
      <c r="D29" s="125">
        <v>1</v>
      </c>
      <c r="E29" s="125">
        <v>8</v>
      </c>
      <c r="F29" s="125">
        <v>0</v>
      </c>
      <c r="G29" s="125">
        <v>3</v>
      </c>
      <c r="H29"/>
      <c r="I29"/>
      <c r="J29"/>
      <c r="K29"/>
      <c r="O29" s="21"/>
      <c r="P29" s="21"/>
    </row>
    <row r="30" spans="1:16">
      <c r="B30"/>
      <c r="D30"/>
      <c r="F30"/>
      <c r="M30"/>
      <c r="N30"/>
    </row>
    <row r="31" spans="1:16" s="105" customFormat="1">
      <c r="A31"/>
      <c r="B31" s="153" t="s">
        <v>24</v>
      </c>
      <c r="C31" s="153"/>
      <c r="D31" s="153"/>
      <c r="E31"/>
      <c r="F31"/>
      <c r="G31"/>
      <c r="H31"/>
      <c r="I31"/>
      <c r="J31"/>
      <c r="K31"/>
    </row>
    <row r="32" spans="1:16" s="105" customFormat="1">
      <c r="A32"/>
      <c r="B32" s="111" t="s">
        <v>203</v>
      </c>
      <c r="C32" s="111">
        <v>2.2000000000000002</v>
      </c>
      <c r="D32" s="111"/>
      <c r="E32"/>
      <c r="F32"/>
      <c r="G32"/>
      <c r="H32"/>
      <c r="I32"/>
      <c r="J32"/>
      <c r="K32"/>
      <c r="L32"/>
      <c r="M32"/>
      <c r="N32"/>
      <c r="O32"/>
      <c r="P32"/>
    </row>
    <row r="33" spans="2:14">
      <c r="B33" s="111"/>
      <c r="C33" s="111"/>
      <c r="D33" s="111"/>
      <c r="F33"/>
      <c r="M33"/>
      <c r="N33"/>
    </row>
    <row r="34" spans="2:14">
      <c r="B34" s="111"/>
      <c r="C34" s="112" t="str">
        <f>B3</f>
        <v>Duplo</v>
      </c>
      <c r="D34" s="112" t="str">
        <f>C3</f>
        <v>ROY</v>
      </c>
      <c r="F34"/>
      <c r="M34"/>
      <c r="N34"/>
    </row>
    <row r="35" spans="2:14">
      <c r="B35" s="111" t="s">
        <v>182</v>
      </c>
      <c r="C35" s="111">
        <f>C42-$C49</f>
        <v>0</v>
      </c>
      <c r="D35" s="111">
        <f>D42-$C49</f>
        <v>1</v>
      </c>
      <c r="F35"/>
      <c r="M35"/>
      <c r="N35"/>
    </row>
    <row r="36" spans="2:14">
      <c r="B36" s="111" t="s">
        <v>183</v>
      </c>
      <c r="C36" s="111">
        <f>MAX(C43-C42,0)</f>
        <v>1.25</v>
      </c>
      <c r="D36" s="111">
        <f>MAX(D43-D42,0)</f>
        <v>2</v>
      </c>
      <c r="F36"/>
      <c r="M36"/>
      <c r="N36"/>
    </row>
    <row r="37" spans="2:14">
      <c r="B37" s="111" t="s">
        <v>184</v>
      </c>
      <c r="C37" s="111">
        <f t="shared" ref="C37:D39" si="0">MAX(C44-C43,0)</f>
        <v>1.75</v>
      </c>
      <c r="D37" s="111">
        <f t="shared" si="0"/>
        <v>2.5</v>
      </c>
      <c r="F37"/>
      <c r="M37"/>
      <c r="N37"/>
    </row>
    <row r="38" spans="2:14">
      <c r="B38" s="111" t="s">
        <v>185</v>
      </c>
      <c r="C38" s="111">
        <f t="shared" si="0"/>
        <v>3.75</v>
      </c>
      <c r="D38" s="111">
        <f t="shared" si="0"/>
        <v>3.5</v>
      </c>
      <c r="F38"/>
      <c r="M38"/>
      <c r="N38"/>
    </row>
    <row r="39" spans="2:14">
      <c r="B39" s="111" t="s">
        <v>186</v>
      </c>
      <c r="C39" s="111">
        <f t="shared" si="0"/>
        <v>8.25</v>
      </c>
      <c r="D39" s="111">
        <f t="shared" si="0"/>
        <v>12</v>
      </c>
      <c r="F39"/>
      <c r="M39"/>
      <c r="N39"/>
    </row>
    <row r="40" spans="2:14">
      <c r="B40" s="111" t="s">
        <v>180</v>
      </c>
      <c r="C40" s="111">
        <f>C47-$C49</f>
        <v>4.5384615384615383</v>
      </c>
      <c r="D40" s="111">
        <f>D47-$C49</f>
        <v>6.7692307692307692</v>
      </c>
      <c r="F40"/>
      <c r="M40"/>
      <c r="N40"/>
    </row>
    <row r="41" spans="2:14">
      <c r="B41" s="111"/>
      <c r="C41" s="111"/>
      <c r="D41" s="111"/>
      <c r="F41"/>
      <c r="M41"/>
      <c r="N41"/>
    </row>
    <row r="42" spans="2:14">
      <c r="B42" s="111" t="s">
        <v>182</v>
      </c>
      <c r="C42" s="111">
        <f t="array" ref="C42">MIN(IF(ISBLANK(B4:B29),"",IF(B4:B29&gt;=C43-$C32*(C45-C43),B4:B29,"")))</f>
        <v>0</v>
      </c>
      <c r="D42" s="111">
        <f t="array" ref="D42">MIN(IF(ISBLANK(C4:C29),"",IF(C4:C29&gt;=D43-$C32*(D45-D43),C4:C29,"")))</f>
        <v>1</v>
      </c>
      <c r="F42"/>
      <c r="M42"/>
      <c r="N42"/>
    </row>
    <row r="43" spans="2:14">
      <c r="B43" s="111" t="s">
        <v>206</v>
      </c>
      <c r="C43" s="111">
        <f>_xlfn.QUARTILE.INC(B4:B29,1)</f>
        <v>1.25</v>
      </c>
      <c r="D43" s="111">
        <f>_xlfn.QUARTILE.INC(C4:C29,1)</f>
        <v>3</v>
      </c>
      <c r="F43"/>
      <c r="M43"/>
      <c r="N43"/>
    </row>
    <row r="44" spans="2:14">
      <c r="B44" s="111" t="s">
        <v>181</v>
      </c>
      <c r="C44" s="111">
        <f>MEDIAN(B4:B29)</f>
        <v>3</v>
      </c>
      <c r="D44" s="111">
        <f>MEDIAN(C4:C29)</f>
        <v>5.5</v>
      </c>
      <c r="F44"/>
      <c r="M44"/>
      <c r="N44"/>
    </row>
    <row r="45" spans="2:14">
      <c r="B45" s="111" t="s">
        <v>207</v>
      </c>
      <c r="C45" s="111">
        <f>_xlfn.QUARTILE.INC(B4:B29,3)</f>
        <v>6.75</v>
      </c>
      <c r="D45" s="111">
        <f>_xlfn.QUARTILE.INC(C4:C29,3)</f>
        <v>9</v>
      </c>
      <c r="F45"/>
      <c r="M45"/>
      <c r="N45"/>
    </row>
    <row r="46" spans="2:14">
      <c r="B46" s="111" t="s">
        <v>208</v>
      </c>
      <c r="C46" s="111">
        <f t="array" ref="C46">MAX(IF(ISBLANK(B4:B29),"",IF(B4:B29&lt;=C45+$C32*(C45-C43),B4:B29,"")))</f>
        <v>15</v>
      </c>
      <c r="D46" s="111">
        <f t="array" ref="D46">MAX(IF(ISBLANK(C4:C29),"",IF(C4:C29&lt;=D45+$C32*(D45-D43),C4:C29,"")))</f>
        <v>21</v>
      </c>
      <c r="F46"/>
      <c r="M46"/>
      <c r="N46"/>
    </row>
    <row r="47" spans="2:14">
      <c r="B47" s="111" t="s">
        <v>180</v>
      </c>
      <c r="C47" s="111">
        <f>AVERAGE(B4:B29)</f>
        <v>4.5384615384615383</v>
      </c>
      <c r="D47" s="111">
        <f>AVERAGE(C4:C29)</f>
        <v>6.7692307692307692</v>
      </c>
      <c r="F47"/>
      <c r="M47"/>
      <c r="N47"/>
    </row>
    <row r="48" spans="2:14">
      <c r="B48" s="111"/>
      <c r="C48" s="111"/>
      <c r="D48" s="111"/>
      <c r="F48"/>
      <c r="M48"/>
      <c r="N48"/>
    </row>
    <row r="49" spans="2:14">
      <c r="B49" s="111" t="s">
        <v>204</v>
      </c>
      <c r="C49" s="111">
        <f>IF(MIN(C42:D42)&gt;=0,0,MIN(C42:D42))</f>
        <v>0</v>
      </c>
      <c r="D49" s="111"/>
      <c r="F49"/>
      <c r="M49"/>
      <c r="N49"/>
    </row>
    <row r="50" spans="2:14">
      <c r="B50" s="111"/>
      <c r="C50" s="111"/>
      <c r="D50" s="111"/>
      <c r="F50"/>
      <c r="M50"/>
      <c r="N50"/>
    </row>
    <row r="51" spans="2:14">
      <c r="B51" s="111" t="s">
        <v>205</v>
      </c>
      <c r="C51" s="111" t="s">
        <v>155</v>
      </c>
      <c r="D51" s="111" t="s">
        <v>155</v>
      </c>
      <c r="F51"/>
      <c r="M51"/>
      <c r="N51"/>
    </row>
    <row r="52" spans="2:14">
      <c r="B52" s="128"/>
      <c r="C52" s="128"/>
      <c r="D52" s="128"/>
      <c r="F52"/>
      <c r="M52"/>
      <c r="N52"/>
    </row>
    <row r="53" spans="2:14">
      <c r="B53" s="153" t="s">
        <v>210</v>
      </c>
      <c r="C53" s="153"/>
      <c r="D53" s="153"/>
      <c r="F53"/>
      <c r="M53"/>
      <c r="N53"/>
    </row>
    <row r="54" spans="2:14">
      <c r="B54" s="111" t="s">
        <v>203</v>
      </c>
      <c r="C54" s="111">
        <v>2.2000000000000002</v>
      </c>
      <c r="D54" s="111"/>
      <c r="F54"/>
      <c r="M54"/>
      <c r="N54"/>
    </row>
    <row r="55" spans="2:14">
      <c r="B55" s="111"/>
      <c r="C55" s="111"/>
      <c r="D55" s="111"/>
      <c r="F55"/>
      <c r="M55"/>
      <c r="N55"/>
    </row>
    <row r="56" spans="2:14">
      <c r="B56" s="111"/>
      <c r="C56" s="112" t="str">
        <f>D3</f>
        <v>Duplo</v>
      </c>
      <c r="D56" s="112" t="str">
        <f>E3</f>
        <v>ROY</v>
      </c>
      <c r="F56"/>
      <c r="M56"/>
      <c r="N56"/>
    </row>
    <row r="57" spans="2:14">
      <c r="B57" s="111" t="s">
        <v>182</v>
      </c>
      <c r="C57" s="111">
        <f>C64-$C71</f>
        <v>1</v>
      </c>
      <c r="D57" s="111">
        <f>D64-$C71</f>
        <v>7</v>
      </c>
      <c r="F57"/>
      <c r="M57"/>
      <c r="N57"/>
    </row>
    <row r="58" spans="2:14">
      <c r="B58" s="111" t="s">
        <v>183</v>
      </c>
      <c r="C58" s="111">
        <f>MAX(C65-C64,0)</f>
        <v>3</v>
      </c>
      <c r="D58" s="111">
        <f>MAX(D65-D64,0)</f>
        <v>3.25</v>
      </c>
      <c r="F58"/>
      <c r="M58"/>
      <c r="N58"/>
    </row>
    <row r="59" spans="2:14">
      <c r="B59" s="111" t="s">
        <v>184</v>
      </c>
      <c r="C59" s="111">
        <f t="shared" ref="C59:D61" si="1">MAX(C66-C65,0)</f>
        <v>4.5</v>
      </c>
      <c r="D59" s="111">
        <f t="shared" si="1"/>
        <v>4.25</v>
      </c>
      <c r="F59"/>
      <c r="M59"/>
      <c r="N59"/>
    </row>
    <row r="60" spans="2:14">
      <c r="B60" s="111" t="s">
        <v>185</v>
      </c>
      <c r="C60" s="111">
        <f t="shared" si="1"/>
        <v>3.25</v>
      </c>
      <c r="D60" s="111">
        <f t="shared" si="1"/>
        <v>4.25</v>
      </c>
      <c r="F60"/>
      <c r="M60"/>
      <c r="N60"/>
    </row>
    <row r="61" spans="2:14">
      <c r="B61" s="111" t="s">
        <v>186</v>
      </c>
      <c r="C61" s="111">
        <f t="shared" si="1"/>
        <v>15.25</v>
      </c>
      <c r="D61" s="111">
        <f t="shared" si="1"/>
        <v>14.25</v>
      </c>
      <c r="F61"/>
      <c r="M61"/>
      <c r="N61"/>
    </row>
    <row r="62" spans="2:14">
      <c r="B62" s="111" t="s">
        <v>180</v>
      </c>
      <c r="C62" s="111">
        <f>C69-$C71</f>
        <v>10.346153846153847</v>
      </c>
      <c r="D62" s="111">
        <f>D69-$C71</f>
        <v>14.846153846153847</v>
      </c>
      <c r="F62"/>
      <c r="M62"/>
      <c r="N62"/>
    </row>
    <row r="63" spans="2:14">
      <c r="B63" s="111"/>
      <c r="C63" s="111"/>
      <c r="D63" s="111"/>
      <c r="F63"/>
      <c r="M63"/>
      <c r="N63"/>
    </row>
    <row r="64" spans="2:14">
      <c r="B64" s="111" t="s">
        <v>182</v>
      </c>
      <c r="C64" s="111">
        <f t="array" ref="C64">MIN(IF(ISBLANK(D4:D29),"",IF(D4:D29&gt;=C65-$C54*(C67-C65),D4:D29,"")))</f>
        <v>1</v>
      </c>
      <c r="D64" s="111">
        <f t="array" ref="D64">MIN(IF(ISBLANK(E4:E29),"",IF(E4:E29&gt;=D65-$C54*(D67-D65),E4:E29,"")))</f>
        <v>7</v>
      </c>
      <c r="F64"/>
      <c r="M64"/>
      <c r="N64"/>
    </row>
    <row r="65" spans="2:14">
      <c r="B65" s="111" t="s">
        <v>206</v>
      </c>
      <c r="C65" s="111">
        <f>_xlfn.QUARTILE.INC(D4:D29,1)</f>
        <v>4</v>
      </c>
      <c r="D65" s="111">
        <f>_xlfn.QUARTILE.INC(E4:E29,1)</f>
        <v>10.25</v>
      </c>
      <c r="F65"/>
      <c r="M65"/>
      <c r="N65"/>
    </row>
    <row r="66" spans="2:14">
      <c r="B66" s="111" t="s">
        <v>181</v>
      </c>
      <c r="C66" s="111">
        <f>MEDIAN(D4:D29)</f>
        <v>8.5</v>
      </c>
      <c r="D66" s="111">
        <f>MEDIAN(E4:E29)</f>
        <v>14.5</v>
      </c>
      <c r="F66"/>
      <c r="M66"/>
      <c r="N66"/>
    </row>
    <row r="67" spans="2:14">
      <c r="B67" s="111" t="s">
        <v>207</v>
      </c>
      <c r="C67" s="111">
        <f>_xlfn.QUARTILE.INC(D4:D29,3)</f>
        <v>11.75</v>
      </c>
      <c r="D67" s="111">
        <f>_xlfn.QUARTILE.INC(E4:E29,3)</f>
        <v>18.75</v>
      </c>
      <c r="F67"/>
      <c r="M67"/>
      <c r="N67"/>
    </row>
    <row r="68" spans="2:14">
      <c r="B68" s="111" t="s">
        <v>208</v>
      </c>
      <c r="C68" s="111">
        <f t="array" ref="C68">MAX(IF(ISBLANK(D4:D29),"",IF(D4:D29&lt;=C67+$C54*(C67-C65),D4:D29,"")))</f>
        <v>27</v>
      </c>
      <c r="D68" s="111">
        <f t="array" ref="D68">MAX(IF(ISBLANK(E4:E29),"",IF(E4:E29&lt;=D67+$C54*(D67-D65),E4:E29,"")))</f>
        <v>33</v>
      </c>
      <c r="F68"/>
      <c r="M68"/>
      <c r="N68"/>
    </row>
    <row r="69" spans="2:14">
      <c r="B69" s="111" t="s">
        <v>180</v>
      </c>
      <c r="C69" s="111">
        <f>AVERAGE(D4:D29)</f>
        <v>10.346153846153847</v>
      </c>
      <c r="D69" s="111">
        <f>AVERAGE(E4:E29)</f>
        <v>14.846153846153847</v>
      </c>
      <c r="F69"/>
      <c r="M69"/>
      <c r="N69"/>
    </row>
    <row r="70" spans="2:14">
      <c r="B70" s="111"/>
      <c r="C70" s="111"/>
      <c r="D70" s="111"/>
      <c r="F70"/>
      <c r="M70"/>
      <c r="N70"/>
    </row>
    <row r="71" spans="2:14">
      <c r="B71" s="111" t="s">
        <v>204</v>
      </c>
      <c r="C71" s="111">
        <f>IF(MIN(C64:D64)&gt;=0,0,MIN(C64:D64))</f>
        <v>0</v>
      </c>
      <c r="D71" s="111"/>
      <c r="F71"/>
      <c r="M71"/>
      <c r="N71"/>
    </row>
    <row r="72" spans="2:14">
      <c r="B72" s="111"/>
      <c r="C72" s="111"/>
      <c r="D72" s="111"/>
      <c r="F72"/>
      <c r="M72"/>
      <c r="N72"/>
    </row>
    <row r="73" spans="2:14">
      <c r="B73" s="111" t="s">
        <v>205</v>
      </c>
      <c r="C73" s="111">
        <f>D22</f>
        <v>37</v>
      </c>
      <c r="D73" s="111" t="s">
        <v>155</v>
      </c>
      <c r="F73"/>
      <c r="M73"/>
      <c r="N73"/>
    </row>
    <row r="74" spans="2:14">
      <c r="B74"/>
      <c r="D74"/>
      <c r="F74"/>
      <c r="M74"/>
      <c r="N74"/>
    </row>
    <row r="75" spans="2:14" ht="14.55" customHeight="1">
      <c r="B75" s="152" t="s">
        <v>211</v>
      </c>
      <c r="C75" s="152"/>
      <c r="D75" s="152"/>
      <c r="F75"/>
      <c r="M75"/>
      <c r="N75"/>
    </row>
    <row r="76" spans="2:14">
      <c r="B76" s="111" t="s">
        <v>203</v>
      </c>
      <c r="C76" s="111">
        <v>2.2000000000000002</v>
      </c>
      <c r="D76" s="111"/>
      <c r="F76"/>
      <c r="M76"/>
      <c r="N76"/>
    </row>
    <row r="77" spans="2:14">
      <c r="B77" s="111"/>
      <c r="C77" s="111"/>
      <c r="D77" s="111"/>
      <c r="F77"/>
      <c r="M77"/>
      <c r="N77"/>
    </row>
    <row r="78" spans="2:14">
      <c r="B78" s="111"/>
      <c r="C78" s="112" t="str">
        <f>F3</f>
        <v>Duplo</v>
      </c>
      <c r="D78" s="112" t="str">
        <f>G3</f>
        <v>ROY</v>
      </c>
      <c r="F78"/>
      <c r="M78"/>
      <c r="N78"/>
    </row>
    <row r="79" spans="2:14">
      <c r="B79" s="111" t="s">
        <v>182</v>
      </c>
      <c r="C79" s="111">
        <f>C86-$C93</f>
        <v>0</v>
      </c>
      <c r="D79" s="111">
        <f>D86-$C93</f>
        <v>0</v>
      </c>
      <c r="F79"/>
      <c r="M79"/>
      <c r="N79"/>
    </row>
    <row r="80" spans="2:14">
      <c r="B80" s="111" t="s">
        <v>183</v>
      </c>
      <c r="C80" s="111">
        <f>MAX(C87-C86,0)</f>
        <v>0</v>
      </c>
      <c r="D80" s="111">
        <f>MAX(D87-D86,0)</f>
        <v>0</v>
      </c>
      <c r="F80"/>
      <c r="M80"/>
      <c r="N80"/>
    </row>
    <row r="81" spans="2:14">
      <c r="B81" s="111" t="s">
        <v>184</v>
      </c>
      <c r="C81" s="111">
        <f t="shared" ref="C81:D83" si="2">MAX(C88-C87,0)</f>
        <v>0</v>
      </c>
      <c r="D81" s="111">
        <f t="shared" si="2"/>
        <v>1</v>
      </c>
      <c r="F81"/>
      <c r="M81"/>
      <c r="N81"/>
    </row>
    <row r="82" spans="2:14">
      <c r="B82" s="111" t="s">
        <v>185</v>
      </c>
      <c r="C82" s="111">
        <f t="shared" si="2"/>
        <v>4.75</v>
      </c>
      <c r="D82" s="111">
        <f t="shared" si="2"/>
        <v>2</v>
      </c>
      <c r="F82"/>
      <c r="M82"/>
      <c r="N82"/>
    </row>
    <row r="83" spans="2:14">
      <c r="B83" s="111" t="s">
        <v>186</v>
      </c>
      <c r="C83" s="111">
        <f t="shared" si="2"/>
        <v>3.25</v>
      </c>
      <c r="D83" s="111">
        <f t="shared" si="2"/>
        <v>6</v>
      </c>
      <c r="F83"/>
      <c r="M83"/>
      <c r="N83"/>
    </row>
    <row r="84" spans="2:14">
      <c r="B84" s="111" t="s">
        <v>180</v>
      </c>
      <c r="C84" s="111">
        <f>C91-$C93</f>
        <v>2.2307692307692308</v>
      </c>
      <c r="D84" s="111">
        <f>D91-$C93</f>
        <v>2</v>
      </c>
      <c r="F84"/>
      <c r="M84"/>
      <c r="N84"/>
    </row>
    <row r="85" spans="2:14">
      <c r="B85" s="111"/>
      <c r="C85" s="111"/>
      <c r="D85" s="111"/>
      <c r="F85"/>
      <c r="M85"/>
      <c r="N85"/>
    </row>
    <row r="86" spans="2:14">
      <c r="B86" s="111" t="s">
        <v>182</v>
      </c>
      <c r="C86" s="111">
        <f t="array" ref="C86">MIN(IF(ISBLANK(F4:F29),"",IF(F4:F29&gt;=C87-$C76*(C89-C87),F4:F29,"")))</f>
        <v>0</v>
      </c>
      <c r="D86" s="111">
        <f t="array" ref="D86">MIN(IF(ISBLANK(G4:G29),"",IF(G4:G29&gt;=D87-$C76*(D89-D87),G4:G29,"")))</f>
        <v>0</v>
      </c>
      <c r="F86"/>
      <c r="M86"/>
      <c r="N86"/>
    </row>
    <row r="87" spans="2:14">
      <c r="B87" s="111" t="s">
        <v>206</v>
      </c>
      <c r="C87" s="111">
        <f>_xlfn.QUARTILE.INC(F4:F29,1)</f>
        <v>0</v>
      </c>
      <c r="D87" s="111">
        <f>_xlfn.QUARTILE.INC(G4:G29,1)</f>
        <v>0</v>
      </c>
      <c r="F87"/>
      <c r="M87"/>
      <c r="N87"/>
    </row>
    <row r="88" spans="2:14">
      <c r="B88" s="111" t="s">
        <v>181</v>
      </c>
      <c r="C88" s="111">
        <f>MEDIAN(F4:F29)</f>
        <v>0</v>
      </c>
      <c r="D88" s="111">
        <f>MEDIAN(G4:G29)</f>
        <v>1</v>
      </c>
      <c r="F88"/>
      <c r="M88"/>
      <c r="N88"/>
    </row>
    <row r="89" spans="2:14">
      <c r="B89" s="111" t="s">
        <v>207</v>
      </c>
      <c r="C89" s="111">
        <f>_xlfn.QUARTILE.INC(F4:F29,3)</f>
        <v>4.75</v>
      </c>
      <c r="D89" s="111">
        <f>_xlfn.QUARTILE.INC(G4:G29,3)</f>
        <v>3</v>
      </c>
      <c r="F89"/>
      <c r="M89"/>
      <c r="N89"/>
    </row>
    <row r="90" spans="2:14">
      <c r="B90" s="111" t="s">
        <v>208</v>
      </c>
      <c r="C90" s="111">
        <f t="array" ref="C90">MAX(IF(ISBLANK(F4:F29),"",IF(F4:F29&lt;=C89+$C76*(C89-C87),F4:F29,"")))</f>
        <v>8</v>
      </c>
      <c r="D90" s="111">
        <f t="array" ref="D90">MAX(IF(ISBLANK(G4:G29),"",IF(G4:G29&lt;=D89+$C76*(D89-D87),G4:G29,"")))</f>
        <v>9</v>
      </c>
      <c r="F90"/>
      <c r="M90"/>
      <c r="N90"/>
    </row>
    <row r="91" spans="2:14">
      <c r="B91" s="111" t="s">
        <v>180</v>
      </c>
      <c r="C91" s="111">
        <f>AVERAGE(F4:F29)</f>
        <v>2.2307692307692308</v>
      </c>
      <c r="D91" s="111">
        <f>AVERAGE(G4:G29)</f>
        <v>2</v>
      </c>
      <c r="F91"/>
      <c r="M91"/>
      <c r="N91"/>
    </row>
    <row r="92" spans="2:14">
      <c r="B92" s="111"/>
      <c r="C92" s="111"/>
      <c r="D92" s="111"/>
      <c r="F92"/>
      <c r="M92"/>
      <c r="N92"/>
    </row>
    <row r="93" spans="2:14">
      <c r="B93" s="111" t="s">
        <v>204</v>
      </c>
      <c r="C93" s="111">
        <f>IF(MIN(C86:D86)&gt;=0,0,MIN(C86:D86))</f>
        <v>0</v>
      </c>
      <c r="D93" s="111"/>
      <c r="F93"/>
      <c r="M93"/>
      <c r="N93"/>
    </row>
    <row r="94" spans="2:14">
      <c r="B94" s="111"/>
      <c r="C94" s="111"/>
      <c r="D94" s="111"/>
      <c r="F94"/>
      <c r="M94"/>
      <c r="N94"/>
    </row>
    <row r="95" spans="2:14">
      <c r="B95" s="111" t="s">
        <v>205</v>
      </c>
      <c r="C95" s="111" t="s">
        <v>155</v>
      </c>
      <c r="D95" s="111" t="s">
        <v>155</v>
      </c>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row r="106" spans="2:14">
      <c r="B106"/>
      <c r="D106"/>
      <c r="F106"/>
      <c r="M106"/>
      <c r="N106"/>
    </row>
  </sheetData>
  <mergeCells count="6">
    <mergeCell ref="B75:D75"/>
    <mergeCell ref="B2:C2"/>
    <mergeCell ref="D2:E2"/>
    <mergeCell ref="F2:G2"/>
    <mergeCell ref="B31:D31"/>
    <mergeCell ref="B53:D53"/>
  </mergeCell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F40-7697-414A-A34C-19F5130ADA29}">
  <sheetPr>
    <tabColor theme="7" tint="0.39997558519241921"/>
  </sheetPr>
  <dimension ref="A2:I97"/>
  <sheetViews>
    <sheetView zoomScaleNormal="100" workbookViewId="0">
      <selection activeCell="A22" sqref="A22"/>
    </sheetView>
  </sheetViews>
  <sheetFormatPr defaultRowHeight="14.25"/>
  <cols>
    <col min="2" max="9" width="20.59765625" customWidth="1"/>
  </cols>
  <sheetData>
    <row r="2" spans="2:9" ht="28.5" customHeight="1">
      <c r="B2" s="155" t="s">
        <v>33</v>
      </c>
      <c r="C2" s="155"/>
      <c r="D2" s="155" t="s">
        <v>231</v>
      </c>
      <c r="E2" s="155"/>
      <c r="F2" s="155" t="s">
        <v>230</v>
      </c>
      <c r="G2" s="155"/>
      <c r="H2" s="154" t="s">
        <v>23</v>
      </c>
      <c r="I2" s="154"/>
    </row>
    <row r="3" spans="2:9">
      <c r="B3" s="118" t="s">
        <v>153</v>
      </c>
      <c r="C3" s="118" t="s">
        <v>226</v>
      </c>
      <c r="D3" s="118" t="s">
        <v>153</v>
      </c>
      <c r="E3" s="118" t="s">
        <v>226</v>
      </c>
      <c r="F3" s="118" t="s">
        <v>153</v>
      </c>
      <c r="G3" s="118" t="s">
        <v>226</v>
      </c>
      <c r="H3" s="120" t="s">
        <v>153</v>
      </c>
      <c r="I3" s="120" t="s">
        <v>226</v>
      </c>
    </row>
    <row r="4" spans="2:9">
      <c r="B4" s="60">
        <v>14</v>
      </c>
      <c r="C4" s="60">
        <v>8</v>
      </c>
      <c r="D4">
        <v>26</v>
      </c>
      <c r="E4">
        <v>22</v>
      </c>
      <c r="F4" s="60">
        <v>0</v>
      </c>
      <c r="G4" s="60">
        <v>11</v>
      </c>
      <c r="H4" s="60">
        <v>64</v>
      </c>
      <c r="I4" s="60">
        <v>24</v>
      </c>
    </row>
    <row r="5" spans="2:9">
      <c r="B5" s="60">
        <v>29</v>
      </c>
      <c r="C5" s="60">
        <v>14</v>
      </c>
      <c r="D5">
        <v>34</v>
      </c>
      <c r="E5">
        <v>32</v>
      </c>
      <c r="F5" s="60">
        <v>0</v>
      </c>
      <c r="G5" s="60">
        <v>3</v>
      </c>
      <c r="H5" s="60">
        <v>36</v>
      </c>
      <c r="I5" s="60">
        <v>33</v>
      </c>
    </row>
    <row r="6" spans="2:9">
      <c r="B6" s="60">
        <v>17</v>
      </c>
      <c r="C6" s="60">
        <v>28</v>
      </c>
      <c r="D6">
        <v>34</v>
      </c>
      <c r="E6">
        <v>38</v>
      </c>
      <c r="F6" s="60">
        <v>0</v>
      </c>
      <c r="G6" s="60">
        <v>0</v>
      </c>
      <c r="H6" s="60">
        <v>53</v>
      </c>
      <c r="I6" s="60">
        <v>47</v>
      </c>
    </row>
    <row r="7" spans="2:9">
      <c r="B7" s="60">
        <v>20</v>
      </c>
      <c r="C7" s="60">
        <v>23</v>
      </c>
      <c r="D7">
        <v>43</v>
      </c>
      <c r="E7">
        <v>31</v>
      </c>
      <c r="F7" s="60">
        <v>0</v>
      </c>
      <c r="G7" s="60">
        <v>3</v>
      </c>
      <c r="H7" s="60">
        <v>29</v>
      </c>
      <c r="I7" s="60">
        <v>50</v>
      </c>
    </row>
    <row r="8" spans="2:9">
      <c r="B8" s="60">
        <v>21</v>
      </c>
      <c r="C8" s="60">
        <v>33</v>
      </c>
      <c r="D8">
        <v>37</v>
      </c>
      <c r="E8">
        <v>56</v>
      </c>
      <c r="F8" s="60">
        <v>1</v>
      </c>
      <c r="G8" s="60">
        <v>5</v>
      </c>
      <c r="H8" s="60">
        <v>23</v>
      </c>
      <c r="I8" s="60">
        <v>22</v>
      </c>
    </row>
    <row r="9" spans="2:9">
      <c r="B9" s="60">
        <v>19</v>
      </c>
      <c r="C9" s="60">
        <v>25</v>
      </c>
      <c r="D9">
        <v>38</v>
      </c>
      <c r="E9">
        <v>47</v>
      </c>
      <c r="F9" s="60">
        <v>0</v>
      </c>
      <c r="G9" s="60">
        <v>0</v>
      </c>
      <c r="H9" s="60">
        <v>66</v>
      </c>
      <c r="I9" s="60">
        <v>25</v>
      </c>
    </row>
    <row r="10" spans="2:9">
      <c r="B10" s="60">
        <v>11</v>
      </c>
      <c r="C10" s="60">
        <v>20</v>
      </c>
      <c r="D10">
        <v>32</v>
      </c>
      <c r="E10">
        <v>40</v>
      </c>
      <c r="F10" s="60">
        <v>0</v>
      </c>
      <c r="G10" s="60">
        <v>0</v>
      </c>
      <c r="H10" s="60">
        <v>34</v>
      </c>
      <c r="I10" s="60">
        <v>46</v>
      </c>
    </row>
    <row r="11" spans="2:9">
      <c r="B11" s="60">
        <v>15</v>
      </c>
      <c r="C11" s="60">
        <v>35</v>
      </c>
      <c r="D11">
        <v>32</v>
      </c>
      <c r="E11">
        <v>59</v>
      </c>
      <c r="F11" s="60">
        <v>0</v>
      </c>
      <c r="G11" s="60">
        <v>1</v>
      </c>
      <c r="H11" s="60">
        <v>36</v>
      </c>
      <c r="I11" s="60">
        <v>37</v>
      </c>
    </row>
    <row r="12" spans="2:9">
      <c r="B12" s="60">
        <v>15</v>
      </c>
      <c r="C12" s="60">
        <v>13</v>
      </c>
      <c r="D12">
        <v>24</v>
      </c>
      <c r="E12">
        <v>28</v>
      </c>
      <c r="F12" s="60">
        <v>0</v>
      </c>
      <c r="G12" s="60">
        <v>0</v>
      </c>
      <c r="H12" s="60">
        <v>46</v>
      </c>
      <c r="I12" s="60">
        <v>38</v>
      </c>
    </row>
    <row r="13" spans="2:9">
      <c r="B13" s="60">
        <v>25</v>
      </c>
      <c r="C13" s="60">
        <v>21</v>
      </c>
      <c r="D13">
        <v>44</v>
      </c>
      <c r="E13">
        <v>39</v>
      </c>
      <c r="F13" s="60">
        <v>0</v>
      </c>
      <c r="G13" s="60">
        <v>3</v>
      </c>
      <c r="H13" s="60">
        <v>29</v>
      </c>
      <c r="I13" s="60">
        <v>34</v>
      </c>
    </row>
    <row r="14" spans="2:9">
      <c r="B14" s="60">
        <v>19</v>
      </c>
      <c r="C14" s="60">
        <v>31</v>
      </c>
      <c r="D14">
        <v>37</v>
      </c>
      <c r="E14">
        <v>57</v>
      </c>
      <c r="F14" s="60">
        <v>0</v>
      </c>
      <c r="G14" s="60">
        <v>2</v>
      </c>
      <c r="H14" s="60">
        <v>47</v>
      </c>
      <c r="I14" s="60">
        <v>55</v>
      </c>
    </row>
    <row r="15" spans="2:9" ht="15.75">
      <c r="B15" s="60">
        <v>17</v>
      </c>
      <c r="C15" s="60">
        <v>8</v>
      </c>
      <c r="D15">
        <v>36</v>
      </c>
      <c r="E15">
        <v>11</v>
      </c>
      <c r="F15" s="60">
        <v>0</v>
      </c>
      <c r="G15" s="60">
        <v>3</v>
      </c>
      <c r="H15" s="60">
        <v>46</v>
      </c>
      <c r="I15" s="72">
        <v>54</v>
      </c>
    </row>
    <row r="16" spans="2:9">
      <c r="B16" s="60">
        <v>18</v>
      </c>
      <c r="C16" s="60">
        <v>17</v>
      </c>
      <c r="D16">
        <v>44</v>
      </c>
      <c r="E16">
        <v>33</v>
      </c>
      <c r="F16" s="60">
        <v>0</v>
      </c>
      <c r="G16" s="60">
        <v>1</v>
      </c>
      <c r="H16" s="60">
        <v>9</v>
      </c>
      <c r="I16" s="60">
        <v>64</v>
      </c>
    </row>
    <row r="17" spans="1:9">
      <c r="B17" s="60">
        <v>22</v>
      </c>
      <c r="C17" s="60">
        <v>23</v>
      </c>
      <c r="D17">
        <v>36</v>
      </c>
      <c r="E17">
        <v>46</v>
      </c>
      <c r="F17" s="60">
        <v>0</v>
      </c>
      <c r="G17" s="60">
        <v>0</v>
      </c>
      <c r="H17" s="60">
        <v>27</v>
      </c>
      <c r="I17" s="60">
        <v>24</v>
      </c>
    </row>
    <row r="18" spans="1:9">
      <c r="B18" s="60">
        <v>11</v>
      </c>
      <c r="C18" s="60">
        <v>14</v>
      </c>
      <c r="D18">
        <v>32</v>
      </c>
      <c r="E18">
        <v>22</v>
      </c>
      <c r="F18" s="60">
        <v>0</v>
      </c>
      <c r="G18" s="60">
        <v>0</v>
      </c>
      <c r="H18" s="60">
        <v>35</v>
      </c>
      <c r="I18" s="60">
        <v>27</v>
      </c>
    </row>
    <row r="19" spans="1:9">
      <c r="B19" s="60">
        <v>15</v>
      </c>
      <c r="C19" s="60">
        <v>19</v>
      </c>
      <c r="D19">
        <v>37</v>
      </c>
      <c r="E19">
        <v>33</v>
      </c>
      <c r="F19" s="60">
        <v>0</v>
      </c>
      <c r="G19" s="60">
        <v>0</v>
      </c>
      <c r="H19" s="60">
        <v>24</v>
      </c>
      <c r="I19" s="60">
        <v>47</v>
      </c>
    </row>
    <row r="20" spans="1:9">
      <c r="B20" s="64">
        <f>8+5</f>
        <v>13</v>
      </c>
      <c r="C20" s="60">
        <v>23</v>
      </c>
      <c r="D20">
        <v>30</v>
      </c>
      <c r="E20">
        <v>46</v>
      </c>
      <c r="F20" s="60">
        <v>1</v>
      </c>
      <c r="G20" s="60">
        <v>4</v>
      </c>
      <c r="H20" s="60">
        <v>23</v>
      </c>
      <c r="I20" s="60">
        <v>40</v>
      </c>
    </row>
    <row r="21" spans="1:9">
      <c r="B21" s="60">
        <v>10</v>
      </c>
      <c r="C21" s="60">
        <v>21</v>
      </c>
      <c r="D21">
        <v>34</v>
      </c>
      <c r="E21">
        <v>45</v>
      </c>
      <c r="F21" s="60">
        <v>0</v>
      </c>
      <c r="G21" s="60">
        <v>1</v>
      </c>
      <c r="H21" s="60">
        <v>22</v>
      </c>
      <c r="I21" s="60">
        <v>34</v>
      </c>
    </row>
    <row r="22" spans="1:9">
      <c r="B22" s="64">
        <f>8+7</f>
        <v>15</v>
      </c>
      <c r="C22" s="60">
        <v>106</v>
      </c>
      <c r="D22">
        <v>22</v>
      </c>
      <c r="E22">
        <v>213</v>
      </c>
      <c r="F22" s="60">
        <v>0</v>
      </c>
      <c r="G22" s="60">
        <v>0</v>
      </c>
      <c r="H22" s="60">
        <v>67</v>
      </c>
      <c r="I22" s="60">
        <v>24</v>
      </c>
    </row>
    <row r="23" spans="1:9">
      <c r="B23" s="60">
        <v>17</v>
      </c>
      <c r="C23" s="60">
        <v>14</v>
      </c>
      <c r="D23">
        <v>34</v>
      </c>
      <c r="E23">
        <v>40</v>
      </c>
      <c r="F23" s="60">
        <v>1</v>
      </c>
      <c r="G23" s="60">
        <v>0</v>
      </c>
      <c r="H23" s="60">
        <v>85</v>
      </c>
      <c r="I23" s="60">
        <v>19</v>
      </c>
    </row>
    <row r="24" spans="1:9">
      <c r="B24" s="64">
        <f>9+6</f>
        <v>15</v>
      </c>
      <c r="C24" s="60">
        <v>20</v>
      </c>
      <c r="D24">
        <v>33</v>
      </c>
      <c r="E24">
        <v>50</v>
      </c>
      <c r="F24" s="60">
        <v>0</v>
      </c>
      <c r="G24" s="60">
        <v>0</v>
      </c>
      <c r="H24" s="60">
        <v>21</v>
      </c>
      <c r="I24" s="60">
        <v>24</v>
      </c>
    </row>
    <row r="25" spans="1:9">
      <c r="B25" s="64">
        <f>13+7</f>
        <v>20</v>
      </c>
      <c r="C25" s="60">
        <v>27</v>
      </c>
      <c r="D25">
        <v>42</v>
      </c>
      <c r="E25">
        <v>41</v>
      </c>
      <c r="F25" s="60">
        <v>2</v>
      </c>
      <c r="G25" s="60">
        <v>0</v>
      </c>
      <c r="H25" s="80">
        <v>38</v>
      </c>
      <c r="I25" s="60">
        <v>45</v>
      </c>
    </row>
    <row r="26" spans="1:9">
      <c r="B26" s="60">
        <f>9+4</f>
        <v>13</v>
      </c>
      <c r="C26" s="60">
        <v>39</v>
      </c>
      <c r="D26">
        <v>22</v>
      </c>
      <c r="E26">
        <v>68</v>
      </c>
      <c r="F26" s="60">
        <v>0</v>
      </c>
      <c r="G26" s="60">
        <v>1</v>
      </c>
      <c r="H26" s="60">
        <v>41</v>
      </c>
      <c r="I26" s="60">
        <v>33</v>
      </c>
    </row>
    <row r="27" spans="1:9">
      <c r="B27" s="60">
        <v>15</v>
      </c>
      <c r="C27" s="60">
        <v>25</v>
      </c>
      <c r="D27">
        <v>38</v>
      </c>
      <c r="E27">
        <v>44</v>
      </c>
      <c r="F27" s="60">
        <v>0</v>
      </c>
      <c r="G27" s="60">
        <v>0</v>
      </c>
      <c r="H27" s="60">
        <v>25</v>
      </c>
      <c r="I27" s="60">
        <v>51</v>
      </c>
    </row>
    <row r="28" spans="1:9">
      <c r="B28" s="64">
        <f>4+7</f>
        <v>11</v>
      </c>
      <c r="C28" s="60">
        <v>17</v>
      </c>
      <c r="D28">
        <v>25</v>
      </c>
      <c r="E28">
        <v>33</v>
      </c>
      <c r="F28" s="60">
        <v>1</v>
      </c>
      <c r="G28" s="60">
        <v>0</v>
      </c>
      <c r="H28" s="60">
        <v>9</v>
      </c>
      <c r="I28" s="60">
        <v>31</v>
      </c>
    </row>
    <row r="29" spans="1:9">
      <c r="B29" s="60">
        <v>8</v>
      </c>
      <c r="C29" s="60">
        <v>8</v>
      </c>
      <c r="D29">
        <v>26</v>
      </c>
      <c r="E29">
        <v>16</v>
      </c>
      <c r="F29" s="60">
        <v>0</v>
      </c>
      <c r="G29" s="60">
        <v>5</v>
      </c>
      <c r="H29" s="60">
        <v>13</v>
      </c>
      <c r="I29" s="60">
        <v>32</v>
      </c>
    </row>
    <row r="30" spans="1:9">
      <c r="A30" s="131" t="s">
        <v>234</v>
      </c>
      <c r="B30" s="129">
        <f>STDEV(B4:B29)</f>
        <v>4.7660659474439306</v>
      </c>
      <c r="C30">
        <f>STDEV(C4:C29)</f>
        <v>18.535952591154803</v>
      </c>
      <c r="D30" s="129">
        <f t="shared" ref="D30:I30" si="0">STDEV(D4:D29)</f>
        <v>6.4263879075621917</v>
      </c>
      <c r="E30" s="129">
        <f t="shared" si="0"/>
        <v>36.618364455346928</v>
      </c>
      <c r="F30" s="130">
        <f t="shared" si="0"/>
        <v>0.51440779991693808</v>
      </c>
      <c r="G30" s="130">
        <f t="shared" si="0"/>
        <v>2.5289097681381625</v>
      </c>
      <c r="H30" s="130">
        <f t="shared" si="0"/>
        <v>18.840872101324333</v>
      </c>
      <c r="I30" s="130">
        <f t="shared" si="0"/>
        <v>12.069542085507894</v>
      </c>
    </row>
    <row r="33" spans="2:4">
      <c r="B33" s="155" t="s">
        <v>33</v>
      </c>
      <c r="C33" s="155"/>
      <c r="D33" s="155"/>
    </row>
    <row r="34" spans="2:4">
      <c r="B34" s="123" t="s">
        <v>203</v>
      </c>
      <c r="C34" s="123">
        <v>2.2000000000000002</v>
      </c>
      <c r="D34" s="123"/>
    </row>
    <row r="35" spans="2:4">
      <c r="B35" s="123"/>
      <c r="C35" s="123"/>
      <c r="D35" s="123"/>
    </row>
    <row r="36" spans="2:4">
      <c r="B36" s="123"/>
      <c r="C36" s="123" t="str">
        <f>B3</f>
        <v>Duplo</v>
      </c>
      <c r="D36" s="123" t="str">
        <f>C3</f>
        <v>ROY</v>
      </c>
    </row>
    <row r="37" spans="2:4">
      <c r="B37" s="123" t="s">
        <v>182</v>
      </c>
      <c r="C37" s="123">
        <f>C44-$C51</f>
        <v>8</v>
      </c>
      <c r="D37" s="123">
        <f>D44-$C51</f>
        <v>8</v>
      </c>
    </row>
    <row r="38" spans="2:4">
      <c r="B38" s="123" t="s">
        <v>183</v>
      </c>
      <c r="C38" s="123">
        <f>MAX(C45-C44,0)</f>
        <v>5.25</v>
      </c>
      <c r="D38" s="123">
        <f>MAX(D45-D44,0)</f>
        <v>6.75</v>
      </c>
    </row>
    <row r="39" spans="2:4">
      <c r="B39" s="123" t="s">
        <v>184</v>
      </c>
      <c r="C39" s="123">
        <f t="shared" ref="C39:D41" si="1">MAX(C46-C45,0)</f>
        <v>1.75</v>
      </c>
      <c r="D39" s="123">
        <f t="shared" si="1"/>
        <v>6.25</v>
      </c>
    </row>
    <row r="40" spans="2:4">
      <c r="B40" s="123" t="s">
        <v>185</v>
      </c>
      <c r="C40" s="123">
        <f t="shared" si="1"/>
        <v>4</v>
      </c>
      <c r="D40" s="123">
        <f t="shared" si="1"/>
        <v>5.5</v>
      </c>
    </row>
    <row r="41" spans="2:4">
      <c r="B41" s="123" t="s">
        <v>186</v>
      </c>
      <c r="C41" s="123">
        <f t="shared" si="1"/>
        <v>10</v>
      </c>
      <c r="D41" s="123">
        <f t="shared" si="1"/>
        <v>12.5</v>
      </c>
    </row>
    <row r="42" spans="2:4">
      <c r="B42" s="123" t="s">
        <v>180</v>
      </c>
      <c r="C42" s="123">
        <f>C49-$C51</f>
        <v>16.346153846153847</v>
      </c>
      <c r="D42" s="123">
        <f>D49-$C51</f>
        <v>24.307692307692307</v>
      </c>
    </row>
    <row r="43" spans="2:4">
      <c r="B43" s="123"/>
      <c r="C43" s="123"/>
      <c r="D43" s="123"/>
    </row>
    <row r="44" spans="2:4">
      <c r="B44" s="123" t="s">
        <v>182</v>
      </c>
      <c r="C44" s="123">
        <f t="array" ref="C44">MIN(IF(ISBLANK(B4:B29),"",IF(B4:B29&gt;=C45-$C34*(C47-C45),B4:B29,"")))</f>
        <v>8</v>
      </c>
      <c r="D44" s="123">
        <f t="array" ref="D44">MIN(IF(ISBLANK(C4:C29),"",IF(C4:C29&gt;=D45-$C34*(D47-D45),C4:C29,"")))</f>
        <v>8</v>
      </c>
    </row>
    <row r="45" spans="2:4">
      <c r="B45" s="123" t="s">
        <v>206</v>
      </c>
      <c r="C45" s="123">
        <f>_xlfn.QUARTILE.INC(B4:B29,1)</f>
        <v>13.25</v>
      </c>
      <c r="D45" s="123">
        <f>_xlfn.QUARTILE.INC(C4:C29,1)</f>
        <v>14.75</v>
      </c>
    </row>
    <row r="46" spans="2:4">
      <c r="B46" s="123" t="s">
        <v>181</v>
      </c>
      <c r="C46" s="123">
        <f>MEDIAN(B4:B29)</f>
        <v>15</v>
      </c>
      <c r="D46" s="123">
        <f>MEDIAN(C4:C29)</f>
        <v>21</v>
      </c>
    </row>
    <row r="47" spans="2:4">
      <c r="B47" s="123" t="s">
        <v>207</v>
      </c>
      <c r="C47" s="123">
        <f>_xlfn.QUARTILE.INC(B4:B29,3)</f>
        <v>19</v>
      </c>
      <c r="D47" s="123">
        <f>_xlfn.QUARTILE.INC(C4:C29,3)</f>
        <v>26.5</v>
      </c>
    </row>
    <row r="48" spans="2:4">
      <c r="B48" s="123" t="s">
        <v>208</v>
      </c>
      <c r="C48" s="123">
        <f t="array" ref="C48">MAX(IF(ISBLANK(B4:B29),"",IF(B4:B29&lt;=C47+$C34*(C47-C45),B4:B29,"")))</f>
        <v>29</v>
      </c>
      <c r="D48" s="123">
        <f t="array" ref="D48">MAX(IF(ISBLANK(C4:C29),"",IF(C4:C29&lt;=D47+$C34*(D47-D45),C4:C29,"")))</f>
        <v>39</v>
      </c>
    </row>
    <row r="49" spans="2:5">
      <c r="B49" s="123" t="s">
        <v>180</v>
      </c>
      <c r="C49" s="123">
        <f>AVERAGE(B4:B29)</f>
        <v>16.346153846153847</v>
      </c>
      <c r="D49" s="123">
        <f>AVERAGE(C4:C29)</f>
        <v>24.307692307692307</v>
      </c>
    </row>
    <row r="50" spans="2:5">
      <c r="B50" s="123"/>
      <c r="C50" s="123"/>
      <c r="D50" s="123"/>
    </row>
    <row r="51" spans="2:5">
      <c r="B51" s="123" t="s">
        <v>204</v>
      </c>
      <c r="C51" s="123">
        <f>IF(MIN(C44:D44)&gt;=0,0,MIN(C44:D44))</f>
        <v>0</v>
      </c>
      <c r="D51" s="123"/>
    </row>
    <row r="52" spans="2:5">
      <c r="B52" s="123"/>
      <c r="C52" s="123"/>
      <c r="D52" s="123"/>
    </row>
    <row r="53" spans="2:5">
      <c r="B53" s="123" t="s">
        <v>205</v>
      </c>
      <c r="C53" s="123" t="s">
        <v>155</v>
      </c>
      <c r="D53" s="123">
        <f>C22</f>
        <v>106</v>
      </c>
      <c r="E53" s="122" t="s">
        <v>233</v>
      </c>
    </row>
    <row r="55" spans="2:5">
      <c r="B55" s="155" t="s">
        <v>231</v>
      </c>
      <c r="C55" s="155"/>
      <c r="D55" s="155"/>
    </row>
    <row r="56" spans="2:5">
      <c r="B56" s="111" t="s">
        <v>203</v>
      </c>
      <c r="C56" s="111">
        <v>2.2000000000000002</v>
      </c>
      <c r="D56" s="111"/>
    </row>
    <row r="57" spans="2:5">
      <c r="B57" s="111"/>
      <c r="C57" s="111"/>
      <c r="D57" s="111"/>
    </row>
    <row r="58" spans="2:5">
      <c r="B58" s="111"/>
      <c r="C58" s="112" t="str">
        <f>D3</f>
        <v>Duplo</v>
      </c>
      <c r="D58" s="112" t="str">
        <f>E3</f>
        <v>ROY</v>
      </c>
    </row>
    <row r="59" spans="2:5">
      <c r="B59" s="111" t="s">
        <v>182</v>
      </c>
      <c r="C59" s="111">
        <f>C66-$C73</f>
        <v>22</v>
      </c>
      <c r="D59" s="111">
        <f>D66-$C73</f>
        <v>11</v>
      </c>
    </row>
    <row r="60" spans="2:5">
      <c r="B60" s="111" t="s">
        <v>183</v>
      </c>
      <c r="C60" s="111">
        <f>MAX(C67-C66,0)</f>
        <v>8.5</v>
      </c>
      <c r="D60" s="111">
        <f>MAX(D67-D66,0)</f>
        <v>21.25</v>
      </c>
    </row>
    <row r="61" spans="2:5">
      <c r="B61" s="111" t="s">
        <v>184</v>
      </c>
      <c r="C61" s="111">
        <f t="shared" ref="C61:D63" si="2">MAX(C68-C67,0)</f>
        <v>3.5</v>
      </c>
      <c r="D61" s="111">
        <f t="shared" si="2"/>
        <v>7.75</v>
      </c>
    </row>
    <row r="62" spans="2:5">
      <c r="B62" s="111" t="s">
        <v>185</v>
      </c>
      <c r="C62" s="111">
        <f t="shared" si="2"/>
        <v>3</v>
      </c>
      <c r="D62" s="111">
        <f t="shared" si="2"/>
        <v>6.75</v>
      </c>
    </row>
    <row r="63" spans="2:5">
      <c r="B63" s="111" t="s">
        <v>186</v>
      </c>
      <c r="C63" s="111">
        <f t="shared" si="2"/>
        <v>7</v>
      </c>
      <c r="D63" s="111">
        <f t="shared" si="2"/>
        <v>21.25</v>
      </c>
    </row>
    <row r="64" spans="2:5">
      <c r="B64" s="111" t="s">
        <v>180</v>
      </c>
      <c r="C64" s="111">
        <f>C71-$C73</f>
        <v>33.53846153846154</v>
      </c>
      <c r="D64" s="111">
        <f>D71-$C73</f>
        <v>45.769230769230766</v>
      </c>
    </row>
    <row r="65" spans="2:4">
      <c r="B65" s="111"/>
      <c r="C65" s="111"/>
      <c r="D65" s="111"/>
    </row>
    <row r="66" spans="2:4">
      <c r="B66" s="111" t="s">
        <v>182</v>
      </c>
      <c r="C66" s="111">
        <f t="array" ref="C66">MIN(IF(ISBLANK(D4:D29),"",IF(D4:D29&gt;=C67-$C56*(C69-C67),D4:D29,"")))</f>
        <v>22</v>
      </c>
      <c r="D66" s="111">
        <f t="array" ref="D66">MIN(IF(ISBLANK(E4:E29),"",IF(E4:E29&gt;=D67-$C56*(D69-D67),E4:E29,"")))</f>
        <v>11</v>
      </c>
    </row>
    <row r="67" spans="2:4">
      <c r="B67" s="111" t="s">
        <v>206</v>
      </c>
      <c r="C67" s="111">
        <f>_xlfn.QUARTILE.INC(D4:D29,1)</f>
        <v>30.5</v>
      </c>
      <c r="D67" s="111">
        <f>_xlfn.QUARTILE.INC(E4:E29,1)</f>
        <v>32.25</v>
      </c>
    </row>
    <row r="68" spans="2:4">
      <c r="B68" s="111" t="s">
        <v>181</v>
      </c>
      <c r="C68" s="111">
        <f>MEDIAN(D4:D29)</f>
        <v>34</v>
      </c>
      <c r="D68" s="111">
        <f>MEDIAN(E4:E29)</f>
        <v>40</v>
      </c>
    </row>
    <row r="69" spans="2:4">
      <c r="B69" s="111" t="s">
        <v>207</v>
      </c>
      <c r="C69" s="111">
        <f>_xlfn.QUARTILE.INC(D4:D29,3)</f>
        <v>37</v>
      </c>
      <c r="D69" s="111">
        <f>_xlfn.QUARTILE.INC(E4:E29,3)</f>
        <v>46.75</v>
      </c>
    </row>
    <row r="70" spans="2:4">
      <c r="B70" s="111" t="s">
        <v>208</v>
      </c>
      <c r="C70" s="111">
        <f t="array" ref="C70">MAX(IF(ISBLANK(D4:D29),"",IF(D4:D29&lt;=C69+$C56*(C69-C67),D4:D29,"")))</f>
        <v>44</v>
      </c>
      <c r="D70" s="111">
        <f t="array" ref="D70">MAX(IF(ISBLANK(E4:E29),"",IF(E4:E29&lt;=D69+$C56*(D69-D67),E4:E29,"")))</f>
        <v>68</v>
      </c>
    </row>
    <row r="71" spans="2:4">
      <c r="B71" s="111" t="s">
        <v>180</v>
      </c>
      <c r="C71" s="111">
        <f>AVERAGE(D4:D29)</f>
        <v>33.53846153846154</v>
      </c>
      <c r="D71" s="111">
        <f>AVERAGE(E4:E29)</f>
        <v>45.769230769230766</v>
      </c>
    </row>
    <row r="72" spans="2:4">
      <c r="B72" s="111"/>
      <c r="C72" s="111"/>
      <c r="D72" s="111"/>
    </row>
    <row r="73" spans="2:4">
      <c r="B73" s="111" t="s">
        <v>204</v>
      </c>
      <c r="C73" s="111">
        <f>IF(MIN(C66:D66)&gt;=0,0,MIN(C66:D66))</f>
        <v>0</v>
      </c>
      <c r="D73" s="111"/>
    </row>
    <row r="74" spans="2:4">
      <c r="B74" s="111"/>
      <c r="C74" s="111"/>
      <c r="D74" s="111"/>
    </row>
    <row r="75" spans="2:4">
      <c r="B75" s="111" t="s">
        <v>205</v>
      </c>
      <c r="C75" s="111" t="s">
        <v>155</v>
      </c>
      <c r="D75" s="111">
        <f>E22</f>
        <v>213</v>
      </c>
    </row>
    <row r="77" spans="2:4">
      <c r="B77" s="154" t="s">
        <v>23</v>
      </c>
      <c r="C77" s="154"/>
      <c r="D77" s="154"/>
    </row>
    <row r="78" spans="2:4">
      <c r="B78" s="111" t="s">
        <v>203</v>
      </c>
      <c r="C78" s="111">
        <v>2.2000000000000002</v>
      </c>
      <c r="D78" s="111"/>
    </row>
    <row r="79" spans="2:4">
      <c r="B79" s="111"/>
      <c r="C79" s="111"/>
      <c r="D79" s="111"/>
    </row>
    <row r="80" spans="2:4">
      <c r="B80" s="111"/>
      <c r="C80" s="112" t="str">
        <f>H3</f>
        <v>Duplo</v>
      </c>
      <c r="D80" s="112" t="str">
        <f>I3</f>
        <v>ROY</v>
      </c>
    </row>
    <row r="81" spans="2:4">
      <c r="B81" s="111" t="s">
        <v>182</v>
      </c>
      <c r="C81" s="111">
        <f>C88-$C95</f>
        <v>9</v>
      </c>
      <c r="D81" s="111">
        <f>D88-$C95</f>
        <v>19</v>
      </c>
    </row>
    <row r="82" spans="2:4">
      <c r="B82" s="111" t="s">
        <v>183</v>
      </c>
      <c r="C82" s="111">
        <f>MAX(C89-C88,0)</f>
        <v>14.25</v>
      </c>
      <c r="D82" s="111">
        <f>MAX(D89-D88,0)</f>
        <v>6.5</v>
      </c>
    </row>
    <row r="83" spans="2:4">
      <c r="B83" s="111" t="s">
        <v>184</v>
      </c>
      <c r="C83" s="111">
        <f t="shared" ref="C83:D85" si="3">MAX(C90-C89,0)</f>
        <v>11.25</v>
      </c>
      <c r="D83" s="111">
        <f t="shared" si="3"/>
        <v>8.5</v>
      </c>
    </row>
    <row r="84" spans="2:4">
      <c r="B84" s="111" t="s">
        <v>185</v>
      </c>
      <c r="C84" s="111">
        <f t="shared" si="3"/>
        <v>11.5</v>
      </c>
      <c r="D84" s="111">
        <f t="shared" si="3"/>
        <v>12.75</v>
      </c>
    </row>
    <row r="85" spans="2:4">
      <c r="B85" s="111" t="s">
        <v>186</v>
      </c>
      <c r="C85" s="111">
        <f t="shared" si="3"/>
        <v>39</v>
      </c>
      <c r="D85" s="111">
        <f t="shared" si="3"/>
        <v>17.25</v>
      </c>
    </row>
    <row r="86" spans="2:4">
      <c r="B86" s="111" t="s">
        <v>180</v>
      </c>
      <c r="C86" s="111">
        <f>C93-$C95</f>
        <v>36.46153846153846</v>
      </c>
      <c r="D86" s="111">
        <f>D93-$C95</f>
        <v>36.92307692307692</v>
      </c>
    </row>
    <row r="87" spans="2:4">
      <c r="B87" s="111"/>
      <c r="C87" s="111"/>
      <c r="D87" s="111"/>
    </row>
    <row r="88" spans="2:4">
      <c r="B88" s="111" t="s">
        <v>182</v>
      </c>
      <c r="C88" s="111">
        <f t="array" ref="C88">MIN(IF(ISBLANK(H4:H29),"",IF(H4:H29&gt;=C89-$C78*(C91-C89),H4:H29,"")))</f>
        <v>9</v>
      </c>
      <c r="D88" s="111">
        <f t="array" ref="D88">MIN(IF(ISBLANK(I4:I29),"",IF(I4:I29&gt;=D89-$C78*(D91-D89),I4:I29,"")))</f>
        <v>19</v>
      </c>
    </row>
    <row r="89" spans="2:4">
      <c r="B89" s="111" t="s">
        <v>206</v>
      </c>
      <c r="C89" s="111">
        <f>_xlfn.QUARTILE.INC(H4:H29,1)</f>
        <v>23.25</v>
      </c>
      <c r="D89" s="111">
        <f>_xlfn.QUARTILE.INC(I4:I29,1)</f>
        <v>25.5</v>
      </c>
    </row>
    <row r="90" spans="2:4">
      <c r="B90" s="111" t="s">
        <v>181</v>
      </c>
      <c r="C90" s="111">
        <f>MEDIAN(H4:H29)</f>
        <v>34.5</v>
      </c>
      <c r="D90" s="111">
        <f>MEDIAN(I4:I29)</f>
        <v>34</v>
      </c>
    </row>
    <row r="91" spans="2:4">
      <c r="B91" s="111" t="s">
        <v>207</v>
      </c>
      <c r="C91" s="111">
        <f>_xlfn.QUARTILE.INC(H4:H29,3)</f>
        <v>46</v>
      </c>
      <c r="D91" s="111">
        <f>_xlfn.QUARTILE.INC(I4:I29,3)</f>
        <v>46.75</v>
      </c>
    </row>
    <row r="92" spans="2:4">
      <c r="B92" s="111" t="s">
        <v>208</v>
      </c>
      <c r="C92" s="111">
        <f t="array" ref="C92">MAX(IF(ISBLANK(H4:H29),"",IF(H4:H29&lt;=C91+$C78*(C91-C89),H4:H29,"")))</f>
        <v>85</v>
      </c>
      <c r="D92" s="111">
        <f t="array" ref="D92">MAX(IF(ISBLANK(I4:I29),"",IF(I4:I29&lt;=D91+$C78*(D91-D89),I4:I29,"")))</f>
        <v>64</v>
      </c>
    </row>
    <row r="93" spans="2:4">
      <c r="B93" s="111" t="s">
        <v>180</v>
      </c>
      <c r="C93" s="111">
        <f>AVERAGE(H4:H29)</f>
        <v>36.46153846153846</v>
      </c>
      <c r="D93" s="111">
        <f>AVERAGE(I4:I29)</f>
        <v>36.92307692307692</v>
      </c>
    </row>
    <row r="94" spans="2:4">
      <c r="B94" s="111"/>
      <c r="C94" s="111"/>
      <c r="D94" s="111"/>
    </row>
    <row r="95" spans="2:4">
      <c r="B95" s="111" t="s">
        <v>204</v>
      </c>
      <c r="C95" s="111">
        <f>IF(MIN(C88:D88)&gt;=0,0,MIN(C88:D88))</f>
        <v>0</v>
      </c>
      <c r="D95" s="111"/>
    </row>
    <row r="96" spans="2:4">
      <c r="B96" s="111"/>
      <c r="C96" s="111"/>
      <c r="D96" s="111"/>
    </row>
    <row r="97" spans="2:4">
      <c r="B97" s="111" t="s">
        <v>205</v>
      </c>
      <c r="C97" s="111" t="s">
        <v>155</v>
      </c>
      <c r="D97" s="111" t="s">
        <v>155</v>
      </c>
    </row>
  </sheetData>
  <mergeCells count="7">
    <mergeCell ref="H2:I2"/>
    <mergeCell ref="B33:D33"/>
    <mergeCell ref="B77:D77"/>
    <mergeCell ref="B55:D55"/>
    <mergeCell ref="B2:C2"/>
    <mergeCell ref="D2:E2"/>
    <mergeCell ref="F2:G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56" t="s">
        <v>156</v>
      </c>
      <c r="B2" s="139"/>
      <c r="C2" s="139"/>
    </row>
    <row r="4" spans="1:29">
      <c r="A4" s="156" t="s">
        <v>157</v>
      </c>
      <c r="B4" s="139"/>
      <c r="E4" s="157" t="s">
        <v>158</v>
      </c>
      <c r="F4" s="139"/>
      <c r="L4" s="157" t="s">
        <v>159</v>
      </c>
      <c r="M4" s="139"/>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IF('ROY (Raw)'!AM4&gt;0,IF('ROY (Raw)'!#REF!=TRUE,'ROY (Raw)'!AM4,$A$6),"")</f>
        <v>#REF!</v>
      </c>
      <c r="E8" s="27" t="s">
        <v>160</v>
      </c>
      <c r="F8" s="29" t="e">
        <f>COUNTIF(#REF!,"y")</f>
        <v>#REF!</v>
      </c>
      <c r="G8" s="22" t="e">
        <f>COUNTIF(#REF!,"y")</f>
        <v>#REF!</v>
      </c>
      <c r="H8" s="27" t="s">
        <v>160</v>
      </c>
      <c r="I8" s="34" t="e">
        <f>COUNTIF(#REF!,"y")</f>
        <v>#REF!</v>
      </c>
      <c r="J8" s="34" t="e">
        <f>COUNTIF(#REF!,"y")</f>
        <v>#REF!</v>
      </c>
      <c r="L8" s="27" t="s">
        <v>154</v>
      </c>
      <c r="M8" s="29" t="e">
        <f>SUM('ROY (Raw)'!AL4:'ROY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IF('ROY (Raw)'!AM5&gt;0,IF('ROY (Raw)'!#REF!=TRUE,'ROY (Raw)'!AM5,$A$6),"")</f>
        <v>#REF!</v>
      </c>
      <c r="E9" s="27" t="s">
        <v>161</v>
      </c>
      <c r="F9" s="29" t="e">
        <f>COUNTIF(#REF!,"N")</f>
        <v>#REF!</v>
      </c>
      <c r="G9" s="22" t="e">
        <f>COUNTIF(#REF!,"N")</f>
        <v>#REF!</v>
      </c>
      <c r="H9" s="27" t="s">
        <v>161</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IF('ROY (Raw)'!AM6&gt;0,IF('ROY (Raw)'!#REF!=TRUE,'ROY (Raw)'!AM6,$A$6),"")</f>
        <v>#REF!</v>
      </c>
      <c r="E10" s="27" t="s">
        <v>162</v>
      </c>
      <c r="F10" s="29" t="e">
        <f t="shared" ref="F10:G10" si="4">SUM(F8:F9)</f>
        <v>#REF!</v>
      </c>
      <c r="G10" s="22" t="e">
        <f t="shared" si="4"/>
        <v>#REF!</v>
      </c>
      <c r="H10" s="27" t="s">
        <v>162</v>
      </c>
      <c r="I10" s="29" t="e">
        <f t="shared" ref="I10:J10" si="5">SUM(I8:I9)</f>
        <v>#REF!</v>
      </c>
      <c r="J10" s="29" t="e">
        <f t="shared" si="5"/>
        <v>#REF!</v>
      </c>
    </row>
    <row r="11" spans="1:29">
      <c r="A11" s="32" t="e">
        <f>IF('Duplo (Raw)'!AM7&gt;0,IF('Duplo (Raw)'!#REF!=TRUE,'Duplo (Raw)'!AM7,$A$6),"")</f>
        <v>#REF!</v>
      </c>
      <c r="B11" s="38" t="e">
        <f>IF('ROY (Raw)'!AM7&gt;0,IF('ROY (Raw)'!#REF!=TRUE,'ROY (Raw)'!AM7,$A$6),"")</f>
        <v>#REF!</v>
      </c>
      <c r="E11" s="39" t="b">
        <v>1</v>
      </c>
      <c r="F11" s="34" t="e">
        <f>COUNTIFS(#REF!:#REF!,"TRUE")</f>
        <v>#REF!</v>
      </c>
      <c r="G11" s="22"/>
      <c r="H11" s="39" t="b">
        <v>1</v>
      </c>
      <c r="I11" s="34" t="e">
        <f>COUNTIFS(#REF!:#REF!,"TRUE")</f>
        <v>#REF!</v>
      </c>
    </row>
    <row r="12" spans="1:29">
      <c r="A12" s="32" t="e">
        <f>IF('Duplo (Raw)'!AM8&gt;0,IF('Duplo (Raw)'!#REF!=TRUE,'Duplo (Raw)'!AM8,$A$6),"")</f>
        <v>#REF!</v>
      </c>
      <c r="B12" s="38" t="e">
        <f>IF('ROY (Raw)'!AM8&gt;0,IF('ROY (Raw)'!#REF!=TRUE,'ROY (Raw)'!AM8,$A$6),"")</f>
        <v>#REF!</v>
      </c>
      <c r="E12" s="27" t="s">
        <v>163</v>
      </c>
      <c r="F12" s="29" t="e">
        <f t="shared" ref="F12:G12" si="6">((F8-$F$11)/F10)*100</f>
        <v>#REF!</v>
      </c>
      <c r="G12" s="22" t="e">
        <f t="shared" si="6"/>
        <v>#REF!</v>
      </c>
      <c r="H12" s="27" t="s">
        <v>163</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IF('ROY (Raw)'!AM9&gt;0,IF('ROY (Raw)'!#REF!=TRUE,'ROY (Raw)'!AM9,$A$6),"")</f>
        <v>#REF!</v>
      </c>
      <c r="E13" s="40" t="s">
        <v>164</v>
      </c>
      <c r="F13" s="29" t="e">
        <f t="shared" ref="F13:G13" si="8">100-F12</f>
        <v>#REF!</v>
      </c>
      <c r="G13" s="22" t="e">
        <f t="shared" si="8"/>
        <v>#REF!</v>
      </c>
      <c r="H13" s="40" t="s">
        <v>164</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IF('ROY (Raw)'!AM10&gt;0,IF('ROY (Raw)'!#REF!=TRUE,'ROY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IF('ROY (Raw)'!AM11&gt;0,IF('ROY (Raw)'!#REF!=TRUE,'ROY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IF('ROY (Raw)'!AM12&gt;0,IF('ROY (Raw)'!#REF!=TRUE,'ROY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IF('ROY (Raw)'!AM13&gt;0,IF('ROY (Raw)'!#REF!=TRUE,'ROY (Raw)'!AM13,$A$6),"")</f>
        <v>#REF!</v>
      </c>
    </row>
    <row r="18" spans="1:29">
      <c r="A18" s="37" t="e">
        <f>IF('Duplo (Raw)'!AM14&gt;0,IF('Duplo (Raw)'!#REF!=TRUE,'Duplo (Raw)'!AM14,$A$6),"")</f>
        <v>#REF!</v>
      </c>
      <c r="B18" s="38" t="e">
        <f>IF('ROY (Raw)'!AM14&gt;0,IF('ROY (Raw)'!#REF!=TRUE,'ROY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IF('ROY (Raw)'!AM15&gt;0,IF('ROY (Raw)'!#REF!=TRUE,'ROY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IF('ROY (Raw)'!AM16&gt;0,IF('ROY (Raw)'!#REF!=TRUE,'ROY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IF('ROY (Raw)'!AM17&gt;0,IF('ROY (Raw)'!#REF!=TRUE,'ROY (Raw)'!AM17,$A$6),"")</f>
        <v>#REF!</v>
      </c>
    </row>
    <row r="22" spans="1:29">
      <c r="A22" s="32" t="e">
        <f>IF('Duplo (Raw)'!AM18&gt;0,IF('Duplo (Raw)'!#REF!=TRUE,'Duplo (Raw)'!AM18,$A$6),"")</f>
        <v>#REF!</v>
      </c>
      <c r="B22" s="38" t="e">
        <f>IF('ROY (Raw)'!AM18&gt;0,IF('ROY (Raw)'!#REF!=TRUE,'ROY (Raw)'!AM18,$A$6),"")</f>
        <v>#REF!</v>
      </c>
    </row>
    <row r="23" spans="1:29">
      <c r="A23" s="32" t="e">
        <f>IF('Duplo (Raw)'!AM19&gt;0,IF('Duplo (Raw)'!#REF!=TRUE,'Duplo (Raw)'!AM19,$A$6),"")</f>
        <v>#REF!</v>
      </c>
      <c r="B23" s="38" t="e">
        <f>IF('ROY (Raw)'!AM19&gt;0,IF('ROY (Raw)'!#REF!=TRUE,'ROY (Raw)'!AM19,$A$6),"")</f>
        <v>#REF!</v>
      </c>
    </row>
    <row r="24" spans="1:29">
      <c r="A24" s="32" t="e">
        <f>IF('Duplo (Raw)'!AM20&gt;0,IF('Duplo (Raw)'!#REF!=TRUE,'Duplo (Raw)'!AM20,$A$6),"")</f>
        <v>#REF!</v>
      </c>
      <c r="B24" s="33" t="e">
        <f>IF('ROY (Raw)'!AM20&gt;0,IF('ROY (Raw)'!#REF!=TRUE,'ROY (Raw)'!AM20,$A$6),"")</f>
        <v>#REF!</v>
      </c>
    </row>
    <row r="25" spans="1:29">
      <c r="A25" s="32" t="e">
        <f>IF('Duplo (Raw)'!AM21&gt;0,IF('Duplo (Raw)'!#REF!=TRUE,'Duplo (Raw)'!AM21,$A$6),"")</f>
        <v>#REF!</v>
      </c>
      <c r="B25" s="33" t="e">
        <f>IF('ROY (Raw)'!AM21&gt;0,IF('ROY (Raw)'!#REF!=TRUE,'ROY (Raw)'!AM21,$A$6),"")</f>
        <v>#REF!</v>
      </c>
      <c r="P25" s="46"/>
    </row>
    <row r="26" spans="1:29">
      <c r="A26" s="32" t="e">
        <f>IF('Duplo (Raw)'!AM22&gt;0,IF('Duplo (Raw)'!#REF!=TRUE,'Duplo (Raw)'!AM22,$A$6),"")</f>
        <v>#REF!</v>
      </c>
      <c r="B26" s="33" t="e">
        <f>IF('ROY (Raw)'!AM22&gt;0,IF('ROY (Raw)'!#REF!=TRUE,'ROY (Raw)'!AM22,$A$6),"")</f>
        <v>#REF!</v>
      </c>
    </row>
    <row r="27" spans="1:29">
      <c r="A27" s="37" t="e">
        <f>IF('Duplo (Raw)'!AM23&gt;0,IF('Duplo (Raw)'!#REF!=TRUE,'Duplo (Raw)'!AM23,$A$6),"")</f>
        <v>#REF!</v>
      </c>
      <c r="B27" s="33" t="e">
        <f>IF('ROY (Raw)'!AM23&gt;0,IF('ROY (Raw)'!#REF!=TRUE,'ROY (Raw)'!AM23,$A$6),"")</f>
        <v>#REF!</v>
      </c>
    </row>
    <row r="28" spans="1:29">
      <c r="A28" s="32" t="e">
        <f>IF('Duplo (Raw)'!AM24&gt;0,IF('Duplo (Raw)'!#REF!=TRUE,'Duplo (Raw)'!AM24,$A$6),"")</f>
        <v>#REF!</v>
      </c>
      <c r="B28" s="38" t="e">
        <f>IF('ROY (Raw)'!AM24&gt;0,IF('ROY (Raw)'!#REF!=TRUE,'ROY (Raw)'!AM24,$A$6),"")</f>
        <v>#REF!</v>
      </c>
    </row>
    <row r="29" spans="1:29">
      <c r="A29" s="32" t="e">
        <f>IF('Duplo (Raw)'!AM25&gt;0,IF('Duplo (Raw)'!#REF!=TRUE,'Duplo (Raw)'!AM25,$A$6),"")</f>
        <v>#REF!</v>
      </c>
      <c r="B29" s="38" t="e">
        <f>IF('ROY (Raw)'!AM25&gt;0,IF('ROY (Raw)'!#REF!=TRUE,'ROY (Raw)'!AM25,$A$6),"")</f>
        <v>#REF!</v>
      </c>
    </row>
    <row r="30" spans="1:29">
      <c r="A30" s="32" t="e">
        <f>IF('Duplo (Raw)'!AM26&gt;0,IF('Duplo (Raw)'!#REF!=TRUE,'Duplo (Raw)'!AM26,$A$6),"")</f>
        <v>#REF!</v>
      </c>
      <c r="B30" s="38" t="e">
        <f>IF('ROY (Raw)'!AM26&gt;0,IF('ROY (Raw)'!#REF!=TRUE,'ROY (Raw)'!AM26,$A$6),"")</f>
        <v>#REF!</v>
      </c>
    </row>
    <row r="31" spans="1:29">
      <c r="A31" s="32" t="e">
        <f>IF('Duplo (Raw)'!AM27&gt;0,IF('Duplo (Raw)'!#REF!=TRUE,'Duplo (Raw)'!AM27,$A$6),"")</f>
        <v>#REF!</v>
      </c>
      <c r="B31" s="33" t="e">
        <f>IF('ROY (Raw)'!AM27&gt;0,IF('ROY (Raw)'!#REF!=TRUE,'ROY (Raw)'!AM27,$A$6),"")</f>
        <v>#REF!</v>
      </c>
    </row>
    <row r="32" spans="1:29">
      <c r="A32" s="32" t="e">
        <f>IF('Duplo (Raw)'!AM28&gt;0,IF('Duplo (Raw)'!#REF!=TRUE,'Duplo (Raw)'!AM28,$A$6),"")</f>
        <v>#REF!</v>
      </c>
      <c r="B32" s="33" t="e">
        <f>IF('ROY (Raw)'!AM28&gt;0,IF('ROY (Raw)'!#REF!=TRUE,'ROY (Raw)'!AM28,$A$6),"")</f>
        <v>#REF!</v>
      </c>
    </row>
    <row r="33" spans="1:2">
      <c r="A33" s="32" t="e">
        <f>IF('Duplo (Raw)'!AM29&gt;0,IF('Duplo (Raw)'!#REF!=TRUE,'Duplo (Raw)'!AM29,$A$6),"")</f>
        <v>#REF!</v>
      </c>
      <c r="B33" s="38" t="e">
        <f>IF('ROY (Raw)'!AM29&gt;0,IF('ROY (Raw)'!#REF!=TRUE,'ROY (Raw)'!AM29,$A$6),"")</f>
        <v>#REF!</v>
      </c>
    </row>
    <row r="34" spans="1:2">
      <c r="A34" s="47" t="e">
        <f>IF('Duplo (Raw)'!#REF!&gt;0,IF('Duplo (Raw)'!#REF!=TRUE,'Duplo (Raw)'!#REF!,$A$6),"")</f>
        <v>#REF!</v>
      </c>
      <c r="B34" s="48" t="e">
        <f>IF('ROY (Raw)'!#REF!&gt;0,IF('ROY (Raw)'!#REF!=TRUE,'ROY (Raw)'!#REF!,$A$6),"")</f>
        <v>#REF!</v>
      </c>
    </row>
    <row r="35" spans="1:2">
      <c r="A35" s="47" t="e">
        <f>IF('Duplo (Raw)'!#REF!&gt;0,IF('Duplo (Raw)'!#REF!=TRUE,'Duplo (Raw)'!#REF!,$A$6),"")</f>
        <v>#REF!</v>
      </c>
      <c r="B35" s="48" t="e">
        <f>IF('ROY (Raw)'!#REF!&gt;0,IF('ROY (Raw)'!#REF!=TRUE,'ROY (Raw)'!#REF!,$A$6),"")</f>
        <v>#REF!</v>
      </c>
    </row>
    <row r="36" spans="1:2">
      <c r="A36" s="47" t="e">
        <f>IF('Duplo (Raw)'!#REF!&gt;0,IF('Duplo (Raw)'!#REF!=TRUE,'Duplo (Raw)'!#REF!,$A$6),"")</f>
        <v>#REF!</v>
      </c>
      <c r="B36" s="48" t="e">
        <f>IF('ROY (Raw)'!#REF!&gt;0,IF('ROY (Raw)'!#REF!=TRUE,'ROY (Raw)'!#REF!,$A$6),"")</f>
        <v>#REF!</v>
      </c>
    </row>
    <row r="37" spans="1:2">
      <c r="A37" s="47" t="e">
        <f>IF('Duplo (Raw)'!#REF!&gt;0,IF('Duplo (Raw)'!#REF!=TRUE,'Duplo (Raw)'!#REF!,$A$6),"")</f>
        <v>#REF!</v>
      </c>
      <c r="B37" s="48" t="e">
        <f>IF('ROY (Raw)'!#REF!&gt;0,IF('ROY (Raw)'!#REF!=TRUE,'ROY (Raw)'!#REF!,$A$6),"")</f>
        <v>#REF!</v>
      </c>
    </row>
    <row r="38" spans="1:2">
      <c r="A38" s="47" t="e">
        <f>IF('Duplo (Raw)'!#REF!&gt;0,IF('Duplo (Raw)'!#REF!=TRUE,'Duplo (Raw)'!#REF!,$A$6),"")</f>
        <v>#REF!</v>
      </c>
      <c r="B38" s="48" t="e">
        <f>IF('ROY (Raw)'!#REF!&gt;0,IF('ROY (Raw)'!#REF!=TRUE,'ROY (Raw)'!#REF!,$A$6),"")</f>
        <v>#REF!</v>
      </c>
    </row>
    <row r="39" spans="1:2">
      <c r="A39" s="47" t="e">
        <f>IF('Duplo (Raw)'!#REF!&gt;0,IF('Duplo (Raw)'!#REF!=TRUE,'Duplo (Raw)'!#REF!,$A$6),"")</f>
        <v>#REF!</v>
      </c>
      <c r="B39" s="48" t="e">
        <f>IF('ROY (Raw)'!#REF!&gt;0,IF('ROY (Raw)'!#REF!=TRUE,'ROY (Raw)'!#REF!,$A$6),"")</f>
        <v>#REF!</v>
      </c>
    </row>
    <row r="40" spans="1:2">
      <c r="A40" s="47" t="e">
        <f>IF('Duplo (Raw)'!#REF!&gt;0,IF('Duplo (Raw)'!#REF!=TRUE,'Duplo (Raw)'!#REF!,$A$6),"")</f>
        <v>#REF!</v>
      </c>
      <c r="B40" s="48" t="e">
        <f>IF('ROY (Raw)'!#REF!&gt;0,IF('ROY (Raw)'!#REF!=TRUE,'ROY (Raw)'!#REF!,$A$6),"")</f>
        <v>#REF!</v>
      </c>
    </row>
    <row r="41" spans="1:2">
      <c r="A41" s="47" t="e">
        <f>IF('Duplo (Raw)'!#REF!&gt;0,IF('Duplo (Raw)'!#REF!=TRUE,'Duplo (Raw)'!#REF!,$A$6),"")</f>
        <v>#REF!</v>
      </c>
      <c r="B41" s="48" t="e">
        <f>IF('ROY (Raw)'!#REF!&gt;0,IF('ROY (Raw)'!#REF!=TRUE,'ROY (Raw)'!#REF!,$A$6),"")</f>
        <v>#REF!</v>
      </c>
    </row>
    <row r="42" spans="1:2">
      <c r="A42" s="47" t="e">
        <f>IF('Duplo (Raw)'!#REF!&gt;0,IF('Duplo (Raw)'!#REF!=TRUE,'Duplo (Raw)'!#REF!,$A$6),"")</f>
        <v>#REF!</v>
      </c>
      <c r="B42" s="48" t="e">
        <f>IF('ROY (Raw)'!#REF!&gt;0,IF('ROY (Raw)'!#REF!=TRUE,'ROY (Raw)'!#REF!,$A$6),"")</f>
        <v>#REF!</v>
      </c>
    </row>
    <row r="43" spans="1:2">
      <c r="A43" s="49" t="e">
        <f>IF('Duplo (Raw)'!AM23&gt;0,IF('Duplo (Raw)'!#REF!=TRUE,'Duplo (Raw)'!AM23,$A$6),"")</f>
        <v>#REF!</v>
      </c>
      <c r="B43" s="50" t="e">
        <f>IF('ROY (Raw)'!AM24&gt;0,IF('ROY (Raw)'!#REF!=TRUE,'ROY (Raw)'!AM24,$A$6),"")</f>
        <v>#REF!</v>
      </c>
    </row>
    <row r="44" spans="1:2">
      <c r="A44" s="51" t="e">
        <f>IF('Duplo (Raw)'!AM24&gt;0,IF('Duplo (Raw)'!#REF!=TRUE,'Duplo (Raw)'!AM24,$A$6),"")</f>
        <v>#REF!</v>
      </c>
      <c r="B44" s="52" t="e">
        <f>IF('ROY (Raw)'!AM25&gt;0,IF('ROY (Raw)'!#REF!=TRUE,'ROY (Raw)'!AM25,$A$6),"")</f>
        <v>#REF!</v>
      </c>
    </row>
    <row r="45" spans="1:2">
      <c r="A45" s="51" t="e">
        <f>IF('Duplo (Raw)'!AM25&gt;0,IF('Duplo (Raw)'!#REF!=TRUE,'Duplo (Raw)'!AM25,$A$6),"")</f>
        <v>#REF!</v>
      </c>
      <c r="B45" s="52" t="e">
        <f>IF('ROY (Raw)'!AM26&gt;0,IF('ROY (Raw)'!#REF!=TRUE,'ROY (Raw)'!AM26,$A$6),"")</f>
        <v>#REF!</v>
      </c>
    </row>
    <row r="46" spans="1:2">
      <c r="A46" s="51" t="e">
        <f>IF('Duplo (Raw)'!AM26&gt;0,IF('Duplo (Raw)'!#REF!=TRUE,'Duplo (Raw)'!AM26,$A$6),"")</f>
        <v>#REF!</v>
      </c>
      <c r="B46" s="53" t="e">
        <f>IF('ROY (Raw)'!AM27&gt;0,IF('ROY (Raw)'!#REF!=TRUE,'ROY (Raw)'!AM27,$A$6),"")</f>
        <v>#REF!</v>
      </c>
    </row>
    <row r="47" spans="1:2">
      <c r="A47" s="51" t="e">
        <f>IF('Duplo (Raw)'!AM27&gt;0,IF('Duplo (Raw)'!#REF!=TRUE,'Duplo (Raw)'!AM27,$A$6),"")</f>
        <v>#REF!</v>
      </c>
      <c r="B47" s="53" t="e">
        <f>IF('ROY (Raw)'!AM28&gt;0,IF('ROY (Raw)'!#REF!=TRUE,'ROY (Raw)'!AM28,$A$6),"")</f>
        <v>#REF!</v>
      </c>
    </row>
    <row r="48" spans="1:2">
      <c r="A48" s="51" t="e">
        <f>IF('Duplo (Raw)'!AM28&gt;0,IF('Duplo (Raw)'!#REF!=TRUE,'Duplo (Raw)'!AM28,$A$6),"")</f>
        <v>#REF!</v>
      </c>
      <c r="B48" s="52" t="e">
        <f>IF('ROY (Raw)'!AM29&gt;0,IF('ROY (Raw)'!#REF!=TRUE,'ROY (Raw)'!AM29,$A$6),"")</f>
        <v>#REF!</v>
      </c>
    </row>
    <row r="49" spans="1:2">
      <c r="A49" s="51" t="e">
        <f>IF('Duplo (Raw)'!AM29&gt;0,IF('Duplo (Raw)'!#REF!=TRUE,'Duplo (Raw)'!AM29,$A$6),"")</f>
        <v>#REF!</v>
      </c>
      <c r="B49" s="54" t="e">
        <f>IF('ROY (Raw)'!#REF!&gt;0,IF('ROY (Raw)'!#REF!=TRUE,'ROY (Raw)'!#REF!,$A$6),"")</f>
        <v>#REF!</v>
      </c>
    </row>
    <row r="50" spans="1:2">
      <c r="A50" s="55" t="e">
        <f>IF('Duplo (Raw)'!#REF!&gt;0,IF('Duplo (Raw)'!#REF!=TRUE,'Duplo (Raw)'!#REF!,$A$6),"")</f>
        <v>#REF!</v>
      </c>
      <c r="B50" s="54" t="e">
        <f>IF('ROY (Raw)'!#REF!&gt;0,IF('ROY (Raw)'!#REF!=TRUE,'ROY (Raw)'!#REF!,$A$6),"")</f>
        <v>#REF!</v>
      </c>
    </row>
    <row r="51" spans="1:2">
      <c r="A51" s="55" t="e">
        <f>IF('Duplo (Raw)'!#REF!&gt;0,IF('Duplo (Raw)'!#REF!=TRUE,'Duplo (Raw)'!#REF!,$A$6),"")</f>
        <v>#REF!</v>
      </c>
      <c r="B51" s="54" t="e">
        <f>IF('ROY (Raw)'!#REF!&gt;0,IF('ROY (Raw)'!#REF!=TRUE,'ROY (Raw)'!#REF!,$A$6),"")</f>
        <v>#REF!</v>
      </c>
    </row>
    <row r="52" spans="1:2">
      <c r="A52" s="55" t="e">
        <f>IF('Duplo (Raw)'!#REF!&gt;0,IF('Duplo (Raw)'!#REF!=TRUE,'Duplo (Raw)'!#REF!,$A$6),"")</f>
        <v>#REF!</v>
      </c>
      <c r="B52" s="54" t="e">
        <f>IF('ROY (Raw)'!#REF!&gt;0,IF('ROY (Raw)'!#REF!=TRUE,'ROY (Raw)'!#REF!,$A$6),"")</f>
        <v>#REF!</v>
      </c>
    </row>
    <row r="53" spans="1:2">
      <c r="A53" s="55" t="e">
        <f>IF('Duplo (Raw)'!#REF!&gt;0,IF('Duplo (Raw)'!#REF!=TRUE,'Duplo (Raw)'!#REF!,$A$6),"")</f>
        <v>#REF!</v>
      </c>
      <c r="B53" s="54" t="e">
        <f>IF('ROY (Raw)'!#REF!&gt;0,IF('ROY (Raw)'!#REF!=TRUE,'ROY (Raw)'!#REF!,$A$6),"")</f>
        <v>#REF!</v>
      </c>
    </row>
    <row r="54" spans="1:2">
      <c r="A54" s="55" t="e">
        <f>IF('Duplo (Raw)'!#REF!&gt;0,IF('Duplo (Raw)'!#REF!=TRUE,'Duplo (Raw)'!#REF!,$A$6),"")</f>
        <v>#REF!</v>
      </c>
      <c r="B54" s="54" t="e">
        <f>IF('ROY (Raw)'!#REF!&gt;0,IF('ROY (Raw)'!#REF!=TRUE,'ROY (Raw)'!#REF!,$A$6),"")</f>
        <v>#REF!</v>
      </c>
    </row>
    <row r="55" spans="1:2">
      <c r="A55" s="55" t="e">
        <f>IF('Duplo (Raw)'!#REF!&gt;0,IF('Duplo (Raw)'!#REF!=TRUE,'Duplo (Raw)'!#REF!,$A$6),"")</f>
        <v>#REF!</v>
      </c>
      <c r="B55" s="54" t="e">
        <f>IF('ROY (Raw)'!#REF!&gt;0,IF('ROY (Raw)'!#REF!=TRUE,'ROY (Raw)'!#REF!,$A$6),"")</f>
        <v>#REF!</v>
      </c>
    </row>
    <row r="56" spans="1:2">
      <c r="A56" s="55" t="e">
        <f>IF('Duplo (Raw)'!#REF!&gt;0,IF('Duplo (Raw)'!#REF!=TRUE,'Duplo (Raw)'!#REF!,$A$6),"")</f>
        <v>#REF!</v>
      </c>
      <c r="B56" s="54" t="e">
        <f>IF('ROY (Raw)'!#REF!&gt;0,IF('ROY (Raw)'!#REF!=TRUE,'ROY (Raw)'!#REF!,$A$6),"")</f>
        <v>#REF!</v>
      </c>
    </row>
    <row r="57" spans="1:2">
      <c r="A57" s="55" t="e">
        <f>IF('Duplo (Raw)'!#REF!&gt;0,IF('Duplo (Raw)'!#REF!=TRUE,'Duplo (Raw)'!#REF!,$A$6),"")</f>
        <v>#REF!</v>
      </c>
      <c r="B57" s="54" t="e">
        <f>IF('ROY (Raw)'!#REF!&gt;0,IF('ROY (Raw)'!#REF!=TRUE,'ROY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ROY (Raw)</vt:lpstr>
      <vt:lpstr>Duplo (Raw)</vt:lpstr>
      <vt:lpstr>Tasks Completion Time</vt:lpstr>
      <vt:lpstr>Overall Performance</vt:lpstr>
      <vt:lpstr>Overall Program. Obstacles</vt:lpstr>
      <vt:lpstr>Overall Program. Analysis</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2023-03-01T14:59:48Z</dcterms:modified>
</cp:coreProperties>
</file>