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harts/chart2.xml" ContentType="application/vnd.openxmlformats-officedocument.drawingml.chart+xml"/>
  <Override PartName="/xl/theme/themeOverride2.xml" ContentType="application/vnd.openxmlformats-officedocument.themeOverride+xml"/>
  <Override PartName="/xl/charts/chart3.xml" ContentType="application/vnd.openxmlformats-officedocument.drawingml.chart+xml"/>
  <Override PartName="/xl/theme/themeOverride3.xml" ContentType="application/vnd.openxmlformats-officedocument.themeOverride+xml"/>
  <Override PartName="/xl/drawings/drawing2.xml" ContentType="application/vnd.openxmlformats-officedocument.drawing+xml"/>
  <Override PartName="/xl/charts/chart4.xml" ContentType="application/vnd.openxmlformats-officedocument.drawingml.chart+xml"/>
  <Override PartName="/xl/theme/themeOverride4.xml" ContentType="application/vnd.openxmlformats-officedocument.themeOverride+xml"/>
  <Override PartName="/xl/charts/chart5.xml" ContentType="application/vnd.openxmlformats-officedocument.drawingml.chart+xml"/>
  <Override PartName="/xl/theme/themeOverride5.xml" ContentType="application/vnd.openxmlformats-officedocument.themeOverride+xml"/>
  <Override PartName="/xl/charts/chart6.xml" ContentType="application/vnd.openxmlformats-officedocument.drawingml.chart+xml"/>
  <Override PartName="/xl/theme/themeOverride6.xml" ContentType="application/vnd.openxmlformats-officedocument.themeOverride+xml"/>
  <Override PartName="/xl/drawings/drawing3.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574C5369-C68E-48F4-A354-58EEDABE4ACE}" xr6:coauthVersionLast="36" xr6:coauthVersionMax="36" xr10:uidLastSave="{00000000-0000-0000-0000-000000000000}"/>
  <bookViews>
    <workbookView xWindow="0" yWindow="0" windowWidth="17063" windowHeight="7703" activeTab="2" xr2:uid="{00000000-000D-0000-FFFF-FFFF00000000}"/>
  </bookViews>
  <sheets>
    <sheet name="Duplo (Raw)" sheetId="1" r:id="rId1"/>
    <sheet name="ROY (Raw)" sheetId="2" r:id="rId2"/>
    <sheet name="Program Analysis" sheetId="31" r:id="rId3"/>
    <sheet name="Programming Obstacles" sheetId="26" r:id="rId4"/>
    <sheet name="Performance" sheetId="8" r:id="rId5"/>
    <sheet name="CVS" sheetId="5" state="hidden" r:id="rId6"/>
    <sheet name="Analysis_duplo_vs_ORS_Total_Con" sheetId="6" state="hidden" r:id="rId7"/>
    <sheet name="Copy Analysis_duplo_vs_ORS_Tota" sheetId="7" state="hidden" r:id="rId8"/>
  </sheets>
  <externalReferences>
    <externalReference r:id="rId9"/>
    <externalReference r:id="rId10"/>
  </externalReferences>
  <definedNames>
    <definedName name="_xlchart.v1.0" hidden="1">'Program Analysis'!$B$81</definedName>
    <definedName name="_xlchart.v1.1" hidden="1">'Program Analysis'!$B$82</definedName>
    <definedName name="_xlchart.v1.2" hidden="1">'Program Analysis'!$B$83</definedName>
    <definedName name="_xlchart.v1.3" hidden="1">'Program Analysis'!$B$84</definedName>
    <definedName name="_xlchart.v1.4" hidden="1">'Program Analysis'!$C$80:$D$80</definedName>
    <definedName name="_xlchart.v1.5" hidden="1">'Program Analysis'!$C$81:$D$81</definedName>
    <definedName name="_xlchart.v1.6" hidden="1">'Program Analysis'!$C$82:$D$82</definedName>
    <definedName name="_xlchart.v1.7" hidden="1">'Program Analysis'!$C$83:$D$83</definedName>
    <definedName name="_xlchart.v1.8" hidden="1">'Program Analysis'!$C$84:$D$84</definedName>
  </definedNames>
  <calcPr calcId="191029"/>
  <fileRecoveryPr repairLoad="1"/>
</workbook>
</file>

<file path=xl/calcChain.xml><?xml version="1.0" encoding="utf-8"?>
<calcChain xmlns="http://schemas.openxmlformats.org/spreadsheetml/2006/main">
  <c r="D30" i="31" l="1"/>
  <c r="E30" i="31"/>
  <c r="B30" i="31"/>
  <c r="C30" i="31"/>
  <c r="D81" i="31"/>
  <c r="D82" i="31"/>
  <c r="D83" i="31"/>
  <c r="D84" i="31"/>
  <c r="D85" i="31"/>
  <c r="D86" i="31"/>
  <c r="C86" i="31"/>
  <c r="C83" i="31"/>
  <c r="C84" i="31"/>
  <c r="C85" i="31"/>
  <c r="C82" i="31"/>
  <c r="C81" i="31"/>
  <c r="D89" i="31"/>
  <c r="D88" i="31" s="1" a="1"/>
  <c r="D88" i="31" s="1"/>
  <c r="D90" i="31"/>
  <c r="D91" i="31"/>
  <c r="D92" i="31" s="1" a="1"/>
  <c r="D92" i="31" s="1"/>
  <c r="D93" i="31"/>
  <c r="C93" i="31"/>
  <c r="C92" i="31" a="1"/>
  <c r="C92" i="31" s="1"/>
  <c r="C91" i="31"/>
  <c r="C90" i="31"/>
  <c r="C89" i="31"/>
  <c r="C88" i="31" s="1" a="1"/>
  <c r="C88" i="31" s="1"/>
  <c r="D80" i="31"/>
  <c r="C80" i="31"/>
  <c r="C95" i="31" l="1"/>
  <c r="D75" i="31"/>
  <c r="D59" i="31"/>
  <c r="D60" i="31"/>
  <c r="D61" i="31"/>
  <c r="D62" i="31"/>
  <c r="D63" i="31"/>
  <c r="D64" i="31"/>
  <c r="C64" i="31"/>
  <c r="C61" i="31"/>
  <c r="C62" i="31"/>
  <c r="C63" i="31"/>
  <c r="C60" i="31"/>
  <c r="C59" i="31"/>
  <c r="D66" i="31" a="1"/>
  <c r="D66" i="31" s="1"/>
  <c r="D67" i="31"/>
  <c r="D68" i="31"/>
  <c r="D69" i="31"/>
  <c r="D70" i="31" a="1"/>
  <c r="D70" i="31" s="1"/>
  <c r="D71" i="31"/>
  <c r="C71" i="31"/>
  <c r="C70" i="31" a="1"/>
  <c r="C70" i="31" s="1"/>
  <c r="C69" i="31"/>
  <c r="C68" i="31"/>
  <c r="C67" i="31"/>
  <c r="C66" i="31" s="1" a="1"/>
  <c r="C66" i="31" s="1"/>
  <c r="D58" i="31"/>
  <c r="C58" i="31"/>
  <c r="C73" i="31" l="1"/>
  <c r="C73" i="26"/>
  <c r="D79" i="26"/>
  <c r="D80" i="26"/>
  <c r="D81" i="26"/>
  <c r="D82" i="26"/>
  <c r="D83" i="26"/>
  <c r="D84" i="26"/>
  <c r="C84" i="26"/>
  <c r="C81" i="26"/>
  <c r="C82" i="26"/>
  <c r="C83" i="26"/>
  <c r="C80" i="26"/>
  <c r="C79" i="26"/>
  <c r="D87" i="26"/>
  <c r="D86" i="26" s="1" a="1"/>
  <c r="D86" i="26" s="1"/>
  <c r="D88" i="26"/>
  <c r="D89" i="26"/>
  <c r="D90" i="26" s="1" a="1"/>
  <c r="D90" i="26" s="1"/>
  <c r="D91" i="26"/>
  <c r="C91" i="26"/>
  <c r="C90" i="26" a="1"/>
  <c r="C90" i="26" s="1"/>
  <c r="C89" i="26"/>
  <c r="C88" i="26"/>
  <c r="C87" i="26"/>
  <c r="C86" i="26" a="1"/>
  <c r="C86" i="26" s="1"/>
  <c r="D78" i="26"/>
  <c r="C78" i="26"/>
  <c r="C93" i="26" l="1"/>
  <c r="D57" i="26"/>
  <c r="D58" i="26"/>
  <c r="D59" i="26"/>
  <c r="D60" i="26"/>
  <c r="D61" i="26"/>
  <c r="D62" i="26"/>
  <c r="C62" i="26"/>
  <c r="C59" i="26"/>
  <c r="C60" i="26"/>
  <c r="C61" i="26"/>
  <c r="C58" i="26"/>
  <c r="C57" i="26"/>
  <c r="D65" i="26"/>
  <c r="D64" i="26" s="1" a="1"/>
  <c r="D64" i="26" s="1"/>
  <c r="D66" i="26"/>
  <c r="D67" i="26"/>
  <c r="D68" i="26" a="1"/>
  <c r="D68" i="26" s="1"/>
  <c r="D69" i="26"/>
  <c r="C69" i="26"/>
  <c r="C68" i="26" a="1"/>
  <c r="C68" i="26" s="1"/>
  <c r="C67" i="26"/>
  <c r="C66" i="26"/>
  <c r="C65" i="26"/>
  <c r="C64" i="26" s="1" a="1"/>
  <c r="C64" i="26" s="1"/>
  <c r="D56" i="26"/>
  <c r="C56" i="26"/>
  <c r="C71" i="26" l="1"/>
  <c r="D35" i="26"/>
  <c r="D36" i="26"/>
  <c r="D37" i="26"/>
  <c r="D38" i="26"/>
  <c r="D39" i="26"/>
  <c r="D40" i="26"/>
  <c r="C40" i="26"/>
  <c r="C37" i="26"/>
  <c r="C38" i="26"/>
  <c r="C39" i="26"/>
  <c r="C36" i="26"/>
  <c r="C35" i="26"/>
  <c r="D43" i="26"/>
  <c r="D42" i="26" s="1" a="1"/>
  <c r="D42" i="26" s="1"/>
  <c r="D44" i="26"/>
  <c r="D45" i="26"/>
  <c r="D46" i="26" a="1"/>
  <c r="D46" i="26" s="1"/>
  <c r="D47" i="26"/>
  <c r="C47" i="26"/>
  <c r="C46" i="26" a="1"/>
  <c r="C46" i="26" s="1"/>
  <c r="C45" i="26"/>
  <c r="C44" i="26"/>
  <c r="C43" i="26"/>
  <c r="C42" i="26" a="1"/>
  <c r="C42" i="26" s="1"/>
  <c r="D34" i="26"/>
  <c r="C34" i="26"/>
  <c r="C49" i="26" l="1"/>
  <c r="D53" i="31"/>
  <c r="D37" i="31"/>
  <c r="D38" i="31"/>
  <c r="D39" i="31"/>
  <c r="D40" i="31"/>
  <c r="D41" i="31"/>
  <c r="D42" i="31"/>
  <c r="C42" i="31"/>
  <c r="C39" i="31"/>
  <c r="C40" i="31"/>
  <c r="C41" i="31"/>
  <c r="C38" i="31"/>
  <c r="C37" i="31"/>
  <c r="D45" i="31"/>
  <c r="D44" i="31" s="1" a="1"/>
  <c r="D44" i="31" s="1"/>
  <c r="D46" i="31"/>
  <c r="D47" i="31"/>
  <c r="D48" i="31" s="1" a="1"/>
  <c r="D48" i="31" s="1"/>
  <c r="D49" i="31"/>
  <c r="C49" i="31"/>
  <c r="C48" i="31" a="1"/>
  <c r="C48" i="31" s="1"/>
  <c r="C47" i="31"/>
  <c r="C46" i="31"/>
  <c r="C45" i="31"/>
  <c r="C44" i="31" a="1"/>
  <c r="C44" i="31" s="1"/>
  <c r="D36" i="31"/>
  <c r="C36" i="31"/>
  <c r="C51" i="31" l="1"/>
  <c r="B28" i="31" l="1"/>
  <c r="B26" i="31"/>
  <c r="B25" i="31"/>
  <c r="B24" i="31"/>
  <c r="B22" i="31"/>
  <c r="B20" i="31"/>
  <c r="G26" i="8" l="1"/>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C29" i="8" l="1"/>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AP36" i="1" l="1"/>
  <c r="AP35" i="1"/>
  <c r="AP34" i="1"/>
  <c r="AP33" i="1"/>
  <c r="AP32" i="1"/>
  <c r="AP31" i="1"/>
  <c r="AP30" i="1"/>
  <c r="AP36" i="2" l="1"/>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E20" i="8" l="1"/>
  <c r="H6" i="8" l="1"/>
  <c r="H10" i="8" l="1"/>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<sst xmlns="http://schemas.openxmlformats.org/spreadsheetml/2006/main" count="1925" uniqueCount="234">
  <si>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</si>
  <si>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</si>
  <si>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</si>
  <si>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</si>
  <si>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</si>
  <si>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</si>
  <si>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</si>
  <si>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</si>
  <si>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</si>
  <si>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</si>
  <si>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</si>
  <si>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</si>
  <si>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</si>
  <si>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</si>
  <si>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</si>
  <si>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</si>
  <si>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</si>
  <si>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</si>
  <si>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</si>
  <si>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</si>
  <si>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</si>
  <si>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</si>
  <si>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</si>
  <si>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</si>
  <si>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</si>
  <si>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</si>
  <si>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</si>
  <si>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</si>
  <si>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</si>
  <si>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</si>
  <si>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</si>
  <si>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</si>
  <si>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</si>
  <si>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</si>
  <si>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</si>
  <si>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</si>
  <si>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</si>
  <si>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</si>
  <si>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</si>
  <si>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</si>
  <si>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</si>
  <si>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</si>
  <si>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</si>
  <si>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</si>
  <si>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</si>
  <si>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</si>
  <si>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</si>
  <si>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</si>
  <si>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</si>
  <si>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</si>
  <si>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</si>
  <si>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</si>
  <si>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</si>
  <si>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</si>
  <si>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</si>
  <si>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</si>
  <si>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</si>
  <si>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</si>
  <si>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</si>
  <si>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</si>
  <si>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</si>
  <si>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</si>
  <si>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</si>
  <si>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</si>
  <si>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</si>
  <si>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</si>
  <si>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</si>
  <si>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</si>
  <si>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</si>
  <si>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</si>
  <si>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</si>
  <si>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</si>
  <si>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</si>
  <si>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</si>
  <si>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</si>
  <si>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</si>
  <si>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</si>
  <si>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</si>
  <si>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</si>
  <si>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</si>
  <si>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</si>
  <si>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</si>
  <si>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</si>
  <si>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</si>
  <si>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</si>
  <si>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</si>
  <si>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</si>
  <si>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</si>
  <si>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</si>
  <si>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</si>
  <si>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</si>
  <si>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</si>
  <si>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</si>
  <si>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</si>
  <si>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</si>
  <si>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</si>
  <si>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</si>
  <si>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</si>
  <si>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</si>
  <si>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</si>
  <si>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</si>
  <si>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</si>
  <si>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</si>
  <si>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</si>
  <si>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</si>
  <si>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</si>
  <si>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</si>
  <si>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</si>
  <si>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</si>
  <si>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</si>
  <si>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</si>
  <si>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</si>
  <si>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</si>
  <si>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</si>
  <si>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</si>
  <si>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</si>
  <si>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</si>
  <si>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</si>
  <si>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</si>
  <si>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</si>
  <si>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</si>
  <si>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</si>
  <si>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</si>
  <si>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</si>
  <si>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</si>
  <si>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</si>
  <si>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</si>
  <si>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</si>
  <si>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</si>
  <si>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</si>
  <si>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</si>
  <si>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</si>
  <si>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</si>
  <si>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</si>
  <si>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</si>
  <si>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</si>
  <si>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</si>
  <si>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</si>
  <si>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</si>
  <si>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</si>
  <si>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</si>
  <si>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</si>
  <si>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</si>
  <si>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</si>
  <si>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</si>
  <si>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</si>
  <si>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</si>
  <si>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</si>
  <si>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</si>
  <si>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</si>
  <si>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</si>
  <si>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</si>
  <si>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</si>
  <si>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</si>
  <si>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</si>
  <si>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</si>
  <si>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</si>
  <si>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</si>
  <si>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</si>
  <si>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</si>
  <si>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</si>
  <si>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</si>
  <si>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</si>
  <si>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</si>
  <si>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</si>
  <si>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</si>
  <si>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</si>
  <si>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</si>
  <si>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</si>
  <si>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</si>
  <si>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</si>
  <si>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</si>
  <si>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</si>
  <si>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</si>
  <si>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</si>
  <si>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</si>
  <si>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</si>
  <si>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</si>
  <si>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</si>
  <si>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</si>
  <si>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</si>
  <si>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</si>
  <si>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</si>
  <si>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</si>
  <si>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</si>
  <si>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</si>
  <si>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</si>
  <si>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</si>
  <si>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</si>
  <si>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</si>
  <si>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</si>
  <si>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</si>
  <si>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</si>
  <si>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</si>
  <si>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</si>
  <si>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</si>
  <si>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</si>
  <si>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</si>
  <si>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</si>
  <si>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</si>
  <si>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</si>
  <si>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</si>
  <si>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</si>
  <si>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</si>
  <si>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</si>
  <si>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</si>
  <si>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</si>
  <si>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</si>
  <si>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</si>
  <si>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</si>
  <si>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</si>
  <si>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</si>
  <si>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Descriptive Statistics</t>
  </si>
  <si>
    <t>Standard Error</t>
  </si>
  <si>
    <t>Mode</t>
  </si>
  <si>
    <t>Sample Variance</t>
  </si>
  <si>
    <t>Kurtosis</t>
  </si>
  <si>
    <t>Skewness</t>
  </si>
  <si>
    <t>Range</t>
  </si>
  <si>
    <t>Sum</t>
  </si>
  <si>
    <t>Count</t>
  </si>
  <si>
    <t>Geometric Mean</t>
  </si>
  <si>
    <t>Harmonic Mean</t>
  </si>
  <si>
    <t>AAD</t>
  </si>
  <si>
    <t>MAD</t>
  </si>
  <si>
    <t>IQR</t>
  </si>
  <si>
    <t>ROY</t>
  </si>
  <si>
    <t>Time (Minutes)</t>
  </si>
  <si>
    <t>Language</t>
  </si>
  <si>
    <t>Completed?</t>
  </si>
  <si>
    <t># Restarts Programming
(Deleted code)</t>
  </si>
  <si>
    <t># Blocks / Lines Used</t>
  </si>
  <si>
    <t>●</t>
  </si>
  <si>
    <t># We are ignoring outliers! (Must mention it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</si>
</sst>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3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2">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
      <patternFill patternType="solid">
        <fgColor theme="8" tint="0.59999389629810485"/>
        <bgColor rgb="FFCFE2F3"/>
      </patternFill>
    </fill>
    <fill>
      <patternFill patternType="solid">
        <fgColor theme="8" tint="0.59999389629810485"/>
        <bgColor indexed="64"/>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152">
    <xf numFmtId="0" fontId="0" fillId="0" borderId="0" xfId="0" applyFont="1" applyAlignment="1"/>
    <xf numFmtId="0" fontId="10" fillId="0" borderId="0" xfId="0" applyFont="1" applyAlignment="1"/>
    <xf numFmtId="0" fontId="10" fillId="0" borderId="0" xfId="0" applyFont="1"/>
    <xf numFmtId="19" fontId="10" fillId="0" borderId="0" xfId="0" applyNumberFormat="1" applyFont="1"/>
    <xf numFmtId="0" fontId="11" fillId="0" borderId="0" xfId="0" applyFont="1" applyAlignment="1">
      <alignment horizontal="right" vertical="center"/>
    </xf>
    <xf numFmtId="0" fontId="10" fillId="7" borderId="0" xfId="0" applyFont="1" applyFill="1" applyAlignment="1">
      <alignment horizontal="center" vertical="center" wrapText="1"/>
    </xf>
    <xf numFmtId="0" fontId="10" fillId="7" borderId="0" xfId="0" applyFont="1" applyFill="1" applyAlignment="1">
      <alignment horizontal="center" vertical="center"/>
    </xf>
    <xf numFmtId="19" fontId="10" fillId="7" borderId="0" xfId="0" applyNumberFormat="1" applyFont="1" applyFill="1" applyAlignment="1">
      <alignment horizontal="center" vertical="center"/>
    </xf>
    <xf numFmtId="19" fontId="10" fillId="8" borderId="0" xfId="0" applyNumberFormat="1" applyFont="1" applyFill="1" applyAlignment="1">
      <alignment horizontal="center" vertical="center" wrapText="1"/>
    </xf>
    <xf numFmtId="0" fontId="10" fillId="8" borderId="0" xfId="0" applyFont="1" applyFill="1" applyAlignment="1">
      <alignment horizontal="center" vertical="center" wrapText="1"/>
    </xf>
    <xf numFmtId="0" fontId="12" fillId="8" borderId="0" xfId="0" applyFont="1" applyFill="1" applyAlignment="1">
      <alignment horizontal="center" vertical="center" wrapText="1"/>
    </xf>
    <xf numFmtId="19" fontId="12" fillId="8" borderId="0" xfId="0" applyNumberFormat="1" applyFont="1" applyFill="1" applyAlignment="1">
      <alignment horizontal="center" vertical="center" wrapText="1"/>
    </xf>
    <xf numFmtId="46" fontId="10" fillId="8" borderId="0" xfId="0" applyNumberFormat="1" applyFont="1" applyFill="1" applyAlignment="1">
      <alignment horizontal="center" vertical="center" wrapText="1"/>
    </xf>
    <xf numFmtId="0" fontId="10" fillId="9" borderId="0" xfId="0" applyFont="1" applyFill="1" applyAlignment="1">
      <alignment horizontal="center" vertical="center" wrapText="1"/>
    </xf>
    <xf numFmtId="0" fontId="13" fillId="9" borderId="0" xfId="0" applyFont="1" applyFill="1" applyAlignment="1">
      <alignment horizontal="center" vertical="center" wrapText="1"/>
    </xf>
    <xf numFmtId="0" fontId="10" fillId="10" borderId="0" xfId="0" applyFont="1" applyFill="1" applyAlignment="1">
      <alignment horizontal="center" vertical="center" wrapText="1"/>
    </xf>
    <xf numFmtId="46" fontId="10" fillId="11" borderId="0" xfId="0" applyNumberFormat="1" applyFont="1" applyFill="1" applyAlignment="1">
      <alignment horizontal="center" vertical="center" wrapText="1"/>
    </xf>
    <xf numFmtId="0" fontId="10" fillId="11" borderId="0" xfId="0" applyFont="1" applyFill="1" applyAlignment="1">
      <alignment horizontal="center" vertical="center" wrapText="1"/>
    </xf>
    <xf numFmtId="0" fontId="0" fillId="0" borderId="0" xfId="0" applyFont="1" applyAlignment="1"/>
    <xf numFmtId="0" fontId="18" fillId="0" borderId="0" xfId="0" applyFont="1" applyAlignment="1">
      <alignment horizontal="right" vertical="center"/>
    </xf>
    <xf numFmtId="0" fontId="12" fillId="10" borderId="0" xfId="0" applyFont="1" applyFill="1" applyAlignment="1">
      <alignment horizontal="center" vertical="center" wrapText="1"/>
    </xf>
    <xf numFmtId="46" fontId="0" fillId="0" borderId="0" xfId="0" applyNumberFormat="1" applyFont="1" applyAlignment="1"/>
    <xf numFmtId="0" fontId="15" fillId="0" borderId="1" xfId="0" applyFont="1" applyBorder="1"/>
    <xf numFmtId="46" fontId="21" fillId="8" borderId="0" xfId="0" applyNumberFormat="1" applyFont="1" applyFill="1" applyAlignment="1">
      <alignment horizontal="center" vertical="center" wrapText="1"/>
    </xf>
    <xf numFmtId="0" fontId="21" fillId="8" borderId="0" xfId="0" applyFont="1" applyFill="1" applyAlignment="1">
      <alignment horizontal="center" vertical="center" wrapText="1"/>
    </xf>
    <xf numFmtId="0" fontId="21" fillId="8" borderId="1" xfId="0" applyFont="1" applyFill="1" applyBorder="1" applyAlignment="1">
      <alignment horizontal="center" vertical="center" wrapText="1"/>
    </xf>
    <xf numFmtId="0" fontId="15" fillId="0" borderId="1" xfId="0" applyFont="1" applyBorder="1" applyAlignment="1"/>
    <xf numFmtId="0" fontId="15" fillId="0" borderId="0" xfId="0" applyFont="1" applyAlignment="1"/>
    <xf numFmtId="46" fontId="15" fillId="0" borderId="0" xfId="0" applyNumberFormat="1" applyFont="1"/>
    <xf numFmtId="0" fontId="15" fillId="0" borderId="0" xfId="0" applyFont="1"/>
    <xf numFmtId="0" fontId="15" fillId="13" borderId="0" xfId="0" applyFont="1" applyFill="1" applyAlignment="1"/>
    <xf numFmtId="21" fontId="15" fillId="0" borderId="4" xfId="0" applyNumberFormat="1" applyFont="1" applyBorder="1" applyAlignment="1"/>
    <xf numFmtId="46" fontId="23" fillId="13" borderId="5" xfId="0" applyNumberFormat="1" applyFont="1" applyFill="1" applyBorder="1"/>
    <xf numFmtId="46" fontId="23" fillId="13" borderId="6" xfId="0" applyNumberFormat="1" applyFont="1" applyFill="1" applyBorder="1"/>
    <xf numFmtId="0" fontId="23" fillId="13" borderId="0" xfId="0" applyFont="1" applyFill="1"/>
    <xf numFmtId="168" fontId="15" fillId="0" borderId="0" xfId="0" applyNumberFormat="1" applyFont="1"/>
    <xf numFmtId="168" fontId="15" fillId="12" borderId="0" xfId="0" applyNumberFormat="1" applyFont="1" applyFill="1"/>
    <xf numFmtId="21" fontId="23" fillId="13" borderId="5" xfId="0" applyNumberFormat="1" applyFont="1" applyFill="1" applyBorder="1"/>
    <xf numFmtId="21" fontId="23" fillId="13" borderId="6" xfId="0" applyNumberFormat="1" applyFont="1" applyFill="1" applyBorder="1"/>
    <xf numFmtId="0" fontId="15" fillId="0" borderId="0" xfId="0" applyFont="1" applyAlignment="1">
      <alignment horizontal="left"/>
    </xf>
    <xf numFmtId="0" fontId="24" fillId="0" borderId="0" xfId="0" applyFont="1" applyAlignment="1"/>
    <xf numFmtId="0" fontId="25" fillId="13" borderId="2" xfId="0" applyFont="1" applyFill="1" applyBorder="1"/>
    <xf numFmtId="0" fontId="15" fillId="0" borderId="2" xfId="0" applyFont="1" applyBorder="1"/>
    <xf numFmtId="167" fontId="15" fillId="0" borderId="0" xfId="0" applyNumberFormat="1" applyFont="1"/>
    <xf numFmtId="167" fontId="15" fillId="12" borderId="0" xfId="0" applyNumberFormat="1" applyFont="1" applyFill="1"/>
    <xf numFmtId="0" fontId="15" fillId="12" borderId="0" xfId="0" applyFont="1" applyFill="1"/>
    <xf numFmtId="2" fontId="26" fillId="13" borderId="0" xfId="0" applyNumberFormat="1" applyFont="1" applyFill="1"/>
    <xf numFmtId="0" fontId="23" fillId="13" borderId="5" xfId="0" applyFont="1" applyFill="1" applyBorder="1"/>
    <xf numFmtId="0" fontId="23" fillId="13" borderId="6" xfId="0" applyFont="1" applyFill="1" applyBorder="1"/>
    <xf numFmtId="21" fontId="23" fillId="13" borderId="7" xfId="0" applyNumberFormat="1" applyFont="1" applyFill="1" applyBorder="1"/>
    <xf numFmtId="21" fontId="23" fillId="13" borderId="8" xfId="0" applyNumberFormat="1" applyFont="1" applyFill="1" applyBorder="1"/>
    <xf numFmtId="46" fontId="23" fillId="13" borderId="9" xfId="0" applyNumberFormat="1" applyFont="1" applyFill="1" applyBorder="1"/>
    <xf numFmtId="21" fontId="23" fillId="13" borderId="10" xfId="0" applyNumberFormat="1" applyFont="1" applyFill="1" applyBorder="1"/>
    <xf numFmtId="46" fontId="23" fillId="13" borderId="10" xfId="0" applyNumberFormat="1" applyFont="1" applyFill="1" applyBorder="1"/>
    <xf numFmtId="0" fontId="23" fillId="13" borderId="10" xfId="0" applyFont="1" applyFill="1" applyBorder="1"/>
    <xf numFmtId="0" fontId="23" fillId="13" borderId="9" xfId="0" applyFont="1" applyFill="1" applyBorder="1"/>
    <xf numFmtId="0" fontId="23" fillId="13" borderId="11" xfId="0" applyFont="1" applyFill="1" applyBorder="1"/>
    <xf numFmtId="0" fontId="23" fillId="13" borderId="3" xfId="0" applyFont="1" applyFill="1" applyBorder="1"/>
    <xf numFmtId="0" fontId="25" fillId="13" borderId="0" xfId="0" applyFont="1" applyFill="1"/>
    <xf numFmtId="0" fontId="14"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5"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9" fillId="0" borderId="0" xfId="0" applyNumberFormat="1" applyFont="1" applyFill="1" applyAlignment="1">
      <alignment horizontal="right"/>
    </xf>
    <xf numFmtId="0" fontId="20" fillId="0" borderId="0" xfId="0" applyFont="1" applyFill="1" applyAlignment="1"/>
    <xf numFmtId="0" fontId="20"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6" fillId="0" borderId="0" xfId="0" applyFont="1" applyFill="1" applyAlignment="1">
      <alignment horizontal="right"/>
    </xf>
    <xf numFmtId="19" fontId="17" fillId="0" borderId="0" xfId="0" applyNumberFormat="1" applyFont="1" applyFill="1" applyAlignment="1">
      <alignment horizontal="right"/>
    </xf>
    <xf numFmtId="46" fontId="17" fillId="0" borderId="0" xfId="0" applyNumberFormat="1" applyFont="1" applyFill="1" applyAlignment="1">
      <alignment horizontal="right"/>
    </xf>
    <xf numFmtId="0" fontId="17" fillId="0" borderId="0" xfId="0" applyFont="1" applyFill="1" applyAlignment="1">
      <alignment horizontal="right"/>
    </xf>
    <xf numFmtId="0" fontId="17" fillId="0" borderId="0" xfId="0" applyFont="1" applyFill="1" applyAlignment="1"/>
    <xf numFmtId="0" fontId="0" fillId="0" borderId="0" xfId="0" applyFont="1" applyAlignment="1">
      <alignment horizontal="center"/>
    </xf>
    <xf numFmtId="0" fontId="27" fillId="10" borderId="0" xfId="0" applyFont="1" applyFill="1" applyAlignment="1">
      <alignment horizontal="center" vertical="center" wrapText="1"/>
    </xf>
    <xf numFmtId="0" fontId="28" fillId="10" borderId="0" xfId="0" applyFont="1" applyFill="1" applyAlignment="1">
      <alignment horizontal="center" vertical="center" wrapText="1"/>
    </xf>
    <xf numFmtId="0" fontId="28" fillId="8" borderId="0" xfId="0" applyFont="1" applyFill="1" applyAlignment="1">
      <alignment horizontal="center" vertical="center" wrapText="1"/>
    </xf>
    <xf numFmtId="0" fontId="28" fillId="14" borderId="0" xfId="0" applyFont="1" applyFill="1" applyAlignment="1"/>
    <xf numFmtId="0" fontId="28"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9" fillId="0" borderId="0" xfId="0" applyNumberFormat="1" applyFont="1" applyAlignment="1"/>
    <xf numFmtId="1" fontId="9" fillId="0" borderId="0" xfId="0" applyNumberFormat="1" applyFont="1" applyAlignment="1"/>
    <xf numFmtId="167" fontId="0" fillId="0" borderId="0" xfId="1" applyNumberFormat="1" applyFont="1" applyAlignment="1"/>
    <xf numFmtId="0" fontId="8"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8"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8" fillId="15" borderId="0" xfId="0" applyNumberFormat="1" applyFont="1" applyFill="1" applyAlignment="1">
      <alignment horizontal="center"/>
    </xf>
    <xf numFmtId="2" fontId="0" fillId="15" borderId="0" xfId="0" applyNumberFormat="1" applyFont="1" applyFill="1" applyAlignment="1">
      <alignment horizontal="center"/>
    </xf>
    <xf numFmtId="1" fontId="8"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9" fillId="14" borderId="0" xfId="0" applyFont="1" applyFill="1" applyAlignment="1">
      <alignment horizontal="center" vertical="center"/>
    </xf>
    <xf numFmtId="0" fontId="28" fillId="0" borderId="0" xfId="0" applyFont="1" applyAlignment="1"/>
    <xf numFmtId="0" fontId="7" fillId="17" borderId="0" xfId="0" applyFont="1" applyFill="1" applyAlignment="1">
      <alignment horizontal="center"/>
    </xf>
    <xf numFmtId="0" fontId="6" fillId="0" borderId="0" xfId="0" applyFont="1" applyAlignment="1"/>
    <xf numFmtId="0" fontId="0" fillId="14" borderId="0" xfId="0" applyFont="1" applyFill="1" applyBorder="1" applyAlignment="1"/>
    <xf numFmtId="0" fontId="28" fillId="14" borderId="0" xfId="0" applyFont="1" applyFill="1" applyBorder="1" applyAlignment="1">
      <alignment horizontal="center"/>
    </xf>
    <xf numFmtId="0" fontId="0" fillId="0" borderId="12" xfId="0" applyFont="1" applyBorder="1" applyAlignment="1"/>
    <xf numFmtId="0" fontId="28" fillId="0" borderId="12" xfId="0" applyFont="1" applyBorder="1" applyAlignment="1">
      <alignment horizontal="center"/>
    </xf>
    <xf numFmtId="0" fontId="5" fillId="17" borderId="0" xfId="0" applyFont="1" applyFill="1" applyAlignment="1">
      <alignment horizontal="center"/>
    </xf>
    <xf numFmtId="0" fontId="0" fillId="0" borderId="0" xfId="0" applyFont="1" applyAlignment="1"/>
    <xf numFmtId="0" fontId="21" fillId="18" borderId="0" xfId="0" applyFont="1" applyFill="1" applyAlignment="1">
      <alignment horizontal="center"/>
    </xf>
    <xf numFmtId="0" fontId="0" fillId="14" borderId="0" xfId="0" applyFont="1" applyFill="1" applyAlignment="1">
      <alignment horizontal="center"/>
    </xf>
    <xf numFmtId="0" fontId="0" fillId="0" borderId="0" xfId="0" applyFont="1" applyAlignment="1"/>
    <xf numFmtId="0" fontId="7" fillId="14" borderId="0" xfId="0" applyFont="1" applyFill="1" applyAlignment="1">
      <alignment horizontal="center"/>
    </xf>
    <xf numFmtId="0" fontId="0" fillId="0" borderId="0" xfId="0" applyFont="1" applyAlignment="1"/>
    <xf numFmtId="0" fontId="3" fillId="0" borderId="0" xfId="0" applyFont="1" applyAlignment="1"/>
    <xf numFmtId="0" fontId="0" fillId="14" borderId="0" xfId="0" applyFont="1" applyFill="1" applyAlignment="1"/>
    <xf numFmtId="0" fontId="2" fillId="0" borderId="0" xfId="0" applyFont="1" applyAlignment="1"/>
    <xf numFmtId="0" fontId="0" fillId="0" borderId="0" xfId="0" applyFont="1" applyFill="1" applyAlignment="1">
      <alignment horizontal="center"/>
    </xf>
    <xf numFmtId="0" fontId="20" fillId="0" borderId="0" xfId="0" applyFont="1" applyFill="1" applyAlignment="1">
      <alignment horizontal="center"/>
    </xf>
    <xf numFmtId="0" fontId="17" fillId="0" borderId="0" xfId="0" applyFont="1" applyFill="1" applyAlignment="1">
      <alignment horizontal="center"/>
    </xf>
    <xf numFmtId="0" fontId="0" fillId="0" borderId="0" xfId="0" applyFont="1" applyBorder="1" applyAlignment="1"/>
    <xf numFmtId="0" fontId="0" fillId="0" borderId="0" xfId="0" applyFont="1" applyAlignment="1"/>
    <xf numFmtId="19" fontId="10" fillId="2" borderId="0" xfId="0" applyNumberFormat="1" applyFont="1" applyFill="1" applyAlignment="1">
      <alignment horizontal="center" wrapText="1"/>
    </xf>
    <xf numFmtId="0" fontId="0" fillId="0" borderId="0" xfId="0" applyFont="1" applyAlignment="1"/>
    <xf numFmtId="0" fontId="10" fillId="2" borderId="0" xfId="0" applyFont="1" applyFill="1" applyAlignment="1">
      <alignment horizontal="center" wrapText="1"/>
    </xf>
    <xf numFmtId="19" fontId="10" fillId="3" borderId="0" xfId="0" applyNumberFormat="1" applyFont="1" applyFill="1" applyAlignment="1">
      <alignment horizontal="center" wrapText="1"/>
    </xf>
    <xf numFmtId="0" fontId="10" fillId="4" borderId="0" xfId="0" applyFont="1" applyFill="1" applyAlignment="1">
      <alignment horizontal="center" wrapText="1"/>
    </xf>
    <xf numFmtId="0" fontId="10" fillId="3" borderId="0" xfId="0" applyFont="1" applyFill="1" applyAlignment="1">
      <alignment horizontal="center" wrapText="1"/>
    </xf>
    <xf numFmtId="0" fontId="10" fillId="5" borderId="0" xfId="0" applyFont="1" applyFill="1" applyAlignment="1">
      <alignment horizontal="center" wrapText="1"/>
    </xf>
    <xf numFmtId="0" fontId="10" fillId="6" borderId="0" xfId="0" applyFont="1" applyFill="1" applyAlignment="1">
      <alignment horizontal="center" wrapText="1"/>
    </xf>
    <xf numFmtId="0" fontId="30" fillId="19" borderId="0" xfId="0" applyFont="1" applyFill="1" applyAlignment="1">
      <alignment horizontal="center" vertical="center" wrapText="1"/>
    </xf>
    <xf numFmtId="0" fontId="29" fillId="19" borderId="0" xfId="0" applyFont="1" applyFill="1" applyAlignment="1">
      <alignment horizontal="center" vertical="center" wrapText="1"/>
    </xf>
    <xf numFmtId="0" fontId="10" fillId="20" borderId="0" xfId="0" applyFont="1" applyFill="1" applyAlignment="1">
      <alignment horizontal="center" vertical="center" wrapText="1"/>
    </xf>
    <xf numFmtId="0" fontId="29" fillId="21" borderId="0" xfId="0" applyFont="1" applyFill="1" applyAlignment="1">
      <alignment horizontal="center" vertical="center"/>
    </xf>
    <xf numFmtId="0" fontId="29" fillId="18" borderId="0" xfId="0" applyFont="1" applyFill="1" applyAlignment="1">
      <alignment horizontal="center" vertical="center"/>
    </xf>
    <xf numFmtId="1" fontId="6" fillId="14" borderId="0" xfId="0" applyNumberFormat="1" applyFont="1" applyFill="1" applyAlignment="1">
      <alignment horizontal="center"/>
    </xf>
    <xf numFmtId="0" fontId="4" fillId="14" borderId="0" xfId="0" applyFont="1" applyFill="1" applyAlignment="1">
      <alignment horizontal="center"/>
    </xf>
    <xf numFmtId="0" fontId="6" fillId="14" borderId="0" xfId="0" applyFont="1" applyFill="1" applyAlignment="1">
      <alignment horizontal="center"/>
    </xf>
    <xf numFmtId="0" fontId="29" fillId="17" borderId="0" xfId="0" applyFont="1" applyFill="1" applyAlignment="1">
      <alignment horizontal="center"/>
    </xf>
    <xf numFmtId="2" fontId="29" fillId="17" borderId="0" xfId="0" applyNumberFormat="1" applyFont="1" applyFill="1" applyAlignment="1">
      <alignment horizontal="center"/>
    </xf>
    <xf numFmtId="0" fontId="22" fillId="0" borderId="0" xfId="0" applyFont="1" applyAlignment="1">
      <alignment horizontal="center"/>
    </xf>
    <xf numFmtId="0" fontId="22" fillId="0" borderId="0" xfId="0" applyFont="1" applyAlignment="1">
      <alignment horizontal="center" vertical="center"/>
    </xf>
    <xf numFmtId="0" fontId="1" fillId="0" borderId="0" xfId="0" applyFont="1" applyAlignment="1">
      <alignment vertical="center" wrapText="1"/>
    </xf>
    <xf numFmtId="0" fontId="0" fillId="0" borderId="0" xfId="0" applyFont="1" applyAlignment="1">
      <alignment vertical="center" wrapText="1"/>
    </xf>
  </cellXfs>
  <cellStyles count="2">
    <cellStyle name="Normal" xfId="0" builtinId="0"/>
    <cellStyle name="Percent" xfId="1" builtinId="5"/>
  </cellStyles>
  <dxfs count="0"/>
  <tableStyles count="0" defaultTableStyle="TableStyleMedium2" defaultPivotStyle="PivotStyleLight16"/>
  <colors>
    <mruColors>
      <color rgb="FFFFDE53"/>
      <color rgb="FFF09252"/>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3.xml.rels><?xml version="1.0" encoding="UTF-8" standalone="yes"?>
<Relationships xmlns="http://schemas.openxmlformats.org/package/2006/relationships"><Relationship Id="rId1" Type="http://schemas.openxmlformats.org/officeDocument/2006/relationships/themeOverride" Target="../theme/themeOverride3.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Analysis'!$B$37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Analysis'!$C$36:$D$36</c:f>
              <c:strCache>
                <c:ptCount val="2"/>
                <c:pt idx="0">
                  <c:v>Duplo</c:v>
                </c:pt>
                <c:pt idx="1">
                  <c:v>ROY</c:v>
                </c:pt>
              </c:strCache>
            </c:strRef>
          </c:cat>
          <c:val>
            <c:numRef>
              <c:f>'Program Analysis'!$C$37:$D$37</c:f>
              <c:numCache>
                <c:formatCode>General</c:formatCode>
                <c:ptCount val="2"/>
                <c:pt idx="0">
                  <c:v>8</c:v>
                </c:pt>
                <c:pt idx="1">
                  <c:v>8</c:v>
                </c:pt>
              </c:numCache>
            </c:numRef>
          </c:val>
          <c:extLst>
            <c:ext xmlns:c16="http://schemas.microsoft.com/office/drawing/2014/chart" uri="{C3380CC4-5D6E-409C-BE32-E72D297353CC}">
              <c16:uniqueId val="{00000000-D6D3-442B-A28A-A26DF7ACBCAA}"/>
            </c:ext>
          </c:extLst>
        </c:ser>
        <c:ser>
          <c:idx val="1"/>
          <c:order val="1"/>
          <c:tx>
            <c:strRef>
              <c:f>'Program Analysis'!$B$38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Analysis'!$C$36:$D$36</c:f>
              <c:strCache>
                <c:ptCount val="2"/>
                <c:pt idx="0">
                  <c:v>Duplo</c:v>
                </c:pt>
                <c:pt idx="1">
                  <c:v>ROY</c:v>
                </c:pt>
              </c:strCache>
            </c:strRef>
          </c:cat>
          <c:val>
            <c:numRef>
              <c:f>'Program Analysis'!$C$38:$D$38</c:f>
              <c:numCache>
                <c:formatCode>General</c:formatCode>
                <c:ptCount val="2"/>
                <c:pt idx="0">
                  <c:v>5.25</c:v>
                </c:pt>
                <c:pt idx="1">
                  <c:v>6.75</c:v>
                </c:pt>
              </c:numCache>
            </c:numRef>
          </c:val>
          <c:extLst>
            <c:ext xmlns:c16="http://schemas.microsoft.com/office/drawing/2014/chart" uri="{C3380CC4-5D6E-409C-BE32-E72D297353CC}">
              <c16:uniqueId val="{00000001-D6D3-442B-A28A-A26DF7ACBCAA}"/>
            </c:ext>
          </c:extLst>
        </c:ser>
        <c:ser>
          <c:idx val="2"/>
          <c:order val="2"/>
          <c:tx>
            <c:strRef>
              <c:f>'Program Analysis'!$B$39</c:f>
              <c:strCache>
                <c:ptCount val="1"/>
                <c:pt idx="0">
                  <c:v>Med-Q1</c:v>
                </c:pt>
              </c:strCache>
            </c:strRef>
          </c:tx>
          <c:spPr>
            <a:ln w="28575">
              <a:solidFill>
                <a:schemeClr val="tx1"/>
              </a:solidFill>
            </a:ln>
          </c:spPr>
          <c:invertIfNegative val="0"/>
          <c:cat>
            <c:strRef>
              <c:f>'Program Analysis'!$C$36:$D$36</c:f>
              <c:strCache>
                <c:ptCount val="2"/>
                <c:pt idx="0">
                  <c:v>Duplo</c:v>
                </c:pt>
                <c:pt idx="1">
                  <c:v>ROY</c:v>
                </c:pt>
              </c:strCache>
            </c:strRef>
          </c:cat>
          <c:val>
            <c:numRef>
              <c:f>'Program Analysis'!$C$39:$D$39</c:f>
              <c:numCache>
                <c:formatCode>General</c:formatCode>
                <c:ptCount val="2"/>
                <c:pt idx="0">
                  <c:v>1.75</c:v>
                </c:pt>
                <c:pt idx="1">
                  <c:v>6.25</c:v>
                </c:pt>
              </c:numCache>
            </c:numRef>
          </c:val>
          <c:extLst>
            <c:ext xmlns:c16="http://schemas.microsoft.com/office/drawing/2014/chart" uri="{C3380CC4-5D6E-409C-BE32-E72D297353CC}">
              <c16:uniqueId val="{00000002-D6D3-442B-A28A-A26DF7ACBCAA}"/>
            </c:ext>
          </c:extLst>
        </c:ser>
        <c:ser>
          <c:idx val="3"/>
          <c:order val="3"/>
          <c:tx>
            <c:strRef>
              <c:f>'Program Analysis'!$B$40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Analysis'!$C$41:$D$41</c:f>
                <c:numCache>
                  <c:formatCode>General</c:formatCode>
                  <c:ptCount val="2"/>
                  <c:pt idx="0">
                    <c:v>10</c:v>
                  </c:pt>
                  <c:pt idx="1">
                    <c:v>12.5</c:v>
                  </c:pt>
                </c:numCache>
              </c:numRef>
            </c:plus>
            <c:spPr>
              <a:ln w="28575"/>
            </c:spPr>
          </c:errBars>
          <c:cat>
            <c:strRef>
              <c:f>'Program Analysis'!$C$36:$D$36</c:f>
              <c:strCache>
                <c:ptCount val="2"/>
                <c:pt idx="0">
                  <c:v>Duplo</c:v>
                </c:pt>
                <c:pt idx="1">
                  <c:v>ROY</c:v>
                </c:pt>
              </c:strCache>
            </c:strRef>
          </c:cat>
          <c:val>
            <c:numRef>
              <c:f>'Program Analysis'!$C$40:$D$40</c:f>
              <c:numCache>
                <c:formatCode>General</c:formatCode>
                <c:ptCount val="2"/>
                <c:pt idx="0">
                  <c:v>4</c:v>
                </c:pt>
                <c:pt idx="1">
                  <c:v>5.5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Locations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Analysis'!$B$59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Analysis'!$C$58:$D$58</c:f>
              <c:strCache>
                <c:ptCount val="2"/>
                <c:pt idx="0">
                  <c:v>Duplo</c:v>
                </c:pt>
                <c:pt idx="1">
                  <c:v>ROY</c:v>
                </c:pt>
              </c:strCache>
            </c:strRef>
          </c:cat>
          <c:val>
            <c:numRef>
              <c:f>'Program Analysis'!$C$59:$D$59</c:f>
              <c:numCache>
                <c:formatCode>General</c:formatCode>
                <c:ptCount val="2"/>
                <c:pt idx="0">
                  <c:v>22</c:v>
                </c:pt>
                <c:pt idx="1">
                  <c:v>11</c:v>
                </c:pt>
              </c:numCache>
            </c:numRef>
          </c:val>
          <c:extLst>
            <c:ext xmlns:c16="http://schemas.microsoft.com/office/drawing/2014/chart" uri="{C3380CC4-5D6E-409C-BE32-E72D297353CC}">
              <c16:uniqueId val="{00000000-D6D3-442B-A28A-A26DF7ACBCAA}"/>
            </c:ext>
          </c:extLst>
        </c:ser>
        <c:ser>
          <c:idx val="1"/>
          <c:order val="1"/>
          <c:tx>
            <c:strRef>
              <c:f>'Program Analysis'!$B$60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Analysis'!$C$58:$D$58</c:f>
              <c:strCache>
                <c:ptCount val="2"/>
                <c:pt idx="0">
                  <c:v>Duplo</c:v>
                </c:pt>
                <c:pt idx="1">
                  <c:v>ROY</c:v>
                </c:pt>
              </c:strCache>
            </c:strRef>
          </c:cat>
          <c:val>
            <c:numRef>
              <c:f>'Program Analysis'!$C$60:$D$60</c:f>
              <c:numCache>
                <c:formatCode>General</c:formatCode>
                <c:ptCount val="2"/>
                <c:pt idx="0">
                  <c:v>8.5</c:v>
                </c:pt>
                <c:pt idx="1">
                  <c:v>21.25</c:v>
                </c:pt>
              </c:numCache>
            </c:numRef>
          </c:val>
          <c:extLst>
            <c:ext xmlns:c16="http://schemas.microsoft.com/office/drawing/2014/chart" uri="{C3380CC4-5D6E-409C-BE32-E72D297353CC}">
              <c16:uniqueId val="{00000001-D6D3-442B-A28A-A26DF7ACBCAA}"/>
            </c:ext>
          </c:extLst>
        </c:ser>
        <c:ser>
          <c:idx val="2"/>
          <c:order val="2"/>
          <c:tx>
            <c:strRef>
              <c:f>'Program Analysis'!$B$61</c:f>
              <c:strCache>
                <c:ptCount val="1"/>
                <c:pt idx="0">
                  <c:v>Med-Q1</c:v>
                </c:pt>
              </c:strCache>
            </c:strRef>
          </c:tx>
          <c:spPr>
            <a:ln w="28575">
              <a:solidFill>
                <a:schemeClr val="tx1"/>
              </a:solidFill>
            </a:ln>
          </c:spPr>
          <c:invertIfNegative val="0"/>
          <c:cat>
            <c:strRef>
              <c:f>'Program Analysis'!$C$58:$D$58</c:f>
              <c:strCache>
                <c:ptCount val="2"/>
                <c:pt idx="0">
                  <c:v>Duplo</c:v>
                </c:pt>
                <c:pt idx="1">
                  <c:v>ROY</c:v>
                </c:pt>
              </c:strCache>
            </c:strRef>
          </c:cat>
          <c:val>
            <c:numRef>
              <c:f>'Program Analysis'!$C$61:$D$61</c:f>
              <c:numCache>
                <c:formatCode>General</c:formatCode>
                <c:ptCount val="2"/>
                <c:pt idx="0">
                  <c:v>3.5</c:v>
                </c:pt>
                <c:pt idx="1">
                  <c:v>7.75</c:v>
                </c:pt>
              </c:numCache>
            </c:numRef>
          </c:val>
          <c:extLst>
            <c:ext xmlns:c16="http://schemas.microsoft.com/office/drawing/2014/chart" uri="{C3380CC4-5D6E-409C-BE32-E72D297353CC}">
              <c16:uniqueId val="{00000002-D6D3-442B-A28A-A26DF7ACBCAA}"/>
            </c:ext>
          </c:extLst>
        </c:ser>
        <c:ser>
          <c:idx val="3"/>
          <c:order val="3"/>
          <c:tx>
            <c:strRef>
              <c:f>'Program Analysis'!$B$62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Analysis'!$C$63:$D$63</c:f>
                <c:numCache>
                  <c:formatCode>General</c:formatCode>
                  <c:ptCount val="2"/>
                  <c:pt idx="0">
                    <c:v>7</c:v>
                  </c:pt>
                  <c:pt idx="1">
                    <c:v>21.25</c:v>
                  </c:pt>
                </c:numCache>
              </c:numRef>
            </c:plus>
            <c:spPr>
              <a:ln w="28575"/>
            </c:spPr>
          </c:errBars>
          <c:cat>
            <c:strRef>
              <c:f>'Program Analysis'!$C$58:$D$58</c:f>
              <c:strCache>
                <c:ptCount val="2"/>
                <c:pt idx="0">
                  <c:v>Duplo</c:v>
                </c:pt>
                <c:pt idx="1">
                  <c:v>ROY</c:v>
                </c:pt>
              </c:strCache>
            </c:strRef>
          </c:cat>
          <c:val>
            <c:numRef>
              <c:f>'Program Analysis'!$C$62:$D$62</c:f>
              <c:numCache>
                <c:formatCode>General</c:formatCode>
                <c:ptCount val="2"/>
                <c:pt idx="0">
                  <c:v>3</c:v>
                </c:pt>
                <c:pt idx="1">
                  <c:v>6.75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a:t>
                </a:r>
                <a:r>
                  <a:rPr lang="en-US" b="0" baseline="0"/>
                  <a:t> Blocks / Lines</a:t>
                </a:r>
                <a:endParaRPr lang="en-US" b="0"/>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 Analysis'!$B$81</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 Analysis'!$C$80:$D$80</c:f>
              <c:strCache>
                <c:ptCount val="2"/>
                <c:pt idx="0">
                  <c:v>Duplo</c:v>
                </c:pt>
                <c:pt idx="1">
                  <c:v>ROY</c:v>
                </c:pt>
              </c:strCache>
            </c:strRef>
          </c:cat>
          <c:val>
            <c:numRef>
              <c:f>'Program Analysis'!$C$81:$D$81</c:f>
              <c:numCache>
                <c:formatCode>General</c:formatCode>
                <c:ptCount val="2"/>
                <c:pt idx="0">
                  <c:v>9</c:v>
                </c:pt>
                <c:pt idx="1">
                  <c:v>19</c:v>
                </c:pt>
              </c:numCache>
            </c:numRef>
          </c:val>
          <c:extLst>
            <c:ext xmlns:c16="http://schemas.microsoft.com/office/drawing/2014/chart" uri="{C3380CC4-5D6E-409C-BE32-E72D297353CC}">
              <c16:uniqueId val="{00000000-D6D3-442B-A28A-A26DF7ACBCAA}"/>
            </c:ext>
          </c:extLst>
        </c:ser>
        <c:ser>
          <c:idx val="1"/>
          <c:order val="1"/>
          <c:tx>
            <c:strRef>
              <c:f>'Program Analysis'!$B$82</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spPr>
              <a:ln w="28575"/>
            </c:spPr>
          </c:errBars>
          <c:cat>
            <c:strRef>
              <c:f>'Program Analysis'!$C$80:$D$80</c:f>
              <c:strCache>
                <c:ptCount val="2"/>
                <c:pt idx="0">
                  <c:v>Duplo</c:v>
                </c:pt>
                <c:pt idx="1">
                  <c:v>ROY</c:v>
                </c:pt>
              </c:strCache>
            </c:strRef>
          </c:cat>
          <c:val>
            <c:numRef>
              <c:f>'Program Analysis'!$C$82:$D$82</c:f>
              <c:numCache>
                <c:formatCode>General</c:formatCode>
                <c:ptCount val="2"/>
                <c:pt idx="0">
                  <c:v>14.25</c:v>
                </c:pt>
                <c:pt idx="1">
                  <c:v>6.5</c:v>
                </c:pt>
              </c:numCache>
            </c:numRef>
          </c:val>
          <c:extLst>
            <c:ext xmlns:c16="http://schemas.microsoft.com/office/drawing/2014/chart" uri="{C3380CC4-5D6E-409C-BE32-E72D297353CC}">
              <c16:uniqueId val="{00000001-D6D3-442B-A28A-A26DF7ACBCAA}"/>
            </c:ext>
          </c:extLst>
        </c:ser>
        <c:ser>
          <c:idx val="2"/>
          <c:order val="2"/>
          <c:tx>
            <c:strRef>
              <c:f>'Program Analysis'!$B$83</c:f>
              <c:strCache>
                <c:ptCount val="1"/>
                <c:pt idx="0">
                  <c:v>Med-Q1</c:v>
                </c:pt>
              </c:strCache>
            </c:strRef>
          </c:tx>
          <c:spPr>
            <a:ln w="28575">
              <a:solidFill>
                <a:schemeClr val="tx1"/>
              </a:solidFill>
            </a:ln>
          </c:spPr>
          <c:invertIfNegative val="0"/>
          <c:cat>
            <c:strRef>
              <c:f>'Program Analysis'!$C$80:$D$80</c:f>
              <c:strCache>
                <c:ptCount val="2"/>
                <c:pt idx="0">
                  <c:v>Duplo</c:v>
                </c:pt>
                <c:pt idx="1">
                  <c:v>ROY</c:v>
                </c:pt>
              </c:strCache>
            </c:strRef>
          </c:cat>
          <c:val>
            <c:numRef>
              <c:f>'Program Analysis'!$C$83:$D$83</c:f>
              <c:numCache>
                <c:formatCode>General</c:formatCode>
                <c:ptCount val="2"/>
                <c:pt idx="0">
                  <c:v>11.25</c:v>
                </c:pt>
                <c:pt idx="1">
                  <c:v>8.5</c:v>
                </c:pt>
              </c:numCache>
            </c:numRef>
          </c:val>
          <c:extLst>
            <c:ext xmlns:c16="http://schemas.microsoft.com/office/drawing/2014/chart" uri="{C3380CC4-5D6E-409C-BE32-E72D297353CC}">
              <c16:uniqueId val="{00000002-D6D3-442B-A28A-A26DF7ACBCAA}"/>
            </c:ext>
          </c:extLst>
        </c:ser>
        <c:ser>
          <c:idx val="3"/>
          <c:order val="3"/>
          <c:tx>
            <c:strRef>
              <c:f>'Program Analysis'!$B$84</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 Analysis'!$C$85:$D$85</c:f>
                <c:numCache>
                  <c:formatCode>General</c:formatCode>
                  <c:ptCount val="2"/>
                  <c:pt idx="0">
                    <c:v>39</c:v>
                  </c:pt>
                  <c:pt idx="1">
                    <c:v>17.25</c:v>
                  </c:pt>
                </c:numCache>
              </c:numRef>
            </c:plus>
            <c:spPr>
              <a:ln w="28575"/>
            </c:spPr>
          </c:errBars>
          <c:cat>
            <c:strRef>
              <c:f>'Program Analysis'!$C$80:$D$80</c:f>
              <c:strCache>
                <c:ptCount val="2"/>
                <c:pt idx="0">
                  <c:v>Duplo</c:v>
                </c:pt>
                <c:pt idx="1">
                  <c:v>ROY</c:v>
                </c:pt>
              </c:strCache>
            </c:strRef>
          </c:cat>
          <c:val>
            <c:numRef>
              <c:f>'Program Analysis'!$C$84:$D$84</c:f>
              <c:numCache>
                <c:formatCode>General</c:formatCode>
                <c:ptCount val="2"/>
                <c:pt idx="0">
                  <c:v>11.5</c:v>
                </c:pt>
                <c:pt idx="1">
                  <c:v>12.75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90"/>
          <c:min val="0"/>
        </c:scaling>
        <c:delete val="0"/>
        <c:axPos val="b"/>
        <c:majorGridlines/>
        <c:title>
          <c:tx>
            <c:rich>
              <a:bodyPr/>
              <a:lstStyle/>
              <a:p>
                <a:pPr>
                  <a:defRPr/>
                </a:pPr>
                <a:r>
                  <a:rPr lang="en-US" b="0"/>
                  <a:t># Executions</a:t>
                </a:r>
              </a:p>
            </c:rich>
          </c:tx>
          <c:overlay val="0"/>
        </c:title>
        <c:numFmt formatCode="General" sourceLinked="1"/>
        <c:majorTickMark val="out"/>
        <c:minorTickMark val="none"/>
        <c:tickLblPos val="nextTo"/>
        <c:crossAx val="1198167040"/>
        <c:crosses val="autoZero"/>
        <c:crossBetween val="between"/>
        <c:majorUnit val="10"/>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Obstacles'!$B$35</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Obstacles'!$C$34:$D$34</c:f>
              <c:strCache>
                <c:ptCount val="2"/>
                <c:pt idx="0">
                  <c:v>Duplo</c:v>
                </c:pt>
                <c:pt idx="1">
                  <c:v>ROY</c:v>
                </c:pt>
              </c:strCache>
            </c:strRef>
          </c:cat>
          <c:val>
            <c:numRef>
              <c:f>'Programming Obstacles'!$C$35:$D$35</c:f>
              <c:numCache>
                <c:formatCode>General</c:formatCode>
                <c:ptCount val="2"/>
                <c:pt idx="0">
                  <c:v>0</c:v>
                </c:pt>
                <c:pt idx="1">
                  <c:v>1</c:v>
                </c:pt>
              </c:numCache>
            </c:numRef>
          </c:val>
          <c:extLst>
            <c:ext xmlns:c16="http://schemas.microsoft.com/office/drawing/2014/chart" uri="{C3380CC4-5D6E-409C-BE32-E72D297353CC}">
              <c16:uniqueId val="{00000000-D6D3-442B-A28A-A26DF7ACBCAA}"/>
            </c:ext>
          </c:extLst>
        </c:ser>
        <c:ser>
          <c:idx val="1"/>
          <c:order val="1"/>
          <c:tx>
            <c:strRef>
              <c:f>'Programming Obstacles'!$B$36</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Obstacles'!$C$34:$D$34</c:f>
              <c:strCache>
                <c:ptCount val="2"/>
                <c:pt idx="0">
                  <c:v>Duplo</c:v>
                </c:pt>
                <c:pt idx="1">
                  <c:v>ROY</c:v>
                </c:pt>
              </c:strCache>
            </c:strRef>
          </c:cat>
          <c:val>
            <c:numRef>
              <c:f>'Programming Obstacles'!$C$36:$D$36</c:f>
              <c:numCache>
                <c:formatCode>General</c:formatCode>
                <c:ptCount val="2"/>
                <c:pt idx="0">
                  <c:v>1.25</c:v>
                </c:pt>
                <c:pt idx="1">
                  <c:v>2</c:v>
                </c:pt>
              </c:numCache>
            </c:numRef>
          </c:val>
          <c:extLst>
            <c:ext xmlns:c16="http://schemas.microsoft.com/office/drawing/2014/chart" uri="{C3380CC4-5D6E-409C-BE32-E72D297353CC}">
              <c16:uniqueId val="{00000001-D6D3-442B-A28A-A26DF7ACBCAA}"/>
            </c:ext>
          </c:extLst>
        </c:ser>
        <c:ser>
          <c:idx val="2"/>
          <c:order val="2"/>
          <c:tx>
            <c:strRef>
              <c:f>'Programming Obstacles'!$B$37</c:f>
              <c:strCache>
                <c:ptCount val="1"/>
                <c:pt idx="0">
                  <c:v>Med-Q1</c:v>
                </c:pt>
              </c:strCache>
            </c:strRef>
          </c:tx>
          <c:spPr>
            <a:ln w="28575">
              <a:solidFill>
                <a:schemeClr val="tx1"/>
              </a:solidFill>
            </a:ln>
          </c:spPr>
          <c:invertIfNegative val="0"/>
          <c:cat>
            <c:strRef>
              <c:f>'Programming Obstacles'!$C$34:$D$34</c:f>
              <c:strCache>
                <c:ptCount val="2"/>
                <c:pt idx="0">
                  <c:v>Duplo</c:v>
                </c:pt>
                <c:pt idx="1">
                  <c:v>ROY</c:v>
                </c:pt>
              </c:strCache>
            </c:strRef>
          </c:cat>
          <c:val>
            <c:numRef>
              <c:f>'Programming Obstacles'!$C$37:$D$37</c:f>
              <c:numCache>
                <c:formatCode>General</c:formatCode>
                <c:ptCount val="2"/>
                <c:pt idx="0">
                  <c:v>1.75</c:v>
                </c:pt>
                <c:pt idx="1">
                  <c:v>2.5</c:v>
                </c:pt>
              </c:numCache>
            </c:numRef>
          </c:val>
          <c:extLst>
            <c:ext xmlns:c16="http://schemas.microsoft.com/office/drawing/2014/chart" uri="{C3380CC4-5D6E-409C-BE32-E72D297353CC}">
              <c16:uniqueId val="{00000002-D6D3-442B-A28A-A26DF7ACBCAA}"/>
            </c:ext>
          </c:extLst>
        </c:ser>
        <c:ser>
          <c:idx val="3"/>
          <c:order val="3"/>
          <c:tx>
            <c:strRef>
              <c:f>'Programming Obstacles'!$B$38</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Obstacles'!$C$39:$D$39</c:f>
                <c:numCache>
                  <c:formatCode>General</c:formatCode>
                  <c:ptCount val="2"/>
                  <c:pt idx="0">
                    <c:v>8.25</c:v>
                  </c:pt>
                  <c:pt idx="1">
                    <c:v>12</c:v>
                  </c:pt>
                </c:numCache>
              </c:numRef>
            </c:plus>
          </c:errBars>
          <c:cat>
            <c:strRef>
              <c:f>'Programming Obstacles'!$C$34:$D$34</c:f>
              <c:strCache>
                <c:ptCount val="2"/>
                <c:pt idx="0">
                  <c:v>Duplo</c:v>
                </c:pt>
                <c:pt idx="1">
                  <c:v>ROY</c:v>
                </c:pt>
              </c:strCache>
            </c:strRef>
          </c:cat>
          <c:val>
            <c:numRef>
              <c:f>'Programming Obstacles'!$C$38:$D$38</c:f>
              <c:numCache>
                <c:formatCode>General</c:formatCode>
                <c:ptCount val="2"/>
                <c:pt idx="0">
                  <c:v>3.75</c:v>
                </c:pt>
                <c:pt idx="1">
                  <c:v>3.5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b="0"/>
                  <a:t>#</a:t>
                </a:r>
                <a:r>
                  <a:rPr lang="en-US" b="0" baseline="0"/>
                  <a:t> Occurrences</a:t>
                </a:r>
                <a:endParaRPr lang="en-US" b="0"/>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Obstacles'!$B$57</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Obstacles'!$C$56:$D$56</c:f>
              <c:strCache>
                <c:ptCount val="2"/>
                <c:pt idx="0">
                  <c:v>Duplo</c:v>
                </c:pt>
                <c:pt idx="1">
                  <c:v>ROY</c:v>
                </c:pt>
              </c:strCache>
            </c:strRef>
          </c:cat>
          <c:val>
            <c:numRef>
              <c:f>'Programming Obstacles'!$C$57:$D$57</c:f>
              <c:numCache>
                <c:formatCode>General</c:formatCode>
                <c:ptCount val="2"/>
                <c:pt idx="0">
                  <c:v>1</c:v>
                </c:pt>
                <c:pt idx="1">
                  <c:v>7</c:v>
                </c:pt>
              </c:numCache>
            </c:numRef>
          </c:val>
          <c:extLst>
            <c:ext xmlns:c16="http://schemas.microsoft.com/office/drawing/2014/chart" uri="{C3380CC4-5D6E-409C-BE32-E72D297353CC}">
              <c16:uniqueId val="{00000000-D6D3-442B-A28A-A26DF7ACBCAA}"/>
            </c:ext>
          </c:extLst>
        </c:ser>
        <c:ser>
          <c:idx val="1"/>
          <c:order val="1"/>
          <c:tx>
            <c:strRef>
              <c:f>'Programming Obstacles'!$B$58</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Obstacles'!$C$56:$D$56</c:f>
              <c:strCache>
                <c:ptCount val="2"/>
                <c:pt idx="0">
                  <c:v>Duplo</c:v>
                </c:pt>
                <c:pt idx="1">
                  <c:v>ROY</c:v>
                </c:pt>
              </c:strCache>
            </c:strRef>
          </c:cat>
          <c:val>
            <c:numRef>
              <c:f>'Programming Obstacles'!$C$58:$D$58</c:f>
              <c:numCache>
                <c:formatCode>General</c:formatCode>
                <c:ptCount val="2"/>
                <c:pt idx="0">
                  <c:v>3</c:v>
                </c:pt>
                <c:pt idx="1">
                  <c:v>3.25</c:v>
                </c:pt>
              </c:numCache>
            </c:numRef>
          </c:val>
          <c:extLst>
            <c:ext xmlns:c16="http://schemas.microsoft.com/office/drawing/2014/chart" uri="{C3380CC4-5D6E-409C-BE32-E72D297353CC}">
              <c16:uniqueId val="{00000001-D6D3-442B-A28A-A26DF7ACBCAA}"/>
            </c:ext>
          </c:extLst>
        </c:ser>
        <c:ser>
          <c:idx val="2"/>
          <c:order val="2"/>
          <c:tx>
            <c:strRef>
              <c:f>'Programming Obstacles'!$B$59</c:f>
              <c:strCache>
                <c:ptCount val="1"/>
                <c:pt idx="0">
                  <c:v>Med-Q1</c:v>
                </c:pt>
              </c:strCache>
            </c:strRef>
          </c:tx>
          <c:spPr>
            <a:ln w="28575">
              <a:solidFill>
                <a:schemeClr val="tx1"/>
              </a:solidFill>
            </a:ln>
          </c:spPr>
          <c:invertIfNegative val="0"/>
          <c:cat>
            <c:strRef>
              <c:f>'Programming Obstacles'!$C$56:$D$56</c:f>
              <c:strCache>
                <c:ptCount val="2"/>
                <c:pt idx="0">
                  <c:v>Duplo</c:v>
                </c:pt>
                <c:pt idx="1">
                  <c:v>ROY</c:v>
                </c:pt>
              </c:strCache>
            </c:strRef>
          </c:cat>
          <c:val>
            <c:numRef>
              <c:f>'Programming Obstacles'!$C$59:$D$59</c:f>
              <c:numCache>
                <c:formatCode>General</c:formatCode>
                <c:ptCount val="2"/>
                <c:pt idx="0">
                  <c:v>4.5</c:v>
                </c:pt>
                <c:pt idx="1">
                  <c:v>4.25</c:v>
                </c:pt>
              </c:numCache>
            </c:numRef>
          </c:val>
          <c:extLst>
            <c:ext xmlns:c16="http://schemas.microsoft.com/office/drawing/2014/chart" uri="{C3380CC4-5D6E-409C-BE32-E72D297353CC}">
              <c16:uniqueId val="{00000002-D6D3-442B-A28A-A26DF7ACBCAA}"/>
            </c:ext>
          </c:extLst>
        </c:ser>
        <c:ser>
          <c:idx val="3"/>
          <c:order val="3"/>
          <c:tx>
            <c:strRef>
              <c:f>'Programming Obstacles'!$B$60</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Obstacles'!$C$61:$D$61</c:f>
                <c:numCache>
                  <c:formatCode>General</c:formatCode>
                  <c:ptCount val="2"/>
                  <c:pt idx="0">
                    <c:v>15.25</c:v>
                  </c:pt>
                  <c:pt idx="1">
                    <c:v>14.25</c:v>
                  </c:pt>
                </c:numCache>
              </c:numRef>
            </c:plus>
          </c:errBars>
          <c:cat>
            <c:strRef>
              <c:f>'Programming Obstacles'!$C$56:$D$56</c:f>
              <c:strCache>
                <c:ptCount val="2"/>
                <c:pt idx="0">
                  <c:v>Duplo</c:v>
                </c:pt>
                <c:pt idx="1">
                  <c:v>ROY</c:v>
                </c:pt>
              </c:strCache>
            </c:strRef>
          </c:cat>
          <c:val>
            <c:numRef>
              <c:f>'Programming Obstacles'!$C$60:$D$60</c:f>
              <c:numCache>
                <c:formatCode>General</c:formatCode>
                <c:ptCount val="2"/>
                <c:pt idx="0">
                  <c:v>3.25</c:v>
                </c:pt>
                <c:pt idx="1">
                  <c:v>4.25</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a:defRPr/>
                </a:pPr>
                <a:r>
                  <a:rPr lang="en-US" sz="1800" b="0" i="0" baseline="0">
                    <a:effectLst/>
                  </a:rPr>
                  <a:t># Occurrences</a:t>
                </a:r>
                <a:endParaRPr lang="en-US">
                  <a:effectLst/>
                </a:endParaRPr>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bar"/>
        <c:grouping val="stacked"/>
        <c:varyColors val="0"/>
        <c:ser>
          <c:idx val="0"/>
          <c:order val="0"/>
          <c:tx>
            <c:strRef>
              <c:f>'Programming Obstacles'!$B$79</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Obstacles'!$C$78:$D$78</c:f>
              <c:strCache>
                <c:ptCount val="2"/>
                <c:pt idx="0">
                  <c:v>Duplo</c:v>
                </c:pt>
                <c:pt idx="1">
                  <c:v>ROY</c:v>
                </c:pt>
              </c:strCache>
            </c:strRef>
          </c:cat>
          <c:val>
            <c:numRef>
              <c:f>'Programming Obstacles'!$C$79:$D$79</c:f>
              <c:numCache>
                <c:formatCode>General</c:formatCode>
                <c:ptCount val="2"/>
                <c:pt idx="0">
                  <c:v>0</c:v>
                </c:pt>
                <c:pt idx="1">
                  <c:v>0</c:v>
                </c:pt>
              </c:numCache>
            </c:numRef>
          </c:val>
          <c:extLst>
            <c:ext xmlns:c16="http://schemas.microsoft.com/office/drawing/2014/chart" uri="{C3380CC4-5D6E-409C-BE32-E72D297353CC}">
              <c16:uniqueId val="{00000000-D6D3-442B-A28A-A26DF7ACBCAA}"/>
            </c:ext>
          </c:extLst>
        </c:ser>
        <c:ser>
          <c:idx val="1"/>
          <c:order val="1"/>
          <c:tx>
            <c:strRef>
              <c:f>'Programming Obstacles'!$B$80</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Obstacles'!$C$78:$D$78</c:f>
              <c:strCache>
                <c:ptCount val="2"/>
                <c:pt idx="0">
                  <c:v>Duplo</c:v>
                </c:pt>
                <c:pt idx="1">
                  <c:v>ROY</c:v>
                </c:pt>
              </c:strCache>
            </c:strRef>
          </c:cat>
          <c:val>
            <c:numRef>
              <c:f>'Programming Obstacles'!$C$80:$D$80</c:f>
              <c:numCache>
                <c:formatCode>General</c:formatCode>
                <c:ptCount val="2"/>
                <c:pt idx="0">
                  <c:v>0</c:v>
                </c:pt>
                <c:pt idx="1">
                  <c:v>0</c:v>
                </c:pt>
              </c:numCache>
            </c:numRef>
          </c:val>
          <c:extLst>
            <c:ext xmlns:c16="http://schemas.microsoft.com/office/drawing/2014/chart" uri="{C3380CC4-5D6E-409C-BE32-E72D297353CC}">
              <c16:uniqueId val="{00000001-D6D3-442B-A28A-A26DF7ACBCAA}"/>
            </c:ext>
          </c:extLst>
        </c:ser>
        <c:ser>
          <c:idx val="2"/>
          <c:order val="2"/>
          <c:tx>
            <c:strRef>
              <c:f>'Programming Obstacles'!$B$81</c:f>
              <c:strCache>
                <c:ptCount val="1"/>
                <c:pt idx="0">
                  <c:v>Med-Q1</c:v>
                </c:pt>
              </c:strCache>
            </c:strRef>
          </c:tx>
          <c:spPr>
            <a:ln w="28575">
              <a:solidFill>
                <a:schemeClr val="tx1"/>
              </a:solidFill>
            </a:ln>
          </c:spPr>
          <c:invertIfNegative val="0"/>
          <c:cat>
            <c:strRef>
              <c:f>'Programming Obstacles'!$C$78:$D$78</c:f>
              <c:strCache>
                <c:ptCount val="2"/>
                <c:pt idx="0">
                  <c:v>Duplo</c:v>
                </c:pt>
                <c:pt idx="1">
                  <c:v>ROY</c:v>
                </c:pt>
              </c:strCache>
            </c:strRef>
          </c:cat>
          <c:val>
            <c:numRef>
              <c:f>'Programming Obstacles'!$C$81:$D$81</c:f>
              <c:numCache>
                <c:formatCode>General</c:formatCode>
                <c:ptCount val="2"/>
                <c:pt idx="0">
                  <c:v>0</c:v>
                </c:pt>
                <c:pt idx="1">
                  <c:v>1</c:v>
                </c:pt>
              </c:numCache>
            </c:numRef>
          </c:val>
          <c:extLst>
            <c:ext xmlns:c16="http://schemas.microsoft.com/office/drawing/2014/chart" uri="{C3380CC4-5D6E-409C-BE32-E72D297353CC}">
              <c16:uniqueId val="{00000002-D6D3-442B-A28A-A26DF7ACBCAA}"/>
            </c:ext>
          </c:extLst>
        </c:ser>
        <c:ser>
          <c:idx val="3"/>
          <c:order val="3"/>
          <c:tx>
            <c:strRef>
              <c:f>'Programming Obstacles'!$B$82</c:f>
              <c:strCache>
                <c:ptCount val="1"/>
                <c:pt idx="0">
                  <c:v>Q3-Med</c:v>
                </c:pt>
              </c:strCache>
            </c:strRef>
          </c:tx>
          <c:spPr>
            <a:solidFill>
              <a:srgbClr val="FFDE53"/>
            </a:solidFill>
            <a:ln w="28575">
              <a:solidFill>
                <a:schemeClr val="tx1"/>
              </a:solidFill>
            </a:ln>
          </c:spPr>
          <c:invertIfNegative val="0"/>
          <c:errBars>
            <c:errBarType val="plus"/>
            <c:errValType val="cust"/>
            <c:noEndCap val="0"/>
            <c:plus>
              <c:numRef>
                <c:f>'Programming Obstacles'!$C$83:$D$83</c:f>
                <c:numCache>
                  <c:formatCode>General</c:formatCode>
                  <c:ptCount val="2"/>
                  <c:pt idx="0">
                    <c:v>3.25</c:v>
                  </c:pt>
                  <c:pt idx="1">
                    <c:v>6</c:v>
                  </c:pt>
                </c:numCache>
              </c:numRef>
            </c:plus>
          </c:errBars>
          <c:cat>
            <c:strRef>
              <c:f>'Programming Obstacles'!$C$78:$D$78</c:f>
              <c:strCache>
                <c:ptCount val="2"/>
                <c:pt idx="0">
                  <c:v>Duplo</c:v>
                </c:pt>
                <c:pt idx="1">
                  <c:v>ROY</c:v>
                </c:pt>
              </c:strCache>
            </c:strRef>
          </c:cat>
          <c:val>
            <c:numRef>
              <c:f>'Programming Obstacles'!$C$82:$D$82</c:f>
              <c:numCache>
                <c:formatCode>General</c:formatCode>
                <c:ptCount val="2"/>
                <c:pt idx="0">
                  <c:v>4.75</c:v>
                </c:pt>
                <c:pt idx="1">
                  <c:v>2</c:v>
                </c:pt>
              </c:numCache>
            </c:numRef>
          </c:val>
          <c:extLst>
            <c:ext xmlns:c16="http://schemas.microsoft.com/office/drawing/2014/chart" uri="{C3380CC4-5D6E-409C-BE32-E72D297353CC}">
              <c16:uniqueId val="{00000003-D6D3-442B-A28A-A26DF7ACBCAA}"/>
            </c:ext>
          </c:extLst>
        </c:ser>
        <c:dLbls>
          <c:showLegendKey val="0"/>
          <c:showVal val="0"/>
          <c:showCatName val="0"/>
          <c:showSerName val="0"/>
          <c:showPercent val="0"/>
          <c:showBubbleSize val="0"/>
        </c:dLbls>
        <c:gapWidth val="50"/>
        <c:overlap val="100"/>
        <c:axId val="1198167040"/>
        <c:axId val="1176041392"/>
      </c:barChart>
      <c:catAx>
        <c:axId val="1198167040"/>
        <c:scaling>
          <c:orientation val="minMax"/>
        </c:scaling>
        <c:delete val="0"/>
        <c:axPos val="l"/>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max val="40"/>
          <c:min val="0"/>
        </c:scaling>
        <c:delete val="0"/>
        <c:axPos val="b"/>
        <c:majorGridlines/>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r>
                  <a:rPr lang="en-US" sz="1800" b="0" i="0" baseline="0">
                    <a:effectLst/>
                  </a:rPr>
                  <a:t># Occurrences</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baseline="0">
                    <a:solidFill>
                      <a:sysClr val="windowText" lastClr="000000"/>
                    </a:solidFill>
                    <a:latin typeface="+mn-lt"/>
                    <a:ea typeface="+mn-ea"/>
                    <a:cs typeface="+mn-cs"/>
                  </a:defRPr>
                </a:pPr>
                <a:endParaRPr lang="en-US"/>
              </a:p>
            </c:rich>
          </c:tx>
          <c:overlay val="0"/>
        </c:title>
        <c:numFmt formatCode="General" sourceLinked="1"/>
        <c:majorTickMark val="out"/>
        <c:minorTickMark val="none"/>
        <c:tickLblPos val="nextTo"/>
        <c:crossAx val="1198167040"/>
        <c:crosses val="autoZero"/>
        <c:crossBetween val="between"/>
        <c:majorUnit val="5"/>
      </c:valAx>
      <c:spPr>
        <a:solidFill>
          <a:schemeClr val="bg1">
            <a:lumMod val="95000"/>
          </a:schemeClr>
        </a:solidFill>
      </c:spPr>
    </c:plotArea>
    <c:plotVisOnly val="1"/>
    <c:dispBlanksAs val="gap"/>
    <c:showDLblsOverMax val="0"/>
    <c:extLst/>
  </c:chart>
  <c:txPr>
    <a:bodyPr/>
    <a:lstStyle/>
    <a:p>
      <a:pPr>
        <a:defRPr sz="20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 Rate: ROY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0"/>
          <c:order val="0"/>
          <c:tx>
            <c:strRef>
              <c:f>Performance!$B$5</c:f>
              <c:strCache>
                <c:ptCount val="1"/>
                <c:pt idx="0">
                  <c:v>Completed</c:v>
                </c:pt>
              </c:strCache>
            </c:strRef>
          </c:tx>
          <c:spPr>
            <a:solidFill>
              <a:srgbClr val="008E40"/>
            </a:solidFill>
            <a:ln>
              <a:noFill/>
            </a:ln>
            <a:effectLst/>
          </c:spPr>
          <c:invertIfNegative val="0"/>
          <c:dLbls>
            <c:dLbl>
              <c:idx val="0"/>
              <c:tx>
                <c:rich>
                  <a:bodyPr/>
                  <a:lstStyle/>
                  <a:p>
                    <a:fld id="{D0A46BA0-4A08-40F0-A0AE-7790041D76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C-4D6F-A73D-A2C0CCECC8D0}"/>
                </c:ext>
              </c:extLst>
            </c:dLbl>
            <c:dLbl>
              <c:idx val="1"/>
              <c:tx>
                <c:rich>
                  <a:bodyPr/>
                  <a:lstStyle/>
                  <a:p>
                    <a:fld id="{ED9ACDB1-9152-42AE-888A-B4586C4E37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C-4D6F-A73D-A2C0CCECC8D0}"/>
                </c:ext>
              </c:extLst>
            </c:dLbl>
            <c:dLbl>
              <c:idx val="2"/>
              <c:tx>
                <c:rich>
                  <a:bodyPr/>
                  <a:lstStyle/>
                  <a:p>
                    <a:fld id="{5EB69A25-5007-4325-8D30-48B5C5148A8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C-4D6F-A73D-A2C0CCECC8D0}"/>
                </c:ext>
              </c:extLst>
            </c:dLbl>
            <c:dLbl>
              <c:idx val="3"/>
              <c:tx>
                <c:rich>
                  <a:bodyPr/>
                  <a:lstStyle/>
                  <a:p>
                    <a:fld id="{DA37CCB2-DE29-4D1C-9277-F9D1BCE577F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C-4D6F-A73D-A2C0CCECC8D0}"/>
                </c:ext>
              </c:extLst>
            </c:dLbl>
            <c:dLbl>
              <c:idx val="4"/>
              <c:tx>
                <c:rich>
                  <a:bodyPr/>
                  <a:lstStyle/>
                  <a:p>
                    <a:fld id="{A7FF4E6F-177F-4251-BADC-63003C35F6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C-4D6F-A73D-A2C0CCECC8D0}"/>
                </c:ext>
              </c:extLst>
            </c:dLbl>
            <c:dLbl>
              <c:idx val="5"/>
              <c:tx>
                <c:rich>
                  <a:bodyPr/>
                  <a:lstStyle/>
                  <a:p>
                    <a:fld id="{F0279E4A-E90B-4AF9-BB13-8CD06EA221D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C-4D6F-A73D-A2C0CCECC8D0}"/>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C43D-44B4-94F6-095BE6468189}"/>
            </c:ext>
          </c:extLst>
        </c:ser>
        <c:ser>
          <c:idx val="1"/>
          <c:order val="1"/>
          <c:tx>
            <c:strRef>
              <c:f>Performance!$B$6</c:f>
              <c:strCache>
                <c:ptCount val="1"/>
                <c:pt idx="0">
                  <c:v>Did not complete</c:v>
                </c:pt>
              </c:strCache>
            </c:strRef>
          </c:tx>
          <c:spPr>
            <a:solidFill>
              <a:srgbClr val="C00000"/>
            </a:solidFill>
            <a:ln>
              <a:noFill/>
            </a:ln>
            <a:effectLst/>
          </c:spPr>
          <c:invertIfNegative val="0"/>
          <c:dLbls>
            <c:dLbl>
              <c:idx val="0"/>
              <c:tx>
                <c:rich>
                  <a:bodyPr/>
                  <a:lstStyle/>
                  <a:p>
                    <a:fld id="{0BA5C295-9DFF-4603-BBC7-9C5EBA93C7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C-4D6F-A73D-A2C0CCECC8D0}"/>
                </c:ext>
              </c:extLst>
            </c:dLbl>
            <c:dLbl>
              <c:idx val="1"/>
              <c:tx>
                <c:rich>
                  <a:bodyPr/>
                  <a:lstStyle/>
                  <a:p>
                    <a:fld id="{23A8F91B-CB01-4F72-89BF-DD809943C6E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C-4D6F-A73D-A2C0CCECC8D0}"/>
                </c:ext>
              </c:extLst>
            </c:dLbl>
            <c:dLbl>
              <c:idx val="2"/>
              <c:tx>
                <c:rich>
                  <a:bodyPr/>
                  <a:lstStyle/>
                  <a:p>
                    <a:fld id="{A74935B1-E7B2-482F-A738-F45EC5CACF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C-4D6F-A73D-A2C0CCECC8D0}"/>
                </c:ext>
              </c:extLst>
            </c:dLbl>
            <c:dLbl>
              <c:idx val="3"/>
              <c:tx>
                <c:rich>
                  <a:bodyPr/>
                  <a:lstStyle/>
                  <a:p>
                    <a:fld id="{12A95C65-4E8D-46A2-A197-E9A9B14955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4BC-4D6F-A73D-A2C0CCECC8D0}"/>
                </c:ext>
              </c:extLst>
            </c:dLbl>
            <c:dLbl>
              <c:idx val="4"/>
              <c:tx>
                <c:rich>
                  <a:bodyPr/>
                  <a:lstStyle/>
                  <a:p>
                    <a:fld id="{234AE6F2-FB32-40E2-B5D6-07EFA0BCE73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4BC-4D6F-A73D-A2C0CCECC8D0}"/>
                </c:ext>
              </c:extLst>
            </c:dLbl>
            <c:dLbl>
              <c:idx val="5"/>
              <c:tx>
                <c:rich>
                  <a:bodyPr/>
                  <a:lstStyle/>
                  <a:p>
                    <a:fld id="{9CF94C53-D4E1-4217-A564-AA234C04D8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4BC-4D6F-A73D-A2C0CCECC8D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C43D-44B4-94F6-095BE6468189}"/>
            </c:ext>
          </c:extLst>
        </c:ser>
        <c:dLbls>
          <c:dLblPos val="ctr"/>
          <c:showLegendKey val="0"/>
          <c:showVal val="1"/>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Participants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a:t>
            </a:r>
            <a:r>
              <a:rPr lang="en-US" baseline="0"/>
              <a:t> Rate: </a:t>
            </a:r>
            <a:r>
              <a:rPr lang="en-US"/>
              <a:t>Duplo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1"/>
          <c:order val="0"/>
          <c:tx>
            <c:strRef>
              <c:f>Performance!$B$9</c:f>
              <c:strCache>
                <c:ptCount val="1"/>
                <c:pt idx="0">
                  <c:v>Completed</c:v>
                </c:pt>
              </c:strCache>
            </c:strRef>
          </c:tx>
          <c:spPr>
            <a:solidFill>
              <a:srgbClr val="008E40"/>
            </a:solidFill>
            <a:ln>
              <a:noFill/>
            </a:ln>
            <a:effectLst/>
          </c:spPr>
          <c:invertIfNegative val="0"/>
          <c:dLbls>
            <c:dLbl>
              <c:idx val="0"/>
              <c:tx>
                <c:rich>
                  <a:bodyPr/>
                  <a:lstStyle/>
                  <a:p>
                    <a:fld id="{5EFE5548-15CA-4BBE-B847-6CC93443F78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F1-4A93-B236-6F3A4FD28F05}"/>
                </c:ext>
              </c:extLst>
            </c:dLbl>
            <c:dLbl>
              <c:idx val="1"/>
              <c:tx>
                <c:rich>
                  <a:bodyPr/>
                  <a:lstStyle/>
                  <a:p>
                    <a:fld id="{8546F420-128E-4FBA-8055-A73AF5D051B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F1-4A93-B236-6F3A4FD28F05}"/>
                </c:ext>
              </c:extLst>
            </c:dLbl>
            <c:dLbl>
              <c:idx val="2"/>
              <c:tx>
                <c:rich>
                  <a:bodyPr/>
                  <a:lstStyle/>
                  <a:p>
                    <a:fld id="{34239542-002D-471E-A0CB-238B35C282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F1-4A93-B236-6F3A4FD28F05}"/>
                </c:ext>
              </c:extLst>
            </c:dLbl>
            <c:dLbl>
              <c:idx val="3"/>
              <c:tx>
                <c:rich>
                  <a:bodyPr/>
                  <a:lstStyle/>
                  <a:p>
                    <a:fld id="{814AAE3E-1828-49B2-BCFB-EE5B995B53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F1-4A93-B236-6F3A4FD28F05}"/>
                </c:ext>
              </c:extLst>
            </c:dLbl>
            <c:dLbl>
              <c:idx val="4"/>
              <c:tx>
                <c:rich>
                  <a:bodyPr/>
                  <a:lstStyle/>
                  <a:p>
                    <a:fld id="{82F00E20-36B5-43E0-B08F-4E89FCAD029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F1-4A93-B236-6F3A4FD28F05}"/>
                </c:ext>
              </c:extLst>
            </c:dLbl>
            <c:dLbl>
              <c:idx val="5"/>
              <c:tx>
                <c:rich>
                  <a:bodyPr/>
                  <a:lstStyle/>
                  <a:p>
                    <a:fld id="{798ED0A2-E685-496F-B2EF-1C913255D96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1-C43D-44B4-94F6-095BE6468189}"/>
            </c:ext>
          </c:extLst>
        </c:ser>
        <c:ser>
          <c:idx val="0"/>
          <c:order val="1"/>
          <c:tx>
            <c:strRef>
              <c:f>Performance!$B$10</c:f>
              <c:strCache>
                <c:ptCount val="1"/>
                <c:pt idx="0">
                  <c:v>Did not complete</c:v>
                </c:pt>
              </c:strCache>
            </c:strRef>
          </c:tx>
          <c:spPr>
            <a:solidFill>
              <a:srgbClr val="C0000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7F1-4A93-B236-6F3A4FD28F05}"/>
                </c:ext>
              </c:extLst>
            </c:dLbl>
            <c:dLbl>
              <c:idx val="1"/>
              <c:delete val="1"/>
              <c:extLst>
                <c:ext xmlns:c15="http://schemas.microsoft.com/office/drawing/2012/chart" uri="{CE6537A1-D6FC-4f65-9D91-7224C49458BB}"/>
                <c:ext xmlns:c16="http://schemas.microsoft.com/office/drawing/2014/chart" uri="{C3380CC4-5D6E-409C-BE32-E72D297353CC}">
                  <c16:uniqueId val="{00000001-07F1-4A93-B236-6F3A4FD28F05}"/>
                </c:ext>
              </c:extLst>
            </c:dLbl>
            <c:dLbl>
              <c:idx val="2"/>
              <c:delete val="1"/>
              <c:extLst>
                <c:ext xmlns:c15="http://schemas.microsoft.com/office/drawing/2012/chart" uri="{CE6537A1-D6FC-4f65-9D91-7224C49458BB}"/>
                <c:ext xmlns:c16="http://schemas.microsoft.com/office/drawing/2014/chart" uri="{C3380CC4-5D6E-409C-BE32-E72D297353CC}">
                  <c16:uniqueId val="{00000002-07F1-4A93-B236-6F3A4FD28F05}"/>
                </c:ext>
              </c:extLst>
            </c:dLbl>
            <c:dLbl>
              <c:idx val="3"/>
              <c:tx>
                <c:rich>
                  <a:bodyPr/>
                  <a:lstStyle/>
                  <a:p>
                    <a:fld id="{71087802-C5FD-4F68-A938-DACEE4C7C4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F1-4A93-B236-6F3A4FD28F05}"/>
                </c:ext>
              </c:extLst>
            </c:dLbl>
            <c:dLbl>
              <c:idx val="4"/>
              <c:tx>
                <c:rich>
                  <a:bodyPr/>
                  <a:lstStyle/>
                  <a:p>
                    <a:fld id="{E591ADB2-1F93-4D5B-823B-47A68368FF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F1-4A93-B236-6F3A4FD28F05}"/>
                </c:ext>
              </c:extLst>
            </c:dLbl>
            <c:dLbl>
              <c:idx val="5"/>
              <c:tx>
                <c:rich>
                  <a:bodyPr/>
                  <a:lstStyle/>
                  <a:p>
                    <a:fld id="{1AB52795-A514-433C-A35C-CC4A5AA268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0-C43D-44B4-94F6-095BE6468189}"/>
            </c:ext>
          </c:extLst>
        </c:ser>
        <c:dLbls>
          <c:showLegendKey val="0"/>
          <c:showVal val="0"/>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Performance!$C$51</c:f>
              <c:strCache>
                <c:ptCount val="1"/>
                <c:pt idx="0">
                  <c:v>Time (Minutes)</c:v>
                </c:pt>
              </c:strCache>
            </c:strRef>
          </c:tx>
          <c:spPr>
            <a:solidFill>
              <a:schemeClr val="accent6"/>
            </a:solidFill>
            <a:ln w="19050">
              <a:solidFill>
                <a:schemeClr val="tx1"/>
              </a:solidFill>
            </a:ln>
            <a:effectLst/>
          </c:spPr>
          <c:invertIfNegative val="0"/>
          <c:dPt>
            <c:idx val="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9F-C6A2-4843-A0E7-0A4B8EEC5CDD}"/>
              </c:ext>
            </c:extLst>
          </c:dPt>
          <c:dPt>
            <c:idx val="1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8-C6A2-4843-A0E7-0A4B8EEC5CDD}"/>
              </c:ext>
            </c:extLst>
          </c:dPt>
          <c:dPt>
            <c:idx val="1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C-C6A2-4843-A0E7-0A4B8EEC5CDD}"/>
              </c:ext>
            </c:extLst>
          </c:dPt>
          <c:dPt>
            <c:idx val="1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E-C6A2-4843-A0E7-0A4B8EEC5CDD}"/>
              </c:ext>
            </c:extLst>
          </c:dPt>
          <c:dPt>
            <c:idx val="2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AF-C6A2-4843-A0E7-0A4B8EEC5CDD}"/>
              </c:ext>
            </c:extLst>
          </c:dPt>
          <c:dPt>
            <c:idx val="2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1-C6A2-4843-A0E7-0A4B8EEC5CDD}"/>
              </c:ext>
            </c:extLst>
          </c:dPt>
          <c:dPt>
            <c:idx val="2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3-C6A2-4843-A0E7-0A4B8EEC5CDD}"/>
              </c:ext>
            </c:extLst>
          </c:dPt>
          <c:dPt>
            <c:idx val="25"/>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4-C6A2-4843-A0E7-0A4B8EEC5CDD}"/>
              </c:ext>
            </c:extLst>
          </c:dPt>
          <c:dPt>
            <c:idx val="26"/>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5-C6A2-4843-A0E7-0A4B8EEC5CDD}"/>
              </c:ext>
            </c:extLst>
          </c:dPt>
          <c:dPt>
            <c:idx val="2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6-C6A2-4843-A0E7-0A4B8EEC5CDD}"/>
              </c:ext>
            </c:extLst>
          </c:dPt>
          <c:dPt>
            <c:idx val="2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8-C6A2-4843-A0E7-0A4B8EEC5CDD}"/>
              </c:ext>
            </c:extLst>
          </c:dPt>
          <c:dPt>
            <c:idx val="3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BB-C6A2-4843-A0E7-0A4B8EEC5CDD}"/>
              </c:ext>
            </c:extLst>
          </c:dPt>
          <c:dPt>
            <c:idx val="3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0-C6A2-4843-A0E7-0A4B8EEC5CDD}"/>
              </c:ext>
            </c:extLst>
          </c:dPt>
          <c:dPt>
            <c:idx val="3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1-C6A2-4843-A0E7-0A4B8EEC5CDD}"/>
              </c:ext>
            </c:extLst>
          </c:dPt>
          <c:dPt>
            <c:idx val="3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2-C6A2-4843-A0E7-0A4B8EEC5CDD}"/>
              </c:ext>
            </c:extLst>
          </c:dPt>
          <c:dPt>
            <c:idx val="4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3-C6A2-4843-A0E7-0A4B8EEC5CDD}"/>
              </c:ext>
            </c:extLst>
          </c:dPt>
          <c:dPt>
            <c:idx val="4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4-C6A2-4843-A0E7-0A4B8EEC5CDD}"/>
              </c:ext>
            </c:extLst>
          </c:dPt>
          <c:dPt>
            <c:idx val="42"/>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5-C6A2-4843-A0E7-0A4B8EEC5CDD}"/>
              </c:ext>
            </c:extLst>
          </c:dPt>
          <c:dPt>
            <c:idx val="43"/>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6-C6A2-4843-A0E7-0A4B8EEC5CDD}"/>
              </c:ext>
            </c:extLst>
          </c:dPt>
          <c:dPt>
            <c:idx val="44"/>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7-C6A2-4843-A0E7-0A4B8EEC5CDD}"/>
              </c:ext>
            </c:extLst>
          </c:dPt>
          <c:dPt>
            <c:idx val="47"/>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A-C6A2-4843-A0E7-0A4B8EEC5CDD}"/>
              </c:ext>
            </c:extLst>
          </c:dPt>
          <c:dPt>
            <c:idx val="48"/>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B-C6A2-4843-A0E7-0A4B8EEC5CDD}"/>
              </c:ext>
            </c:extLst>
          </c:dPt>
          <c:dPt>
            <c:idx val="49"/>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C-C6A2-4843-A0E7-0A4B8EEC5CDD}"/>
              </c:ext>
            </c:extLst>
          </c:dPt>
          <c:dPt>
            <c:idx val="50"/>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D-C6A2-4843-A0E7-0A4B8EEC5CDD}"/>
              </c:ext>
            </c:extLst>
          </c:dPt>
          <c:dPt>
            <c:idx val="51"/>
            <c:invertIfNegative val="0"/>
            <c:bubble3D val="0"/>
            <c:spPr>
              <a:solidFill>
                <a:schemeClr val="accent5"/>
              </a:solidFill>
              <a:ln w="19050">
                <a:solidFill>
                  <a:schemeClr val="tx1"/>
                </a:solidFill>
              </a:ln>
              <a:effectLst/>
            </c:spPr>
            <c:extLst>
              <c:ext xmlns:c16="http://schemas.microsoft.com/office/drawing/2014/chart" uri="{C3380CC4-5D6E-409C-BE32-E72D297353CC}">
                <c16:uniqueId val="{000000CE-C6A2-4843-A0E7-0A4B8EEC5CDD}"/>
              </c:ext>
            </c:extLst>
          </c:dPt>
          <c:dLbls>
            <c:dLbl>
              <c:idx val="0"/>
              <c:tx>
                <c:rich>
                  <a:bodyPr/>
                  <a:lstStyle/>
                  <a:p>
                    <a:fld id="{3D115C59-A363-488F-9F08-EF0E38BBAF6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B-C6A2-4843-A0E7-0A4B8EEC5CDD}"/>
                </c:ext>
              </c:extLst>
            </c:dLbl>
            <c:dLbl>
              <c:idx val="1"/>
              <c:tx>
                <c:rich>
                  <a:bodyPr/>
                  <a:lstStyle/>
                  <a:p>
                    <a:fld id="{F902752F-6483-4B9D-A114-ACB07218BC4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C6A2-4843-A0E7-0A4B8EEC5CDD}"/>
                </c:ext>
              </c:extLst>
            </c:dLbl>
            <c:dLbl>
              <c:idx val="2"/>
              <c:tx>
                <c:rich>
                  <a:bodyPr/>
                  <a:lstStyle/>
                  <a:p>
                    <a:fld id="{6E7C2A46-B4F3-412A-9F93-3FB8C1EB1FA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C6A2-4843-A0E7-0A4B8EEC5CDD}"/>
                </c:ext>
              </c:extLst>
            </c:dLbl>
            <c:dLbl>
              <c:idx val="3"/>
              <c:tx>
                <c:rich>
                  <a:bodyPr/>
                  <a:lstStyle/>
                  <a:p>
                    <a:fld id="{89AE1E0E-013A-4151-8C7F-C8D016A0F59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C6A2-4843-A0E7-0A4B8EEC5CDD}"/>
                </c:ext>
              </c:extLst>
            </c:dLbl>
            <c:dLbl>
              <c:idx val="4"/>
              <c:tx>
                <c:rich>
                  <a:bodyPr/>
                  <a:lstStyle/>
                  <a:p>
                    <a:fld id="{9014BEE9-122A-4FE0-B1AF-A8A11111423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C6A2-4843-A0E7-0A4B8EEC5CDD}"/>
                </c:ext>
              </c:extLst>
            </c:dLbl>
            <c:dLbl>
              <c:idx val="5"/>
              <c:tx>
                <c:rich>
                  <a:bodyPr/>
                  <a:lstStyle/>
                  <a:p>
                    <a:fld id="{FA4DC584-3836-4510-AE8F-E9DC783AA55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C6A2-4843-A0E7-0A4B8EEC5CDD}"/>
                </c:ext>
              </c:extLst>
            </c:dLbl>
            <c:dLbl>
              <c:idx val="6"/>
              <c:tx>
                <c:rich>
                  <a:bodyPr/>
                  <a:lstStyle/>
                  <a:p>
                    <a:fld id="{B03D3895-A15C-4318-A22A-BAB7C0D467B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C6A2-4843-A0E7-0A4B8EEC5CDD}"/>
                </c:ext>
              </c:extLst>
            </c:dLbl>
            <c:dLbl>
              <c:idx val="7"/>
              <c:tx>
                <c:rich>
                  <a:bodyPr/>
                  <a:lstStyle/>
                  <a:p>
                    <a:fld id="{063B9292-514B-4E37-AB5E-EB3DE46411F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2-C6A2-4843-A0E7-0A4B8EEC5CDD}"/>
                </c:ext>
              </c:extLst>
            </c:dLbl>
            <c:dLbl>
              <c:idx val="8"/>
              <c:tx>
                <c:rich>
                  <a:bodyPr/>
                  <a:lstStyle/>
                  <a:p>
                    <a:fld id="{0620491E-D712-4118-8DBA-4AC85EEE885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3-C6A2-4843-A0E7-0A4B8EEC5CDD}"/>
                </c:ext>
              </c:extLst>
            </c:dLbl>
            <c:dLbl>
              <c:idx val="9"/>
              <c:tx>
                <c:rich>
                  <a:bodyPr/>
                  <a:lstStyle/>
                  <a:p>
                    <a:fld id="{9CB8780A-B720-4E23-86E7-253516F2D24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C6A2-4843-A0E7-0A4B8EEC5CDD}"/>
                </c:ext>
              </c:extLst>
            </c:dLbl>
            <c:dLbl>
              <c:idx val="10"/>
              <c:tx>
                <c:rich>
                  <a:bodyPr/>
                  <a:lstStyle/>
                  <a:p>
                    <a:fld id="{A7E7C959-E3FA-45E4-BA76-2C0D0242D45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C6A2-4843-A0E7-0A4B8EEC5CDD}"/>
                </c:ext>
              </c:extLst>
            </c:dLbl>
            <c:dLbl>
              <c:idx val="11"/>
              <c:tx>
                <c:rich>
                  <a:bodyPr/>
                  <a:lstStyle/>
                  <a:p>
                    <a:fld id="{405552EB-EFA3-4A49-8264-163D25F0E92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C6A2-4843-A0E7-0A4B8EEC5CDD}"/>
                </c:ext>
              </c:extLst>
            </c:dLbl>
            <c:dLbl>
              <c:idx val="12"/>
              <c:tx>
                <c:rich>
                  <a:bodyPr/>
                  <a:lstStyle/>
                  <a:p>
                    <a:fld id="{5099A640-62CC-463D-8E11-07B851E981F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C6A2-4843-A0E7-0A4B8EEC5CDD}"/>
                </c:ext>
              </c:extLst>
            </c:dLbl>
            <c:dLbl>
              <c:idx val="13"/>
              <c:tx>
                <c:rich>
                  <a:bodyPr/>
                  <a:lstStyle/>
                  <a:p>
                    <a:fld id="{CA03D0A1-6897-486B-B3DD-CB76E52BB2B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C6A2-4843-A0E7-0A4B8EEC5CDD}"/>
                </c:ext>
              </c:extLst>
            </c:dLbl>
            <c:dLbl>
              <c:idx val="14"/>
              <c:tx>
                <c:rich>
                  <a:bodyPr/>
                  <a:lstStyle/>
                  <a:p>
                    <a:fld id="{82700AE4-567D-4041-8791-130F6AEE997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9-C6A2-4843-A0E7-0A4B8EEC5CDD}"/>
                </c:ext>
              </c:extLst>
            </c:dLbl>
            <c:dLbl>
              <c:idx val="15"/>
              <c:tx>
                <c:rich>
                  <a:bodyPr/>
                  <a:lstStyle/>
                  <a:p>
                    <a:fld id="{ADE5D8C6-2481-4874-A9A5-2EFC5561E62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A-C6A2-4843-A0E7-0A4B8EEC5CDD}"/>
                </c:ext>
              </c:extLst>
            </c:dLbl>
            <c:dLbl>
              <c:idx val="16"/>
              <c:tx>
                <c:rich>
                  <a:bodyPr/>
                  <a:lstStyle/>
                  <a:p>
                    <a:fld id="{B401C86F-2963-4133-87C0-D831A82F620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C6A2-4843-A0E7-0A4B8EEC5CDD}"/>
                </c:ext>
              </c:extLst>
            </c:dLbl>
            <c:dLbl>
              <c:idx val="17"/>
              <c:tx>
                <c:rich>
                  <a:bodyPr/>
                  <a:lstStyle/>
                  <a:p>
                    <a:fld id="{93486C2B-5113-406C-A7F7-4A5FCFE3738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C6A2-4843-A0E7-0A4B8EEC5CDD}"/>
                </c:ext>
              </c:extLst>
            </c:dLbl>
            <c:dLbl>
              <c:idx val="18"/>
              <c:tx>
                <c:rich>
                  <a:bodyPr/>
                  <a:lstStyle/>
                  <a:p>
                    <a:fld id="{6811443A-8C31-426C-B116-55D014E4173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C6A2-4843-A0E7-0A4B8EEC5CDD}"/>
                </c:ext>
              </c:extLst>
            </c:dLbl>
            <c:dLbl>
              <c:idx val="19"/>
              <c:tx>
                <c:rich>
                  <a:bodyPr/>
                  <a:lstStyle/>
                  <a:p>
                    <a:fld id="{2F2F1F43-CEED-4C7A-A547-0E761D3E863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E-C6A2-4843-A0E7-0A4B8EEC5CDD}"/>
                </c:ext>
              </c:extLst>
            </c:dLbl>
            <c:dLbl>
              <c:idx val="20"/>
              <c:tx>
                <c:rich>
                  <a:bodyPr/>
                  <a:lstStyle/>
                  <a:p>
                    <a:fld id="{76E0E867-84DC-4622-B308-EF966F2ABDC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F-C6A2-4843-A0E7-0A4B8EEC5CDD}"/>
                </c:ext>
              </c:extLst>
            </c:dLbl>
            <c:dLbl>
              <c:idx val="21"/>
              <c:tx>
                <c:rich>
                  <a:bodyPr/>
                  <a:lstStyle/>
                  <a:p>
                    <a:fld id="{33FF837D-7C34-462F-82D1-73F758410A4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0-C6A2-4843-A0E7-0A4B8EEC5CDD}"/>
                </c:ext>
              </c:extLst>
            </c:dLbl>
            <c:dLbl>
              <c:idx val="22"/>
              <c:tx>
                <c:rich>
                  <a:bodyPr/>
                  <a:lstStyle/>
                  <a:p>
                    <a:fld id="{034F06D7-31AA-409E-92C1-0E9DAF15059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1-C6A2-4843-A0E7-0A4B8EEC5CDD}"/>
                </c:ext>
              </c:extLst>
            </c:dLbl>
            <c:dLbl>
              <c:idx val="23"/>
              <c:tx>
                <c:rich>
                  <a:bodyPr/>
                  <a:lstStyle/>
                  <a:p>
                    <a:fld id="{4931ECEC-5109-4D21-B77F-DD8B908703E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2-C6A2-4843-A0E7-0A4B8EEC5CDD}"/>
                </c:ext>
              </c:extLst>
            </c:dLbl>
            <c:dLbl>
              <c:idx val="24"/>
              <c:tx>
                <c:rich>
                  <a:bodyPr/>
                  <a:lstStyle/>
                  <a:p>
                    <a:fld id="{34751890-489A-467A-B3B2-C751E7041E0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C6A2-4843-A0E7-0A4B8EEC5CDD}"/>
                </c:ext>
              </c:extLst>
            </c:dLbl>
            <c:dLbl>
              <c:idx val="25"/>
              <c:tx>
                <c:rich>
                  <a:bodyPr/>
                  <a:lstStyle/>
                  <a:p>
                    <a:fld id="{0569AEFE-59F4-4EAC-B939-EB47B846CE6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4-C6A2-4843-A0E7-0A4B8EEC5CDD}"/>
                </c:ext>
              </c:extLst>
            </c:dLbl>
            <c:dLbl>
              <c:idx val="26"/>
              <c:tx>
                <c:rich>
                  <a:bodyPr/>
                  <a:lstStyle/>
                  <a:p>
                    <a:fld id="{1B86B754-245A-4C59-9DE8-5A8CC3B7F06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5-C6A2-4843-A0E7-0A4B8EEC5CDD}"/>
                </c:ext>
              </c:extLst>
            </c:dLbl>
            <c:dLbl>
              <c:idx val="27"/>
              <c:tx>
                <c:rich>
                  <a:bodyPr/>
                  <a:lstStyle/>
                  <a:p>
                    <a:fld id="{2F2A0D7F-A3D4-4AD8-AB8B-A38AAAAAF9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6-C6A2-4843-A0E7-0A4B8EEC5CDD}"/>
                </c:ext>
              </c:extLst>
            </c:dLbl>
            <c:dLbl>
              <c:idx val="28"/>
              <c:tx>
                <c:rich>
                  <a:bodyPr/>
                  <a:lstStyle/>
                  <a:p>
                    <a:fld id="{FE92F7B7-15A4-4163-B8DA-5E26B4BC128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7-C6A2-4843-A0E7-0A4B8EEC5CDD}"/>
                </c:ext>
              </c:extLst>
            </c:dLbl>
            <c:dLbl>
              <c:idx val="29"/>
              <c:tx>
                <c:rich>
                  <a:bodyPr/>
                  <a:lstStyle/>
                  <a:p>
                    <a:fld id="{FA2C92D3-3FF2-4881-8F6B-ED4AD6BB3EE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8-C6A2-4843-A0E7-0A4B8EEC5CDD}"/>
                </c:ext>
              </c:extLst>
            </c:dLbl>
            <c:dLbl>
              <c:idx val="30"/>
              <c:tx>
                <c:rich>
                  <a:bodyPr/>
                  <a:lstStyle/>
                  <a:p>
                    <a:fld id="{AC0710F9-98D0-4DAE-96B5-FFD543DE3765}"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9-C6A2-4843-A0E7-0A4B8EEC5CDD}"/>
                </c:ext>
              </c:extLst>
            </c:dLbl>
            <c:dLbl>
              <c:idx val="31"/>
              <c:tx>
                <c:rich>
                  <a:bodyPr/>
                  <a:lstStyle/>
                  <a:p>
                    <a:fld id="{F6619F7E-356D-469F-AD98-E64859C1C29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A-C6A2-4843-A0E7-0A4B8EEC5CDD}"/>
                </c:ext>
              </c:extLst>
            </c:dLbl>
            <c:dLbl>
              <c:idx val="32"/>
              <c:tx>
                <c:rich>
                  <a:bodyPr/>
                  <a:lstStyle/>
                  <a:p>
                    <a:fld id="{D5A41245-BDBA-4990-93A0-E5F4B45E038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B-C6A2-4843-A0E7-0A4B8EEC5CDD}"/>
                </c:ext>
              </c:extLst>
            </c:dLbl>
            <c:dLbl>
              <c:idx val="33"/>
              <c:tx>
                <c:rich>
                  <a:bodyPr/>
                  <a:lstStyle/>
                  <a:p>
                    <a:fld id="{B8D091B0-5CED-48FD-BB0E-58EAD6B04E6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C6A2-4843-A0E7-0A4B8EEC5CDD}"/>
                </c:ext>
              </c:extLst>
            </c:dLbl>
            <c:dLbl>
              <c:idx val="34"/>
              <c:tx>
                <c:rich>
                  <a:bodyPr/>
                  <a:lstStyle/>
                  <a:p>
                    <a:fld id="{E2039F55-7509-4AF0-B325-FF2C99AA5754}"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D-C6A2-4843-A0E7-0A4B8EEC5CDD}"/>
                </c:ext>
              </c:extLst>
            </c:dLbl>
            <c:dLbl>
              <c:idx val="35"/>
              <c:tx>
                <c:rich>
                  <a:bodyPr/>
                  <a:lstStyle/>
                  <a:p>
                    <a:fld id="{12C199A2-BD39-4993-8A85-E13DAC773DC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E-C6A2-4843-A0E7-0A4B8EEC5CDD}"/>
                </c:ext>
              </c:extLst>
            </c:dLbl>
            <c:dLbl>
              <c:idx val="36"/>
              <c:tx>
                <c:rich>
                  <a:bodyPr/>
                  <a:lstStyle/>
                  <a:p>
                    <a:fld id="{EE62BC1B-F371-4A60-ABCC-324FDB5F980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F-C6A2-4843-A0E7-0A4B8EEC5CDD}"/>
                </c:ext>
              </c:extLst>
            </c:dLbl>
            <c:dLbl>
              <c:idx val="37"/>
              <c:tx>
                <c:rich>
                  <a:bodyPr/>
                  <a:lstStyle/>
                  <a:p>
                    <a:fld id="{D5A1220E-E90C-4436-BD67-3C2BDCB0EEF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0-C6A2-4843-A0E7-0A4B8EEC5CDD}"/>
                </c:ext>
              </c:extLst>
            </c:dLbl>
            <c:dLbl>
              <c:idx val="38"/>
              <c:tx>
                <c:rich>
                  <a:bodyPr/>
                  <a:lstStyle/>
                  <a:p>
                    <a:fld id="{E3F46790-44F0-475F-8568-A7E9CB02B88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1-C6A2-4843-A0E7-0A4B8EEC5CDD}"/>
                </c:ext>
              </c:extLst>
            </c:dLbl>
            <c:dLbl>
              <c:idx val="39"/>
              <c:tx>
                <c:rich>
                  <a:bodyPr/>
                  <a:lstStyle/>
                  <a:p>
                    <a:fld id="{D94C523B-062C-4E62-89C5-0DF6311B9EC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2-C6A2-4843-A0E7-0A4B8EEC5CDD}"/>
                </c:ext>
              </c:extLst>
            </c:dLbl>
            <c:dLbl>
              <c:idx val="40"/>
              <c:tx>
                <c:rich>
                  <a:bodyPr/>
                  <a:lstStyle/>
                  <a:p>
                    <a:fld id="{A83011CE-C3BD-4A52-8CE7-442EEFEC124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3-C6A2-4843-A0E7-0A4B8EEC5CDD}"/>
                </c:ext>
              </c:extLst>
            </c:dLbl>
            <c:dLbl>
              <c:idx val="41"/>
              <c:tx>
                <c:rich>
                  <a:bodyPr/>
                  <a:lstStyle/>
                  <a:p>
                    <a:fld id="{934CE096-E079-41C2-90BD-BF3E5A7C828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4-C6A2-4843-A0E7-0A4B8EEC5CDD}"/>
                </c:ext>
              </c:extLst>
            </c:dLbl>
            <c:dLbl>
              <c:idx val="42"/>
              <c:tx>
                <c:rich>
                  <a:bodyPr/>
                  <a:lstStyle/>
                  <a:p>
                    <a:fld id="{21E42B8B-666D-4551-B349-37753841941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5-C6A2-4843-A0E7-0A4B8EEC5CDD}"/>
                </c:ext>
              </c:extLst>
            </c:dLbl>
            <c:dLbl>
              <c:idx val="43"/>
              <c:tx>
                <c:rich>
                  <a:bodyPr/>
                  <a:lstStyle/>
                  <a:p>
                    <a:fld id="{795DE472-CD0E-42F2-BD95-40FCF4586D5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6-C6A2-4843-A0E7-0A4B8EEC5CDD}"/>
                </c:ext>
              </c:extLst>
            </c:dLbl>
            <c:dLbl>
              <c:idx val="44"/>
              <c:tx>
                <c:rich>
                  <a:bodyPr/>
                  <a:lstStyle/>
                  <a:p>
                    <a:fld id="{3E636778-EEAE-40DB-8FA8-0A54224FF5C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7-C6A2-4843-A0E7-0A4B8EEC5CDD}"/>
                </c:ext>
              </c:extLst>
            </c:dLbl>
            <c:dLbl>
              <c:idx val="45"/>
              <c:tx>
                <c:rich>
                  <a:bodyPr/>
                  <a:lstStyle/>
                  <a:p>
                    <a:fld id="{A50E691B-E186-4BA6-90A9-70437DF1FD4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C6A2-4843-A0E7-0A4B8EEC5CDD}"/>
                </c:ext>
              </c:extLst>
            </c:dLbl>
            <c:dLbl>
              <c:idx val="46"/>
              <c:tx>
                <c:rich>
                  <a:bodyPr/>
                  <a:lstStyle/>
                  <a:p>
                    <a:fld id="{528D6575-CCEE-483C-B275-2F200251C64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C6A2-4843-A0E7-0A4B8EEC5CDD}"/>
                </c:ext>
              </c:extLst>
            </c:dLbl>
            <c:dLbl>
              <c:idx val="47"/>
              <c:tx>
                <c:rich>
                  <a:bodyPr/>
                  <a:lstStyle/>
                  <a:p>
                    <a:fld id="{280DDC04-5A1D-4982-B745-00A5353825E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A-C6A2-4843-A0E7-0A4B8EEC5CDD}"/>
                </c:ext>
              </c:extLst>
            </c:dLbl>
            <c:dLbl>
              <c:idx val="48"/>
              <c:tx>
                <c:rich>
                  <a:bodyPr/>
                  <a:lstStyle/>
                  <a:p>
                    <a:fld id="{A9698047-9D2D-4F87-ABA6-5C7E35A4FB9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B-C6A2-4843-A0E7-0A4B8EEC5CDD}"/>
                </c:ext>
              </c:extLst>
            </c:dLbl>
            <c:dLbl>
              <c:idx val="49"/>
              <c:tx>
                <c:rich>
                  <a:bodyPr/>
                  <a:lstStyle/>
                  <a:p>
                    <a:fld id="{D44B46DA-C304-45A3-97AA-C921D44716B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C-C6A2-4843-A0E7-0A4B8EEC5CDD}"/>
                </c:ext>
              </c:extLst>
            </c:dLbl>
            <c:dLbl>
              <c:idx val="50"/>
              <c:tx>
                <c:rich>
                  <a:bodyPr/>
                  <a:lstStyle/>
                  <a:p>
                    <a:fld id="{32478E20-01DE-4C55-B883-9A3D72BFA0C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D-C6A2-4843-A0E7-0A4B8EEC5CDD}"/>
                </c:ext>
              </c:extLst>
            </c:dLbl>
            <c:dLbl>
              <c:idx val="51"/>
              <c:tx>
                <c:rich>
                  <a:bodyPr/>
                  <a:lstStyle/>
                  <a:p>
                    <a:fld id="{A4389403-5A1F-4FD7-A184-D93EDB5FB6B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E-C6A2-4843-A0E7-0A4B8EEC5CDD}"/>
                </c:ext>
              </c:extLst>
            </c:dLbl>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Performance!$B$52:$B$103</c:f>
              <c:strCache>
                <c:ptCount val="52"/>
                <c:pt idx="0">
                  <c:v>Duplo</c:v>
                </c:pt>
                <c:pt idx="1">
                  <c:v>Duplo</c:v>
                </c:pt>
                <c:pt idx="2">
                  <c:v>Duplo</c:v>
                </c:pt>
                <c:pt idx="3">
                  <c:v>Duplo</c:v>
                </c:pt>
                <c:pt idx="4">
                  <c:v>ROY</c:v>
                </c:pt>
                <c:pt idx="5">
                  <c:v>Duplo</c:v>
                </c:pt>
                <c:pt idx="6">
                  <c:v>Duplo</c:v>
                </c:pt>
                <c:pt idx="7">
                  <c:v>Duplo</c:v>
                </c:pt>
                <c:pt idx="8">
                  <c:v>Duplo</c:v>
                </c:pt>
                <c:pt idx="9">
                  <c:v>Duplo</c:v>
                </c:pt>
                <c:pt idx="10">
                  <c:v>Duplo</c:v>
                </c:pt>
                <c:pt idx="11">
                  <c:v>Duplo</c:v>
                </c:pt>
                <c:pt idx="12">
                  <c:v>Duplo</c:v>
                </c:pt>
                <c:pt idx="13">
                  <c:v>ROY</c:v>
                </c:pt>
                <c:pt idx="14">
                  <c:v>Duplo</c:v>
                </c:pt>
                <c:pt idx="15">
                  <c:v>Duplo</c:v>
                </c:pt>
                <c:pt idx="16">
                  <c:v>Duplo</c:v>
                </c:pt>
                <c:pt idx="17">
                  <c:v>ROY</c:v>
                </c:pt>
                <c:pt idx="18">
                  <c:v>Duplo</c:v>
                </c:pt>
                <c:pt idx="19">
                  <c:v>ROY</c:v>
                </c:pt>
                <c:pt idx="20">
                  <c:v>ROY</c:v>
                </c:pt>
                <c:pt idx="21">
                  <c:v>Duplo</c:v>
                </c:pt>
                <c:pt idx="22">
                  <c:v>ROY</c:v>
                </c:pt>
                <c:pt idx="23">
                  <c:v>Duplo</c:v>
                </c:pt>
                <c:pt idx="24">
                  <c:v>ROY</c:v>
                </c:pt>
                <c:pt idx="25">
                  <c:v>ROY</c:v>
                </c:pt>
                <c:pt idx="26">
                  <c:v>ROY</c:v>
                </c:pt>
                <c:pt idx="27">
                  <c:v>ROY</c:v>
                </c:pt>
                <c:pt idx="28">
                  <c:v>Duplo</c:v>
                </c:pt>
                <c:pt idx="29">
                  <c:v>ROY</c:v>
                </c:pt>
                <c:pt idx="30">
                  <c:v>Duplo</c:v>
                </c:pt>
                <c:pt idx="31">
                  <c:v>Duplo</c:v>
                </c:pt>
                <c:pt idx="32">
                  <c:v>ROY</c:v>
                </c:pt>
                <c:pt idx="33">
                  <c:v>Duplo</c:v>
                </c:pt>
                <c:pt idx="34">
                  <c:v>Duplo</c:v>
                </c:pt>
                <c:pt idx="35">
                  <c:v>Duplo</c:v>
                </c:pt>
                <c:pt idx="36">
                  <c:v>ROY</c:v>
                </c:pt>
                <c:pt idx="37">
                  <c:v>ROY</c:v>
                </c:pt>
                <c:pt idx="38">
                  <c:v>ROY</c:v>
                </c:pt>
                <c:pt idx="39">
                  <c:v>ROY</c:v>
                </c:pt>
                <c:pt idx="40">
                  <c:v>ROY</c:v>
                </c:pt>
                <c:pt idx="41">
                  <c:v>ROY</c:v>
                </c:pt>
                <c:pt idx="42">
                  <c:v>ROY</c:v>
                </c:pt>
                <c:pt idx="43">
                  <c:v>ROY</c:v>
                </c:pt>
                <c:pt idx="44">
                  <c:v>ROY</c:v>
                </c:pt>
                <c:pt idx="45">
                  <c:v>Duplo</c:v>
                </c:pt>
                <c:pt idx="46">
                  <c:v>Duplo</c:v>
                </c:pt>
                <c:pt idx="47">
                  <c:v>ROY</c:v>
                </c:pt>
                <c:pt idx="48">
                  <c:v>ROY</c:v>
                </c:pt>
                <c:pt idx="49">
                  <c:v>ROY</c:v>
                </c:pt>
                <c:pt idx="50">
                  <c:v>ROY</c:v>
                </c:pt>
                <c:pt idx="51">
                  <c:v>ROY</c:v>
                </c:pt>
              </c:strCache>
            </c:strRef>
          </c:cat>
          <c:val>
            <c:numRef>
              <c:f>Performance!$C$52:$C$103</c:f>
              <c:numCache>
                <c:formatCode>General</c:formatCode>
                <c:ptCount val="52"/>
                <c:pt idx="0">
                  <c:v>28.00000000000006</c:v>
                </c:pt>
                <c:pt idx="1">
                  <c:v>31.00000000000005</c:v>
                </c:pt>
                <c:pt idx="2">
                  <c:v>32.000000000000043</c:v>
                </c:pt>
                <c:pt idx="3">
                  <c:v>34.000000000000043</c:v>
                </c:pt>
                <c:pt idx="4">
                  <c:v>34.999999999999957</c:v>
                </c:pt>
                <c:pt idx="5">
                  <c:v>36.000000000000028</c:v>
                </c:pt>
                <c:pt idx="6">
                  <c:v>42.000000000000014</c:v>
                </c:pt>
                <c:pt idx="7">
                  <c:v>43.000000000000007</c:v>
                </c:pt>
                <c:pt idx="8">
                  <c:v>47.999999999999986</c:v>
                </c:pt>
                <c:pt idx="9">
                  <c:v>47.999999999999986</c:v>
                </c:pt>
                <c:pt idx="10">
                  <c:v>48.999999999999986</c:v>
                </c:pt>
                <c:pt idx="11">
                  <c:v>52.999999999999972</c:v>
                </c:pt>
                <c:pt idx="12">
                  <c:v>54.999999999999964</c:v>
                </c:pt>
                <c:pt idx="13">
                  <c:v>57.000000000000036</c:v>
                </c:pt>
                <c:pt idx="14">
                  <c:v>61.000000000000099</c:v>
                </c:pt>
                <c:pt idx="15">
                  <c:v>66</c:v>
                </c:pt>
                <c:pt idx="16">
                  <c:v>69.999999999999986</c:v>
                </c:pt>
                <c:pt idx="17">
                  <c:v>70.000000000000071</c:v>
                </c:pt>
                <c:pt idx="18">
                  <c:v>74.000000000000057</c:v>
                </c:pt>
                <c:pt idx="19">
                  <c:v>74.000000000000057</c:v>
                </c:pt>
                <c:pt idx="20">
                  <c:v>74.999999999999972</c:v>
                </c:pt>
                <c:pt idx="21">
                  <c:v>78.000000000000043</c:v>
                </c:pt>
                <c:pt idx="22">
                  <c:v>81.000000000000028</c:v>
                </c:pt>
                <c:pt idx="23">
                  <c:v>84.999999999999943</c:v>
                </c:pt>
                <c:pt idx="24">
                  <c:v>86.000000000000014</c:v>
                </c:pt>
                <c:pt idx="25">
                  <c:v>87.000000000000014</c:v>
                </c:pt>
                <c:pt idx="26">
                  <c:v>89</c:v>
                </c:pt>
                <c:pt idx="27">
                  <c:v>89</c:v>
                </c:pt>
                <c:pt idx="28">
                  <c:v>92</c:v>
                </c:pt>
                <c:pt idx="29">
                  <c:v>92.000000000000071</c:v>
                </c:pt>
                <c:pt idx="30">
                  <c:v>93.999999999999986</c:v>
                </c:pt>
                <c:pt idx="31">
                  <c:v>96.999999999999972</c:v>
                </c:pt>
                <c:pt idx="32">
                  <c:v>104.99999999999994</c:v>
                </c:pt>
                <c:pt idx="33">
                  <c:v>104.99999999999994</c:v>
                </c:pt>
                <c:pt idx="34">
                  <c:v>104.99999999999994</c:v>
                </c:pt>
                <c:pt idx="35">
                  <c:v>104.99999999999994</c:v>
                </c:pt>
                <c:pt idx="36">
                  <c:v>104.99999999999994</c:v>
                </c:pt>
                <c:pt idx="37">
                  <c:v>104.99999999999994</c:v>
                </c:pt>
                <c:pt idx="38">
                  <c:v>104.99999999999994</c:v>
                </c:pt>
                <c:pt idx="39">
                  <c:v>104.99999999999994</c:v>
                </c:pt>
                <c:pt idx="40">
                  <c:v>104.99999999999994</c:v>
                </c:pt>
                <c:pt idx="41">
                  <c:v>104.99999999999994</c:v>
                </c:pt>
                <c:pt idx="42">
                  <c:v>104.99999999999994</c:v>
                </c:pt>
                <c:pt idx="43">
                  <c:v>105.00000000000003</c:v>
                </c:pt>
                <c:pt idx="44">
                  <c:v>105.00000000000003</c:v>
                </c:pt>
                <c:pt idx="45">
                  <c:v>105.00000000000011</c:v>
                </c:pt>
                <c:pt idx="46">
                  <c:v>105.00000000000011</c:v>
                </c:pt>
                <c:pt idx="47">
                  <c:v>105.00000000000011</c:v>
                </c:pt>
                <c:pt idx="48">
                  <c:v>105.00000000000011</c:v>
                </c:pt>
                <c:pt idx="49">
                  <c:v>105.00000000000011</c:v>
                </c:pt>
                <c:pt idx="50">
                  <c:v>105.00000000000011</c:v>
                </c:pt>
                <c:pt idx="51">
                  <c:v>105.00000000000011</c:v>
                </c:pt>
              </c:numCache>
            </c:numRef>
          </c:val>
          <c:extLst>
            <c:ext xmlns:c15="http://schemas.microsoft.com/office/drawing/2012/chart" uri="{02D57815-91ED-43cb-92C2-25804820EDAC}">
              <c15:datalabelsRange>
                <c15:f>Performance!$D$52:$D$103</c15:f>
                <c15:dlblRangeCache>
                  <c:ptCount val="52"/>
                  <c:pt idx="33">
                    <c:v>●</c:v>
                  </c:pt>
                  <c:pt idx="34">
                    <c:v>●</c:v>
                  </c:pt>
                  <c:pt idx="35">
                    <c:v>●</c:v>
                  </c:pt>
                  <c:pt idx="36">
                    <c:v>●</c:v>
                  </c:pt>
                  <c:pt idx="37">
                    <c:v>●</c:v>
                  </c:pt>
                  <c:pt idx="38">
                    <c:v>●</c:v>
                  </c:pt>
                  <c:pt idx="39">
                    <c:v>●</c:v>
                  </c:pt>
                  <c:pt idx="40">
                    <c:v>●</c:v>
                  </c:pt>
                  <c:pt idx="41">
                    <c:v>●</c:v>
                  </c:pt>
                  <c:pt idx="42">
                    <c:v>●</c:v>
                  </c:pt>
                  <c:pt idx="43">
                    <c:v>●</c:v>
                  </c:pt>
                  <c:pt idx="44">
                    <c:v>●</c:v>
                  </c:pt>
                  <c:pt idx="45">
                    <c:v>●</c:v>
                  </c:pt>
                  <c:pt idx="46">
                    <c:v>●</c:v>
                  </c:pt>
                  <c:pt idx="47">
                    <c:v>●</c:v>
                  </c:pt>
                  <c:pt idx="48">
                    <c:v>●</c:v>
                  </c:pt>
                  <c:pt idx="49">
                    <c:v>●</c:v>
                  </c:pt>
                  <c:pt idx="50">
                    <c:v>●</c:v>
                  </c:pt>
                  <c:pt idx="51">
                    <c:v>●</c:v>
                  </c:pt>
                </c15:dlblRangeCache>
              </c15:datalabelsRange>
            </c:ext>
            <c:ext xmlns:c16="http://schemas.microsoft.com/office/drawing/2014/chart" uri="{C3380CC4-5D6E-409C-BE32-E72D297353CC}">
              <c16:uniqueId val="{00000000-C6A2-4843-A0E7-0A4B8EEC5CDD}"/>
            </c:ext>
          </c:extLst>
        </c:ser>
        <c:dLbls>
          <c:dLblPos val="ctr"/>
          <c:showLegendKey val="0"/>
          <c:showVal val="1"/>
          <c:showCatName val="0"/>
          <c:showSerName val="0"/>
          <c:showPercent val="0"/>
          <c:showBubbleSize val="0"/>
        </c:dLbls>
        <c:gapWidth val="0"/>
        <c:overlap val="-27"/>
        <c:axId val="781375232"/>
        <c:axId val="552598528"/>
      </c:barChart>
      <c:catAx>
        <c:axId val="781375232"/>
        <c:scaling>
          <c:orientation val="minMax"/>
        </c:scaling>
        <c:delete val="1"/>
        <c:axPos val="b"/>
        <c:numFmt formatCode="General" sourceLinked="1"/>
        <c:majorTickMark val="none"/>
        <c:minorTickMark val="none"/>
        <c:tickLblPos val="nextTo"/>
        <c:crossAx val="552598528"/>
        <c:crosses val="autoZero"/>
        <c:auto val="1"/>
        <c:lblAlgn val="ctr"/>
        <c:lblOffset val="100"/>
        <c:noMultiLvlLbl val="0"/>
      </c:catAx>
      <c:valAx>
        <c:axId val="552598528"/>
        <c:scaling>
          <c:orientation val="minMax"/>
          <c:max val="11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781375232"/>
        <c:crosses val="autoZero"/>
        <c:crossBetween val="between"/>
        <c:majorUnit val="25"/>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8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466724</xdr:colOff>
      <xdr:row>35</xdr:row>
      <xdr:rowOff>0</xdr:rowOff>
    </xdr:from>
    <xdr:to>
      <xdr:col>7</xdr:col>
      <xdr:colOff>1457324</xdr:colOff>
      <xdr:row>47</xdr:row>
      <xdr:rowOff>9524</xdr:rowOff>
    </xdr:to>
    <xdr:graphicFrame macro="">
      <xdr:nvGraphicFramePr>
        <xdr:cNvPr id="3" name="Chart 2">
          <a:extLst>
            <a:ext uri="{FF2B5EF4-FFF2-40B4-BE49-F238E27FC236}">
              <a16:creationId xmlns:a16="http://schemas.microsoft.com/office/drawing/2014/main" id="{C6C33263-0080-4208-8C3F-8F728B18E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555530</xdr:colOff>
      <xdr:row>57</xdr:row>
      <xdr:rowOff>110377</xdr:rowOff>
    </xdr:from>
    <xdr:to>
      <xdr:col>8</xdr:col>
      <xdr:colOff>890027</xdr:colOff>
      <xdr:row>71</xdr:row>
      <xdr:rowOff>15968</xdr:rowOff>
    </xdr:to>
    <xdr:graphicFrame macro="">
      <xdr:nvGraphicFramePr>
        <xdr:cNvPr id="2" name="Chart 1">
          <a:extLst>
            <a:ext uri="{FF2B5EF4-FFF2-40B4-BE49-F238E27FC236}">
              <a16:creationId xmlns:a16="http://schemas.microsoft.com/office/drawing/2014/main" id="{00DD57F3-56E8-45DC-9220-7F9167BD8D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896469</xdr:colOff>
      <xdr:row>81</xdr:row>
      <xdr:rowOff>47904</xdr:rowOff>
    </xdr:from>
    <xdr:to>
      <xdr:col>8</xdr:col>
      <xdr:colOff>1299883</xdr:colOff>
      <xdr:row>96</xdr:row>
      <xdr:rowOff>76479</xdr:rowOff>
    </xdr:to>
    <xdr:graphicFrame macro="">
      <xdr:nvGraphicFramePr>
        <xdr:cNvPr id="4" name="Chart 3">
          <a:extLst>
            <a:ext uri="{FF2B5EF4-FFF2-40B4-BE49-F238E27FC236}">
              <a16:creationId xmlns:a16="http://schemas.microsoft.com/office/drawing/2014/main" id="{3952E906-C5E3-45F9-8F6F-404FA409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36</xdr:row>
      <xdr:rowOff>31749</xdr:rowOff>
    </xdr:from>
    <xdr:to>
      <xdr:col>8</xdr:col>
      <xdr:colOff>273049</xdr:colOff>
      <xdr:row>48</xdr:row>
      <xdr:rowOff>149224</xdr:rowOff>
    </xdr:to>
    <xdr:graphicFrame macro="">
      <xdr:nvGraphicFramePr>
        <xdr:cNvPr id="2" name="Chart 1">
          <a:extLst>
            <a:ext uri="{FF2B5EF4-FFF2-40B4-BE49-F238E27FC236}">
              <a16:creationId xmlns:a16="http://schemas.microsoft.com/office/drawing/2014/main" id="{27F6F362-7273-4BD6-8906-4017104B7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55</xdr:row>
      <xdr:rowOff>152401</xdr:rowOff>
    </xdr:from>
    <xdr:to>
      <xdr:col>8</xdr:col>
      <xdr:colOff>53975</xdr:colOff>
      <xdr:row>67</xdr:row>
      <xdr:rowOff>155575</xdr:rowOff>
    </xdr:to>
    <xdr:graphicFrame macro="">
      <xdr:nvGraphicFramePr>
        <xdr:cNvPr id="3" name="Chart 2">
          <a:extLst>
            <a:ext uri="{FF2B5EF4-FFF2-40B4-BE49-F238E27FC236}">
              <a16:creationId xmlns:a16="http://schemas.microsoft.com/office/drawing/2014/main" id="{BCDC306A-D3A6-4C68-AA91-682D903614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409574</xdr:colOff>
      <xdr:row>76</xdr:row>
      <xdr:rowOff>22225</xdr:rowOff>
    </xdr:from>
    <xdr:to>
      <xdr:col>8</xdr:col>
      <xdr:colOff>444499</xdr:colOff>
      <xdr:row>87</xdr:row>
      <xdr:rowOff>152400</xdr:rowOff>
    </xdr:to>
    <xdr:graphicFrame macro="">
      <xdr:nvGraphicFramePr>
        <xdr:cNvPr id="4" name="Chart 3">
          <a:extLst>
            <a:ext uri="{FF2B5EF4-FFF2-40B4-BE49-F238E27FC236}">
              <a16:creationId xmlns:a16="http://schemas.microsoft.com/office/drawing/2014/main" id="{4F11668D-88F6-4192-A6C6-57CC489F73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353546</xdr:colOff>
      <xdr:row>59</xdr:row>
      <xdr:rowOff>139231</xdr:rowOff>
    </xdr:from>
    <xdr:to>
      <xdr:col>11</xdr:col>
      <xdr:colOff>1024497</xdr:colOff>
      <xdr:row>72</xdr:row>
      <xdr:rowOff>100853</xdr:rowOff>
    </xdr:to>
    <xdr:graphicFrame macro="">
      <xdr:nvGraphicFramePr>
        <xdr:cNvPr id="8" name="Chart 7">
          <a:extLst>
            <a:ext uri="{FF2B5EF4-FFF2-40B4-BE49-F238E27FC236}">
              <a16:creationId xmlns:a16="http://schemas.microsoft.com/office/drawing/2014/main" id="{93D8AF5E-A52C-48CB-83FB-7263170E5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uccess%20R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ccess Rate"/>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Them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N1" zoomScaleNormal="100" workbookViewId="0">
      <selection activeCell="P4" sqref="P4:P29"/>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30" t="s">
        <v>1</v>
      </c>
      <c r="F1" s="131"/>
      <c r="G1" s="131"/>
      <c r="H1" s="131"/>
      <c r="I1" s="131"/>
      <c r="J1" s="131"/>
      <c r="K1" s="131"/>
      <c r="L1" s="131"/>
      <c r="M1" s="131"/>
      <c r="N1" s="131"/>
      <c r="O1" s="131"/>
      <c r="P1" s="131"/>
      <c r="Q1" s="131"/>
      <c r="R1" s="131"/>
      <c r="S1" s="131"/>
      <c r="T1" s="132" t="s">
        <v>2</v>
      </c>
      <c r="U1" s="131"/>
      <c r="V1" s="131"/>
      <c r="W1" s="131"/>
      <c r="X1" s="131"/>
      <c r="Y1" s="131"/>
      <c r="Z1" s="131"/>
      <c r="AA1" s="131"/>
      <c r="AB1" s="131"/>
      <c r="AC1" s="131"/>
      <c r="AD1" s="131"/>
      <c r="AE1" s="131"/>
      <c r="AF1" s="131"/>
      <c r="AG1" s="131"/>
      <c r="AH1" s="131"/>
      <c r="AI1" s="131"/>
      <c r="AJ1" s="131"/>
      <c r="AK1" s="131"/>
      <c r="AL1" s="131"/>
      <c r="AM1" s="131"/>
      <c r="AN1" s="131"/>
    </row>
    <row r="2" spans="1:42" ht="14.25">
      <c r="A2" s="4"/>
      <c r="B2" s="2"/>
      <c r="C2" s="3"/>
      <c r="D2" s="3"/>
      <c r="E2" s="133" t="s">
        <v>3</v>
      </c>
      <c r="F2" s="131"/>
      <c r="G2" s="131"/>
      <c r="H2" s="131"/>
      <c r="I2" s="131"/>
      <c r="J2" s="131"/>
      <c r="K2" s="131"/>
      <c r="L2" s="131"/>
      <c r="M2" s="131"/>
      <c r="N2" s="131"/>
      <c r="O2" s="131"/>
      <c r="P2" s="134" t="s">
        <v>4</v>
      </c>
      <c r="Q2" s="131"/>
      <c r="R2" s="131"/>
      <c r="S2" s="131"/>
      <c r="T2" s="135" t="s">
        <v>5</v>
      </c>
      <c r="U2" s="131"/>
      <c r="V2" s="131"/>
      <c r="W2" s="131"/>
      <c r="X2" s="131"/>
      <c r="Y2" s="131"/>
      <c r="Z2" s="136" t="s">
        <v>6</v>
      </c>
      <c r="AA2" s="131"/>
      <c r="AB2" s="131"/>
      <c r="AC2" s="131"/>
      <c r="AD2" s="131"/>
      <c r="AE2" s="131"/>
      <c r="AF2" s="134" t="s">
        <v>4</v>
      </c>
      <c r="AG2" s="131"/>
      <c r="AH2" s="131"/>
      <c r="AI2" s="131"/>
      <c r="AJ2" s="131"/>
      <c r="AK2" s="131"/>
      <c r="AL2" s="131"/>
      <c r="AM2" s="137" t="s">
        <v>7</v>
      </c>
      <c r="AN2" s="131"/>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230</v>
      </c>
      <c r="AM3" s="16" t="s">
        <v>35</v>
      </c>
      <c r="AN3" s="17" t="s">
        <v>36</v>
      </c>
      <c r="AP3" s="107" t="s">
        <v>202</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0">
        <v>0</v>
      </c>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193</v>
      </c>
      <c r="AP30" s="60">
        <f>COUNTIF(AP4:AP29, 6)</f>
        <v>21</v>
      </c>
    </row>
    <row r="31" spans="1:42" ht="15" customHeight="1">
      <c r="AO31" s="108" t="s">
        <v>194</v>
      </c>
      <c r="AP31" s="60">
        <f>COUNTIF(AP4:AP29, 5)</f>
        <v>1</v>
      </c>
    </row>
    <row r="32" spans="1:42" ht="33.75" customHeight="1">
      <c r="O32" s="18"/>
      <c r="P32" s="87" t="s">
        <v>23</v>
      </c>
      <c r="Q32" s="87" t="s">
        <v>24</v>
      </c>
      <c r="R32" s="87" t="s">
        <v>91</v>
      </c>
      <c r="S32" s="87" t="s">
        <v>92</v>
      </c>
      <c r="AO32" s="108" t="s">
        <v>195</v>
      </c>
      <c r="AP32" s="105">
        <f>COUNTIF(AP4:AP29, 4)</f>
        <v>4</v>
      </c>
    </row>
    <row r="33" spans="15:42" ht="15" customHeight="1">
      <c r="O33" s="86" t="s">
        <v>176</v>
      </c>
      <c r="P33" s="89">
        <f>AVERAGE(P4:P29)</f>
        <v>36.46153846153846</v>
      </c>
      <c r="Q33" s="89">
        <f t="shared" ref="Q33:R33" si="4">AVERAGE(Q4:Q29)</f>
        <v>4.5384615384615383</v>
      </c>
      <c r="R33" s="89">
        <f t="shared" si="4"/>
        <v>10.346153846153847</v>
      </c>
      <c r="S33" s="89">
        <f>AVERAGE(S4:S29)</f>
        <v>2.2307692307692308</v>
      </c>
      <c r="Y33" s="18"/>
      <c r="Z33" s="83" t="s">
        <v>14</v>
      </c>
      <c r="AA33" s="83" t="s">
        <v>15</v>
      </c>
      <c r="AB33" s="84" t="s">
        <v>17</v>
      </c>
      <c r="AC33" s="84" t="s">
        <v>18</v>
      </c>
      <c r="AD33" s="84" t="s">
        <v>20</v>
      </c>
      <c r="AE33" s="84" t="s">
        <v>27</v>
      </c>
      <c r="AO33" s="108" t="s">
        <v>196</v>
      </c>
      <c r="AP33" s="105">
        <f>COUNTIF(AP4:AP29, 3)</f>
        <v>0</v>
      </c>
    </row>
    <row r="34" spans="15:42" ht="15" customHeight="1">
      <c r="O34" s="86" t="s">
        <v>177</v>
      </c>
      <c r="P34" s="18">
        <f>MIN(P4:P29)</f>
        <v>9</v>
      </c>
      <c r="Q34" s="18">
        <f t="shared" ref="Q34:S34" si="5">MIN(Q4:Q29)</f>
        <v>0</v>
      </c>
      <c r="R34" s="18">
        <f t="shared" si="5"/>
        <v>1</v>
      </c>
      <c r="S34" s="18">
        <f t="shared" si="5"/>
        <v>0</v>
      </c>
      <c r="Y34" s="86" t="s">
        <v>174</v>
      </c>
      <c r="Z34" s="18">
        <f>COUNTIF(Z4:Z29,"y")</f>
        <v>26</v>
      </c>
      <c r="AA34" s="18">
        <f>COUNTIF(AA4:AA29,"y")</f>
        <v>26</v>
      </c>
      <c r="AB34" s="18">
        <f>COUNTIF(AB4:AB29,"y")</f>
        <v>26</v>
      </c>
      <c r="AC34" s="18">
        <f t="shared" ref="AC34:AE34" si="6">COUNTIF(AC4:AC29,"y")</f>
        <v>25</v>
      </c>
      <c r="AD34" s="18">
        <f t="shared" si="6"/>
        <v>22</v>
      </c>
      <c r="AE34" s="18">
        <f t="shared" si="6"/>
        <v>22</v>
      </c>
      <c r="AO34" s="108" t="s">
        <v>198</v>
      </c>
      <c r="AP34" s="105">
        <f>COUNTIF(AP4:AP29, 2)</f>
        <v>0</v>
      </c>
    </row>
    <row r="35" spans="15:42" ht="15" customHeight="1">
      <c r="O35" s="86" t="s">
        <v>178</v>
      </c>
      <c r="P35" s="18">
        <f>MAX(P4:P29)</f>
        <v>85</v>
      </c>
      <c r="Q35" s="18">
        <f t="shared" ref="Q35:S35" si="7">MAX(Q4:Q29)</f>
        <v>15</v>
      </c>
      <c r="R35" s="18">
        <f t="shared" si="7"/>
        <v>37</v>
      </c>
      <c r="S35" s="18">
        <f t="shared" si="7"/>
        <v>8</v>
      </c>
      <c r="Y35" s="86" t="s">
        <v>175</v>
      </c>
      <c r="Z35" s="18">
        <f>COUNTIF(Z4:Z29,"n")</f>
        <v>0</v>
      </c>
      <c r="AA35" s="18">
        <f t="shared" ref="AA35:AE35" si="8">COUNTIF(AA4:AA29,"n")</f>
        <v>0</v>
      </c>
      <c r="AB35" s="18">
        <f t="shared" si="8"/>
        <v>0</v>
      </c>
      <c r="AC35" s="18">
        <f t="shared" si="8"/>
        <v>1</v>
      </c>
      <c r="AD35" s="18">
        <f t="shared" si="8"/>
        <v>4</v>
      </c>
      <c r="AE35" s="18">
        <f t="shared" si="8"/>
        <v>4</v>
      </c>
      <c r="AO35" s="108" t="s">
        <v>197</v>
      </c>
      <c r="AP35" s="105">
        <f>COUNTIF(AP4:AP29, 1)</f>
        <v>0</v>
      </c>
    </row>
    <row r="36" spans="15:42" ht="15" customHeight="1">
      <c r="O36" s="86" t="s">
        <v>179</v>
      </c>
      <c r="P36" s="89">
        <f>_xlfn.STDEV.P(P4:P29)</f>
        <v>18.474995095722822</v>
      </c>
      <c r="Q36" s="89">
        <f t="shared" ref="Q36:S36" si="9">_xlfn.STDEV.P(Q4:Q29)</f>
        <v>4.1991827889095941</v>
      </c>
      <c r="R36" s="89">
        <f t="shared" si="9"/>
        <v>8.7042973811450324</v>
      </c>
      <c r="S36" s="89">
        <f t="shared" si="9"/>
        <v>3.0039421830410209</v>
      </c>
      <c r="Y36" s="18"/>
      <c r="Z36" s="18"/>
      <c r="AA36" s="18"/>
      <c r="AB36" s="18"/>
      <c r="AC36" s="18"/>
      <c r="AD36" s="18"/>
      <c r="AE36" s="18"/>
      <c r="AO36" s="108" t="s">
        <v>199</v>
      </c>
      <c r="AP36" s="105">
        <f>COUNTIF(AP4:AP29, 0)</f>
        <v>0</v>
      </c>
    </row>
    <row r="38" spans="15:42" ht="15" customHeight="1">
      <c r="S38" s="18"/>
      <c r="T38" s="85" t="s">
        <v>14</v>
      </c>
      <c r="U38" s="85" t="s">
        <v>15</v>
      </c>
      <c r="V38" s="85" t="s">
        <v>17</v>
      </c>
      <c r="W38" s="85" t="s">
        <v>18</v>
      </c>
      <c r="X38" s="85" t="s">
        <v>20</v>
      </c>
      <c r="Y38" s="85" t="s">
        <v>27</v>
      </c>
    </row>
    <row r="39" spans="15:42" ht="15" customHeight="1">
      <c r="S39" s="86" t="s">
        <v>174</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175</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176</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176</v>
      </c>
      <c r="AP42" s="92">
        <f>AVERAGE(AM4:AM29) * 1440</f>
        <v>66.961538461538453</v>
      </c>
    </row>
    <row r="43" spans="15:42" ht="15" customHeight="1">
      <c r="AE43" s="86" t="s">
        <v>177</v>
      </c>
      <c r="AF43" s="91">
        <f>MIN(AF4:AF29)</f>
        <v>11</v>
      </c>
      <c r="AG43" s="91">
        <f t="shared" ref="AG43:AL43" si="13">MIN(AG4:AG29)</f>
        <v>10</v>
      </c>
      <c r="AH43" s="91">
        <f t="shared" si="13"/>
        <v>22</v>
      </c>
      <c r="AI43" s="91">
        <f t="shared" si="13"/>
        <v>0</v>
      </c>
      <c r="AJ43" s="91">
        <f t="shared" si="13"/>
        <v>0</v>
      </c>
      <c r="AK43" s="91">
        <f t="shared" si="13"/>
        <v>8</v>
      </c>
      <c r="AL43" s="91">
        <f t="shared" si="13"/>
        <v>0</v>
      </c>
      <c r="AO43" s="86" t="s">
        <v>177</v>
      </c>
      <c r="AP43" s="88">
        <f>MIN(AM4:AM29) * 1440</f>
        <v>28.00000000000006</v>
      </c>
    </row>
    <row r="44" spans="15:42" ht="15" customHeight="1">
      <c r="AE44" s="86" t="s">
        <v>178</v>
      </c>
      <c r="AF44" s="89">
        <f>MAX(AF4:AF29)</f>
        <v>24</v>
      </c>
      <c r="AG44" s="89">
        <f t="shared" ref="AG44:AL44" si="14">MAX(AG4:AG29)</f>
        <v>22</v>
      </c>
      <c r="AH44" s="89">
        <f t="shared" si="14"/>
        <v>44</v>
      </c>
      <c r="AI44" s="89">
        <f t="shared" si="14"/>
        <v>4</v>
      </c>
      <c r="AJ44" s="89">
        <f t="shared" si="14"/>
        <v>7</v>
      </c>
      <c r="AK44" s="89">
        <f t="shared" si="14"/>
        <v>29</v>
      </c>
      <c r="AL44" s="89">
        <f t="shared" si="14"/>
        <v>2</v>
      </c>
      <c r="AO44" s="86" t="s">
        <v>178</v>
      </c>
      <c r="AP44" s="88">
        <f>MAX(AM4:AM29) * 1440</f>
        <v>105.00000000000011</v>
      </c>
    </row>
    <row r="45" spans="15:42" ht="15" customHeight="1">
      <c r="AE45" s="86" t="s">
        <v>179</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179</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topLeftCell="N1" workbookViewId="0">
      <selection activeCell="P4" sqref="P4:P29"/>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2" ht="14.25">
      <c r="A1" s="2"/>
      <c r="B1" s="2"/>
      <c r="C1" s="3"/>
      <c r="D1" s="3"/>
      <c r="E1" s="130" t="s">
        <v>1</v>
      </c>
      <c r="F1" s="131"/>
      <c r="G1" s="131"/>
      <c r="H1" s="131"/>
      <c r="I1" s="131"/>
      <c r="J1" s="131"/>
      <c r="K1" s="131"/>
      <c r="L1" s="131"/>
      <c r="M1" s="131"/>
      <c r="N1" s="131"/>
      <c r="O1" s="131"/>
      <c r="P1" s="131"/>
      <c r="Q1" s="131"/>
      <c r="R1" s="131"/>
      <c r="S1" s="131"/>
      <c r="T1" s="132" t="s">
        <v>2</v>
      </c>
      <c r="U1" s="131"/>
      <c r="V1" s="131"/>
      <c r="W1" s="131"/>
      <c r="X1" s="131"/>
      <c r="Y1" s="131"/>
      <c r="Z1" s="131"/>
      <c r="AA1" s="131"/>
      <c r="AB1" s="131"/>
      <c r="AC1" s="131"/>
      <c r="AD1" s="131"/>
      <c r="AE1" s="131"/>
      <c r="AF1" s="131"/>
      <c r="AG1" s="131"/>
      <c r="AH1" s="131"/>
      <c r="AI1" s="131"/>
      <c r="AJ1" s="131"/>
      <c r="AK1" s="131"/>
      <c r="AL1" s="131"/>
      <c r="AM1" s="131"/>
      <c r="AN1" s="131"/>
    </row>
    <row r="2" spans="1:42" ht="14.25">
      <c r="A2" s="19"/>
      <c r="B2" s="2"/>
      <c r="C2" s="3"/>
      <c r="D2" s="3"/>
      <c r="E2" s="133" t="s">
        <v>3</v>
      </c>
      <c r="F2" s="131"/>
      <c r="G2" s="131"/>
      <c r="H2" s="131"/>
      <c r="I2" s="131"/>
      <c r="J2" s="131"/>
      <c r="K2" s="131"/>
      <c r="L2" s="131"/>
      <c r="M2" s="131"/>
      <c r="N2" s="131"/>
      <c r="O2" s="131"/>
      <c r="P2" s="134" t="s">
        <v>90</v>
      </c>
      <c r="Q2" s="131"/>
      <c r="R2" s="131"/>
      <c r="S2" s="131"/>
      <c r="T2" s="135" t="s">
        <v>5</v>
      </c>
      <c r="U2" s="131"/>
      <c r="V2" s="131"/>
      <c r="W2" s="131"/>
      <c r="X2" s="131"/>
      <c r="Y2" s="131"/>
      <c r="Z2" s="136" t="s">
        <v>6</v>
      </c>
      <c r="AA2" s="131"/>
      <c r="AB2" s="131"/>
      <c r="AC2" s="131"/>
      <c r="AD2" s="131"/>
      <c r="AE2" s="131"/>
      <c r="AF2" s="134" t="s">
        <v>4</v>
      </c>
      <c r="AG2" s="131"/>
      <c r="AH2" s="131"/>
      <c r="AI2" s="131"/>
      <c r="AJ2" s="131"/>
      <c r="AK2" s="131"/>
      <c r="AL2" s="131"/>
      <c r="AM2" s="137" t="s">
        <v>7</v>
      </c>
      <c r="AN2" s="131"/>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230</v>
      </c>
      <c r="AM3" s="16" t="s">
        <v>35</v>
      </c>
      <c r="AN3" s="17" t="s">
        <v>36</v>
      </c>
      <c r="AP3" s="107" t="s">
        <v>202</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08" t="s">
        <v>193</v>
      </c>
      <c r="AP30" s="60">
        <f>COUNTIF(AP4:AP29, 6)</f>
        <v>12</v>
      </c>
    </row>
    <row r="31" spans="1:42" ht="15" customHeight="1">
      <c r="AM31" s="65"/>
      <c r="AO31" s="108" t="s">
        <v>194</v>
      </c>
      <c r="AP31" s="60">
        <f>COUNTIF(AP4:AP29, 5)</f>
        <v>3</v>
      </c>
    </row>
    <row r="32" spans="1:42" ht="37.5" customHeight="1">
      <c r="P32" s="87" t="s">
        <v>23</v>
      </c>
      <c r="Q32" s="87" t="s">
        <v>24</v>
      </c>
      <c r="R32" s="87" t="s">
        <v>91</v>
      </c>
      <c r="S32" s="87" t="s">
        <v>92</v>
      </c>
      <c r="AO32" s="108" t="s">
        <v>195</v>
      </c>
      <c r="AP32">
        <f>COUNTIF(AP4:AP29, 4)</f>
        <v>4</v>
      </c>
    </row>
    <row r="33" spans="15:42" ht="15" customHeight="1">
      <c r="O33" s="86" t="s">
        <v>176</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196</v>
      </c>
      <c r="AP33">
        <f>COUNTIF(AP4:AP29, 3)</f>
        <v>1</v>
      </c>
    </row>
    <row r="34" spans="15:42" ht="15" customHeight="1">
      <c r="O34" s="86" t="s">
        <v>177</v>
      </c>
      <c r="P34">
        <f>MIN(P4:P29)</f>
        <v>19</v>
      </c>
      <c r="Q34" s="18">
        <f t="shared" ref="Q34:S34" si="6">MIN(Q4:Q29)</f>
        <v>1</v>
      </c>
      <c r="R34" s="18">
        <f t="shared" si="6"/>
        <v>7</v>
      </c>
      <c r="S34" s="18">
        <f t="shared" si="6"/>
        <v>0</v>
      </c>
      <c r="Y34" s="86" t="s">
        <v>174</v>
      </c>
      <c r="Z34">
        <f>COUNTIF(Z4:Z29,"y")</f>
        <v>23</v>
      </c>
      <c r="AA34" s="18">
        <f>COUNTIF(AA4:AA29,"y")</f>
        <v>21</v>
      </c>
      <c r="AB34" s="18">
        <f>COUNTIF(AB4:AB29,"y")</f>
        <v>22</v>
      </c>
      <c r="AC34" s="18">
        <f t="shared" ref="AC34:AE34" si="7">COUNTIF(AC4:AC29,"y")</f>
        <v>19</v>
      </c>
      <c r="AD34" s="18">
        <f t="shared" si="7"/>
        <v>15</v>
      </c>
      <c r="AE34" s="18">
        <f t="shared" si="7"/>
        <v>12</v>
      </c>
      <c r="AL34" s="21"/>
      <c r="AO34" s="108" t="s">
        <v>198</v>
      </c>
      <c r="AP34">
        <f>COUNTIF(AP4:AP29, 2)</f>
        <v>2</v>
      </c>
    </row>
    <row r="35" spans="15:42" ht="15" customHeight="1">
      <c r="O35" s="86" t="s">
        <v>178</v>
      </c>
      <c r="P35">
        <f>MAX(P4:P29)</f>
        <v>64</v>
      </c>
      <c r="Q35" s="18">
        <f t="shared" ref="Q35:S35" si="8">MAX(Q4:Q29)</f>
        <v>21</v>
      </c>
      <c r="R35" s="18">
        <f t="shared" si="8"/>
        <v>33</v>
      </c>
      <c r="S35" s="18">
        <f t="shared" si="8"/>
        <v>9</v>
      </c>
      <c r="Y35" s="86" t="s">
        <v>175</v>
      </c>
      <c r="Z35">
        <f>COUNTIF(Z4:Z29,"n")</f>
        <v>3</v>
      </c>
      <c r="AA35" s="18">
        <f t="shared" ref="AA35:AE35" si="9">COUNTIF(AA4:AA29,"n")</f>
        <v>5</v>
      </c>
      <c r="AB35" s="18">
        <f t="shared" si="9"/>
        <v>4</v>
      </c>
      <c r="AC35" s="18">
        <f t="shared" si="9"/>
        <v>7</v>
      </c>
      <c r="AD35" s="18">
        <f t="shared" si="9"/>
        <v>11</v>
      </c>
      <c r="AE35" s="18">
        <f t="shared" si="9"/>
        <v>14</v>
      </c>
      <c r="AO35" s="108" t="s">
        <v>197</v>
      </c>
      <c r="AP35">
        <f>COUNTIF(AP4:AP29, 1)</f>
        <v>2</v>
      </c>
    </row>
    <row r="36" spans="15:42" ht="15" customHeight="1">
      <c r="O36" s="86" t="s">
        <v>179</v>
      </c>
      <c r="P36" s="89">
        <f>_xlfn.STDEV.P(P4:P29)</f>
        <v>11.835159733487325</v>
      </c>
      <c r="Q36" s="89">
        <f t="shared" ref="Q36:S36" si="10">_xlfn.STDEV.P(Q4:Q29)</f>
        <v>5.0786710277674043</v>
      </c>
      <c r="R36" s="89">
        <f t="shared" si="10"/>
        <v>6.2307692307692308</v>
      </c>
      <c r="S36" s="89">
        <f t="shared" si="10"/>
        <v>2.4494897427831779</v>
      </c>
      <c r="AO36" s="108" t="s">
        <v>199</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174</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175</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176</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176</v>
      </c>
      <c r="AP42" s="92">
        <f>AVERAGE(AM4:AM29) * 1440</f>
        <v>92.692307692307679</v>
      </c>
    </row>
    <row r="43" spans="15:42" ht="15" customHeight="1">
      <c r="AE43" s="86" t="s">
        <v>177</v>
      </c>
      <c r="AF43" s="90">
        <f>MIN(AF4:AF29)</f>
        <v>7</v>
      </c>
      <c r="AG43" s="90">
        <f t="shared" ref="AG43:AL43" si="14">MIN(AG4:AG29)</f>
        <v>2</v>
      </c>
      <c r="AH43" s="90">
        <f t="shared" si="14"/>
        <v>11</v>
      </c>
      <c r="AI43" s="90">
        <f t="shared" si="14"/>
        <v>0</v>
      </c>
      <c r="AJ43" s="90">
        <f t="shared" si="14"/>
        <v>0</v>
      </c>
      <c r="AK43" s="90">
        <f t="shared" si="14"/>
        <v>8</v>
      </c>
      <c r="AL43" s="90">
        <f t="shared" si="14"/>
        <v>0</v>
      </c>
      <c r="AO43" s="86" t="s">
        <v>177</v>
      </c>
      <c r="AP43" s="88">
        <f>MIN(AM4:AM29) * 1440</f>
        <v>34.999999999999957</v>
      </c>
    </row>
    <row r="44" spans="15:42" ht="15" customHeight="1">
      <c r="AE44" s="86" t="s">
        <v>178</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178</v>
      </c>
      <c r="AP44" s="88">
        <f>MAX(AM4:AM29) * 1440</f>
        <v>105.00000000000011</v>
      </c>
    </row>
    <row r="45" spans="15:42" ht="15" customHeight="1">
      <c r="AE45" s="86" t="s">
        <v>179</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179</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F40-7697-414A-A34C-19F5130ADA29}">
  <sheetPr>
    <tabColor theme="7" tint="0.39997558519241921"/>
  </sheetPr>
  <dimension ref="B2:I97"/>
  <sheetViews>
    <sheetView tabSelected="1" topLeftCell="A19" zoomScale="85" zoomScaleNormal="85" workbookViewId="0">
      <selection activeCell="E30" sqref="E30"/>
    </sheetView>
  </sheetViews>
  <sheetFormatPr defaultRowHeight="14.25"/>
  <cols>
    <col min="2" max="9" width="20.59765625" customWidth="1"/>
  </cols>
  <sheetData>
    <row r="2" spans="2:9" ht="28.5" customHeight="1">
      <c r="B2" s="140" t="s">
        <v>33</v>
      </c>
      <c r="C2" s="140"/>
      <c r="D2" s="140" t="s">
        <v>231</v>
      </c>
      <c r="E2" s="140"/>
      <c r="F2" s="140" t="s">
        <v>230</v>
      </c>
      <c r="G2" s="140"/>
      <c r="H2" s="141" t="s">
        <v>23</v>
      </c>
      <c r="I2" s="141"/>
    </row>
    <row r="3" spans="2:9">
      <c r="B3" s="118" t="s">
        <v>153</v>
      </c>
      <c r="C3" s="118" t="s">
        <v>226</v>
      </c>
      <c r="D3" s="118" t="s">
        <v>153</v>
      </c>
      <c r="E3" s="118" t="s">
        <v>226</v>
      </c>
      <c r="F3" s="118" t="s">
        <v>153</v>
      </c>
      <c r="G3" s="118" t="s">
        <v>226</v>
      </c>
      <c r="H3" s="120" t="s">
        <v>153</v>
      </c>
      <c r="I3" s="120" t="s">
        <v>226</v>
      </c>
    </row>
    <row r="4" spans="2:9">
      <c r="B4" s="60">
        <v>14</v>
      </c>
      <c r="C4" s="60">
        <v>8</v>
      </c>
      <c r="D4">
        <v>26</v>
      </c>
      <c r="E4">
        <v>22</v>
      </c>
      <c r="F4" s="60">
        <v>0</v>
      </c>
      <c r="G4" s="60">
        <v>11</v>
      </c>
      <c r="H4" s="60">
        <v>64</v>
      </c>
      <c r="I4" s="60">
        <v>24</v>
      </c>
    </row>
    <row r="5" spans="2:9">
      <c r="B5" s="60">
        <v>29</v>
      </c>
      <c r="C5" s="60">
        <v>14</v>
      </c>
      <c r="D5">
        <v>34</v>
      </c>
      <c r="E5">
        <v>32</v>
      </c>
      <c r="F5" s="60">
        <v>0</v>
      </c>
      <c r="G5" s="60">
        <v>3</v>
      </c>
      <c r="H5" s="60">
        <v>36</v>
      </c>
      <c r="I5" s="60">
        <v>33</v>
      </c>
    </row>
    <row r="6" spans="2:9">
      <c r="B6" s="60">
        <v>17</v>
      </c>
      <c r="C6" s="60">
        <v>28</v>
      </c>
      <c r="D6">
        <v>34</v>
      </c>
      <c r="E6">
        <v>38</v>
      </c>
      <c r="F6" s="60">
        <v>0</v>
      </c>
      <c r="G6" s="60">
        <v>0</v>
      </c>
      <c r="H6" s="60">
        <v>53</v>
      </c>
      <c r="I6" s="60">
        <v>47</v>
      </c>
    </row>
    <row r="7" spans="2:9">
      <c r="B7" s="60">
        <v>20</v>
      </c>
      <c r="C7" s="60">
        <v>23</v>
      </c>
      <c r="D7">
        <v>43</v>
      </c>
      <c r="E7">
        <v>31</v>
      </c>
      <c r="F7" s="60">
        <v>0</v>
      </c>
      <c r="G7" s="60">
        <v>3</v>
      </c>
      <c r="H7" s="60">
        <v>29</v>
      </c>
      <c r="I7" s="60">
        <v>50</v>
      </c>
    </row>
    <row r="8" spans="2:9">
      <c r="B8" s="60">
        <v>21</v>
      </c>
      <c r="C8" s="60">
        <v>33</v>
      </c>
      <c r="D8">
        <v>37</v>
      </c>
      <c r="E8">
        <v>56</v>
      </c>
      <c r="F8" s="60">
        <v>1</v>
      </c>
      <c r="G8" s="60">
        <v>5</v>
      </c>
      <c r="H8" s="60">
        <v>23</v>
      </c>
      <c r="I8" s="60">
        <v>22</v>
      </c>
    </row>
    <row r="9" spans="2:9">
      <c r="B9" s="60">
        <v>19</v>
      </c>
      <c r="C9" s="60">
        <v>25</v>
      </c>
      <c r="D9">
        <v>38</v>
      </c>
      <c r="E9">
        <v>47</v>
      </c>
      <c r="F9" s="60">
        <v>0</v>
      </c>
      <c r="G9" s="60">
        <v>0</v>
      </c>
      <c r="H9" s="60">
        <v>66</v>
      </c>
      <c r="I9" s="60">
        <v>25</v>
      </c>
    </row>
    <row r="10" spans="2:9">
      <c r="B10" s="60">
        <v>11</v>
      </c>
      <c r="C10" s="60">
        <v>20</v>
      </c>
      <c r="D10">
        <v>32</v>
      </c>
      <c r="E10">
        <v>40</v>
      </c>
      <c r="F10" s="60">
        <v>0</v>
      </c>
      <c r="G10" s="60">
        <v>0</v>
      </c>
      <c r="H10" s="60">
        <v>34</v>
      </c>
      <c r="I10" s="60">
        <v>46</v>
      </c>
    </row>
    <row r="11" spans="2:9">
      <c r="B11" s="60">
        <v>15</v>
      </c>
      <c r="C11" s="60">
        <v>35</v>
      </c>
      <c r="D11">
        <v>32</v>
      </c>
      <c r="E11">
        <v>59</v>
      </c>
      <c r="F11" s="60">
        <v>0</v>
      </c>
      <c r="G11" s="60">
        <v>1</v>
      </c>
      <c r="H11" s="60">
        <v>36</v>
      </c>
      <c r="I11" s="60">
        <v>37</v>
      </c>
    </row>
    <row r="12" spans="2:9">
      <c r="B12" s="60">
        <v>15</v>
      </c>
      <c r="C12" s="60">
        <v>13</v>
      </c>
      <c r="D12">
        <v>24</v>
      </c>
      <c r="E12">
        <v>28</v>
      </c>
      <c r="F12" s="60">
        <v>0</v>
      </c>
      <c r="G12" s="60">
        <v>0</v>
      </c>
      <c r="H12" s="60">
        <v>46</v>
      </c>
      <c r="I12" s="60">
        <v>38</v>
      </c>
    </row>
    <row r="13" spans="2:9">
      <c r="B13" s="60">
        <v>25</v>
      </c>
      <c r="C13" s="60">
        <v>21</v>
      </c>
      <c r="D13">
        <v>44</v>
      </c>
      <c r="E13">
        <v>39</v>
      </c>
      <c r="F13" s="60">
        <v>0</v>
      </c>
      <c r="G13" s="60">
        <v>3</v>
      </c>
      <c r="H13" s="60">
        <v>29</v>
      </c>
      <c r="I13" s="60">
        <v>34</v>
      </c>
    </row>
    <row r="14" spans="2:9">
      <c r="B14" s="60">
        <v>19</v>
      </c>
      <c r="C14" s="60">
        <v>31</v>
      </c>
      <c r="D14">
        <v>37</v>
      </c>
      <c r="E14">
        <v>57</v>
      </c>
      <c r="F14" s="60">
        <v>0</v>
      </c>
      <c r="G14" s="60">
        <v>2</v>
      </c>
      <c r="H14" s="60">
        <v>47</v>
      </c>
      <c r="I14" s="60">
        <v>55</v>
      </c>
    </row>
    <row r="15" spans="2:9" ht="15.75">
      <c r="B15" s="60">
        <v>17</v>
      </c>
      <c r="C15" s="60">
        <v>8</v>
      </c>
      <c r="D15">
        <v>36</v>
      </c>
      <c r="E15">
        <v>11</v>
      </c>
      <c r="F15" s="60">
        <v>0</v>
      </c>
      <c r="G15" s="60">
        <v>3</v>
      </c>
      <c r="H15" s="60">
        <v>46</v>
      </c>
      <c r="I15" s="72">
        <v>54</v>
      </c>
    </row>
    <row r="16" spans="2:9">
      <c r="B16" s="60">
        <v>18</v>
      </c>
      <c r="C16" s="60">
        <v>17</v>
      </c>
      <c r="D16">
        <v>44</v>
      </c>
      <c r="E16">
        <v>33</v>
      </c>
      <c r="F16" s="60">
        <v>0</v>
      </c>
      <c r="G16" s="60">
        <v>1</v>
      </c>
      <c r="H16" s="60">
        <v>9</v>
      </c>
      <c r="I16" s="60">
        <v>64</v>
      </c>
    </row>
    <row r="17" spans="2:9">
      <c r="B17" s="60">
        <v>22</v>
      </c>
      <c r="C17" s="60">
        <v>23</v>
      </c>
      <c r="D17">
        <v>36</v>
      </c>
      <c r="E17">
        <v>46</v>
      </c>
      <c r="F17" s="60">
        <v>0</v>
      </c>
      <c r="G17" s="60">
        <v>0</v>
      </c>
      <c r="H17" s="60">
        <v>27</v>
      </c>
      <c r="I17" s="60">
        <v>24</v>
      </c>
    </row>
    <row r="18" spans="2:9">
      <c r="B18" s="60">
        <v>11</v>
      </c>
      <c r="C18" s="60">
        <v>14</v>
      </c>
      <c r="D18">
        <v>32</v>
      </c>
      <c r="E18">
        <v>22</v>
      </c>
      <c r="F18" s="60">
        <v>0</v>
      </c>
      <c r="G18" s="60">
        <v>0</v>
      </c>
      <c r="H18" s="60">
        <v>35</v>
      </c>
      <c r="I18" s="60">
        <v>27</v>
      </c>
    </row>
    <row r="19" spans="2:9">
      <c r="B19" s="60">
        <v>15</v>
      </c>
      <c r="C19" s="60">
        <v>19</v>
      </c>
      <c r="D19">
        <v>37</v>
      </c>
      <c r="E19">
        <v>33</v>
      </c>
      <c r="F19" s="60">
        <v>0</v>
      </c>
      <c r="G19" s="60">
        <v>0</v>
      </c>
      <c r="H19" s="60">
        <v>24</v>
      </c>
      <c r="I19" s="60">
        <v>47</v>
      </c>
    </row>
    <row r="20" spans="2:9">
      <c r="B20" s="64">
        <f>8+5</f>
        <v>13</v>
      </c>
      <c r="C20" s="60">
        <v>23</v>
      </c>
      <c r="D20">
        <v>30</v>
      </c>
      <c r="E20">
        <v>46</v>
      </c>
      <c r="F20" s="60">
        <v>1</v>
      </c>
      <c r="G20" s="60">
        <v>4</v>
      </c>
      <c r="H20" s="60">
        <v>23</v>
      </c>
      <c r="I20" s="60">
        <v>40</v>
      </c>
    </row>
    <row r="21" spans="2:9">
      <c r="B21" s="60">
        <v>10</v>
      </c>
      <c r="C21" s="60">
        <v>21</v>
      </c>
      <c r="D21">
        <v>34</v>
      </c>
      <c r="E21">
        <v>45</v>
      </c>
      <c r="F21" s="60">
        <v>0</v>
      </c>
      <c r="G21" s="60">
        <v>1</v>
      </c>
      <c r="H21" s="60">
        <v>22</v>
      </c>
      <c r="I21" s="60">
        <v>34</v>
      </c>
    </row>
    <row r="22" spans="2:9">
      <c r="B22" s="64">
        <f>8+7</f>
        <v>15</v>
      </c>
      <c r="C22" s="60">
        <v>106</v>
      </c>
      <c r="D22">
        <v>22</v>
      </c>
      <c r="E22">
        <v>213</v>
      </c>
      <c r="F22" s="60">
        <v>0</v>
      </c>
      <c r="G22" s="60">
        <v>0</v>
      </c>
      <c r="H22" s="60">
        <v>67</v>
      </c>
      <c r="I22" s="60">
        <v>24</v>
      </c>
    </row>
    <row r="23" spans="2:9">
      <c r="B23" s="60">
        <v>17</v>
      </c>
      <c r="C23" s="60">
        <v>14</v>
      </c>
      <c r="D23">
        <v>34</v>
      </c>
      <c r="E23">
        <v>40</v>
      </c>
      <c r="F23" s="60">
        <v>1</v>
      </c>
      <c r="G23" s="60">
        <v>0</v>
      </c>
      <c r="H23" s="60">
        <v>85</v>
      </c>
      <c r="I23" s="60">
        <v>19</v>
      </c>
    </row>
    <row r="24" spans="2:9">
      <c r="B24" s="64">
        <f>9+6</f>
        <v>15</v>
      </c>
      <c r="C24" s="60">
        <v>20</v>
      </c>
      <c r="D24">
        <v>33</v>
      </c>
      <c r="E24">
        <v>50</v>
      </c>
      <c r="F24" s="60">
        <v>0</v>
      </c>
      <c r="G24" s="60">
        <v>0</v>
      </c>
      <c r="H24" s="60">
        <v>21</v>
      </c>
      <c r="I24" s="60">
        <v>24</v>
      </c>
    </row>
    <row r="25" spans="2:9">
      <c r="B25" s="64">
        <f>13+7</f>
        <v>20</v>
      </c>
      <c r="C25" s="60">
        <v>27</v>
      </c>
      <c r="D25">
        <v>42</v>
      </c>
      <c r="E25">
        <v>41</v>
      </c>
      <c r="F25" s="60">
        <v>2</v>
      </c>
      <c r="G25" s="60">
        <v>0</v>
      </c>
      <c r="H25" s="80">
        <v>38</v>
      </c>
      <c r="I25" s="60">
        <v>45</v>
      </c>
    </row>
    <row r="26" spans="2:9">
      <c r="B26" s="60">
        <f>9+4</f>
        <v>13</v>
      </c>
      <c r="C26" s="60">
        <v>39</v>
      </c>
      <c r="D26">
        <v>22</v>
      </c>
      <c r="E26">
        <v>68</v>
      </c>
      <c r="F26" s="60">
        <v>0</v>
      </c>
      <c r="G26" s="60">
        <v>1</v>
      </c>
      <c r="H26" s="60">
        <v>41</v>
      </c>
      <c r="I26" s="60">
        <v>33</v>
      </c>
    </row>
    <row r="27" spans="2:9">
      <c r="B27" s="60">
        <v>15</v>
      </c>
      <c r="C27" s="60">
        <v>25</v>
      </c>
      <c r="D27">
        <v>38</v>
      </c>
      <c r="E27">
        <v>44</v>
      </c>
      <c r="F27" s="60">
        <v>0</v>
      </c>
      <c r="G27" s="60">
        <v>0</v>
      </c>
      <c r="H27" s="60">
        <v>25</v>
      </c>
      <c r="I27" s="60">
        <v>51</v>
      </c>
    </row>
    <row r="28" spans="2:9">
      <c r="B28" s="64">
        <f>4+7</f>
        <v>11</v>
      </c>
      <c r="C28" s="60">
        <v>17</v>
      </c>
      <c r="D28">
        <v>25</v>
      </c>
      <c r="E28">
        <v>33</v>
      </c>
      <c r="F28" s="60">
        <v>1</v>
      </c>
      <c r="G28" s="60">
        <v>0</v>
      </c>
      <c r="H28" s="60">
        <v>9</v>
      </c>
      <c r="I28" s="60">
        <v>31</v>
      </c>
    </row>
    <row r="29" spans="2:9">
      <c r="B29" s="60">
        <v>8</v>
      </c>
      <c r="C29" s="60">
        <v>8</v>
      </c>
      <c r="D29">
        <v>26</v>
      </c>
      <c r="E29">
        <v>16</v>
      </c>
      <c r="F29" s="60">
        <v>0</v>
      </c>
      <c r="G29" s="60">
        <v>5</v>
      </c>
      <c r="H29" s="60">
        <v>13</v>
      </c>
      <c r="I29" s="60">
        <v>32</v>
      </c>
    </row>
    <row r="30" spans="2:9">
      <c r="B30" s="129">
        <f>STDEV(B4:B29)</f>
        <v>4.7660659474439306</v>
      </c>
      <c r="C30">
        <f>STDEV(C4:C29)</f>
        <v>18.535952591154803</v>
      </c>
      <c r="D30" s="129">
        <f t="shared" ref="D30:E30" si="0">STDEV(D4:D29)</f>
        <v>6.4263879075621917</v>
      </c>
      <c r="E30" s="129">
        <f t="shared" si="0"/>
        <v>36.618364455346928</v>
      </c>
      <c r="F30" s="150"/>
      <c r="G30" s="151"/>
    </row>
    <row r="33" spans="2:4">
      <c r="B33" s="140" t="s">
        <v>33</v>
      </c>
      <c r="C33" s="140"/>
      <c r="D33" s="140"/>
    </row>
    <row r="34" spans="2:4">
      <c r="B34" s="123" t="s">
        <v>203</v>
      </c>
      <c r="C34" s="123">
        <v>2.2000000000000002</v>
      </c>
      <c r="D34" s="123"/>
    </row>
    <row r="35" spans="2:4">
      <c r="B35" s="123"/>
      <c r="C35" s="123"/>
      <c r="D35" s="123"/>
    </row>
    <row r="36" spans="2:4">
      <c r="B36" s="123"/>
      <c r="C36" s="123" t="str">
        <f>B3</f>
        <v>Duplo</v>
      </c>
      <c r="D36" s="123" t="str">
        <f>C3</f>
        <v>ROY</v>
      </c>
    </row>
    <row r="37" spans="2:4">
      <c r="B37" s="123" t="s">
        <v>182</v>
      </c>
      <c r="C37" s="123">
        <f>C44-$C51</f>
        <v>8</v>
      </c>
      <c r="D37" s="123">
        <f>D44-$C51</f>
        <v>8</v>
      </c>
    </row>
    <row r="38" spans="2:4">
      <c r="B38" s="123" t="s">
        <v>183</v>
      </c>
      <c r="C38" s="123">
        <f>MAX(C45-C44,0)</f>
        <v>5.25</v>
      </c>
      <c r="D38" s="123">
        <f>MAX(D45-D44,0)</f>
        <v>6.75</v>
      </c>
    </row>
    <row r="39" spans="2:4">
      <c r="B39" s="123" t="s">
        <v>184</v>
      </c>
      <c r="C39" s="123">
        <f t="shared" ref="C39:D41" si="1">MAX(C46-C45,0)</f>
        <v>1.75</v>
      </c>
      <c r="D39" s="123">
        <f t="shared" si="1"/>
        <v>6.25</v>
      </c>
    </row>
    <row r="40" spans="2:4">
      <c r="B40" s="123" t="s">
        <v>185</v>
      </c>
      <c r="C40" s="123">
        <f t="shared" si="1"/>
        <v>4</v>
      </c>
      <c r="D40" s="123">
        <f t="shared" si="1"/>
        <v>5.5</v>
      </c>
    </row>
    <row r="41" spans="2:4">
      <c r="B41" s="123" t="s">
        <v>186</v>
      </c>
      <c r="C41" s="123">
        <f t="shared" si="1"/>
        <v>10</v>
      </c>
      <c r="D41" s="123">
        <f t="shared" si="1"/>
        <v>12.5</v>
      </c>
    </row>
    <row r="42" spans="2:4">
      <c r="B42" s="123" t="s">
        <v>180</v>
      </c>
      <c r="C42" s="123">
        <f>C49-$C51</f>
        <v>16.346153846153847</v>
      </c>
      <c r="D42" s="123">
        <f>D49-$C51</f>
        <v>24.307692307692307</v>
      </c>
    </row>
    <row r="43" spans="2:4">
      <c r="B43" s="123"/>
      <c r="C43" s="123"/>
      <c r="D43" s="123"/>
    </row>
    <row r="44" spans="2:4">
      <c r="B44" s="123" t="s">
        <v>182</v>
      </c>
      <c r="C44" s="123">
        <f t="array" ref="C44">MIN(IF(ISBLANK(B4:B29),"",IF(B4:B29&gt;=C45-$C34*(C47-C45),B4:B29,"")))</f>
        <v>8</v>
      </c>
      <c r="D44" s="123">
        <f t="array" ref="D44">MIN(IF(ISBLANK(C4:C29),"",IF(C4:C29&gt;=D45-$C34*(D47-D45),C4:C29,"")))</f>
        <v>8</v>
      </c>
    </row>
    <row r="45" spans="2:4">
      <c r="B45" s="123" t="s">
        <v>206</v>
      </c>
      <c r="C45" s="123">
        <f>_xlfn.QUARTILE.INC(B4:B29,1)</f>
        <v>13.25</v>
      </c>
      <c r="D45" s="123">
        <f>_xlfn.QUARTILE.INC(C4:C29,1)</f>
        <v>14.75</v>
      </c>
    </row>
    <row r="46" spans="2:4">
      <c r="B46" s="123" t="s">
        <v>181</v>
      </c>
      <c r="C46" s="123">
        <f>MEDIAN(B4:B29)</f>
        <v>15</v>
      </c>
      <c r="D46" s="123">
        <f>MEDIAN(C4:C29)</f>
        <v>21</v>
      </c>
    </row>
    <row r="47" spans="2:4">
      <c r="B47" s="123" t="s">
        <v>207</v>
      </c>
      <c r="C47" s="123">
        <f>_xlfn.QUARTILE.INC(B4:B29,3)</f>
        <v>19</v>
      </c>
      <c r="D47" s="123">
        <f>_xlfn.QUARTILE.INC(C4:C29,3)</f>
        <v>26.5</v>
      </c>
    </row>
    <row r="48" spans="2:4">
      <c r="B48" s="123" t="s">
        <v>208</v>
      </c>
      <c r="C48" s="123">
        <f t="array" ref="C48">MAX(IF(ISBLANK(B4:B29),"",IF(B4:B29&lt;=C47+$C34*(C47-C45),B4:B29,"")))</f>
        <v>29</v>
      </c>
      <c r="D48" s="123">
        <f t="array" ref="D48">MAX(IF(ISBLANK(C4:C29),"",IF(C4:C29&lt;=D47+$C34*(D47-D45),C4:C29,"")))</f>
        <v>39</v>
      </c>
    </row>
    <row r="49" spans="2:5">
      <c r="B49" s="123" t="s">
        <v>180</v>
      </c>
      <c r="C49" s="123">
        <f>AVERAGE(B4:B29)</f>
        <v>16.346153846153847</v>
      </c>
      <c r="D49" s="123">
        <f>AVERAGE(C4:C29)</f>
        <v>24.307692307692307</v>
      </c>
    </row>
    <row r="50" spans="2:5">
      <c r="B50" s="123"/>
      <c r="C50" s="123"/>
      <c r="D50" s="123"/>
    </row>
    <row r="51" spans="2:5">
      <c r="B51" s="123" t="s">
        <v>204</v>
      </c>
      <c r="C51" s="123">
        <f>IF(MIN(C44:D44)&gt;=0,0,MIN(C44:D44))</f>
        <v>0</v>
      </c>
      <c r="D51" s="123"/>
    </row>
    <row r="52" spans="2:5">
      <c r="B52" s="123"/>
      <c r="C52" s="123"/>
      <c r="D52" s="123"/>
    </row>
    <row r="53" spans="2:5">
      <c r="B53" s="123" t="s">
        <v>205</v>
      </c>
      <c r="C53" s="123" t="s">
        <v>155</v>
      </c>
      <c r="D53" s="123">
        <f>C22</f>
        <v>106</v>
      </c>
      <c r="E53" s="122" t="s">
        <v>233</v>
      </c>
    </row>
    <row r="55" spans="2:5">
      <c r="B55" s="140" t="s">
        <v>231</v>
      </c>
      <c r="C55" s="140"/>
      <c r="D55" s="140"/>
    </row>
    <row r="56" spans="2:5">
      <c r="B56" s="111" t="s">
        <v>203</v>
      </c>
      <c r="C56" s="111">
        <v>2.2000000000000002</v>
      </c>
      <c r="D56" s="111"/>
    </row>
    <row r="57" spans="2:5">
      <c r="B57" s="111"/>
      <c r="C57" s="111"/>
      <c r="D57" s="111"/>
    </row>
    <row r="58" spans="2:5">
      <c r="B58" s="111"/>
      <c r="C58" s="112" t="str">
        <f>D3</f>
        <v>Duplo</v>
      </c>
      <c r="D58" s="112" t="str">
        <f>E3</f>
        <v>ROY</v>
      </c>
    </row>
    <row r="59" spans="2:5">
      <c r="B59" s="111" t="s">
        <v>182</v>
      </c>
      <c r="C59" s="111">
        <f>C66-$C73</f>
        <v>22</v>
      </c>
      <c r="D59" s="111">
        <f>D66-$C73</f>
        <v>11</v>
      </c>
    </row>
    <row r="60" spans="2:5">
      <c r="B60" s="111" t="s">
        <v>183</v>
      </c>
      <c r="C60" s="111">
        <f>MAX(C67-C66,0)</f>
        <v>8.5</v>
      </c>
      <c r="D60" s="111">
        <f>MAX(D67-D66,0)</f>
        <v>21.25</v>
      </c>
    </row>
    <row r="61" spans="2:5">
      <c r="B61" s="111" t="s">
        <v>184</v>
      </c>
      <c r="C61" s="111">
        <f t="shared" ref="C61:D63" si="2">MAX(C68-C67,0)</f>
        <v>3.5</v>
      </c>
      <c r="D61" s="111">
        <f t="shared" si="2"/>
        <v>7.75</v>
      </c>
    </row>
    <row r="62" spans="2:5">
      <c r="B62" s="111" t="s">
        <v>185</v>
      </c>
      <c r="C62" s="111">
        <f t="shared" si="2"/>
        <v>3</v>
      </c>
      <c r="D62" s="111">
        <f t="shared" si="2"/>
        <v>6.75</v>
      </c>
    </row>
    <row r="63" spans="2:5">
      <c r="B63" s="111" t="s">
        <v>186</v>
      </c>
      <c r="C63" s="111">
        <f t="shared" si="2"/>
        <v>7</v>
      </c>
      <c r="D63" s="111">
        <f t="shared" si="2"/>
        <v>21.25</v>
      </c>
    </row>
    <row r="64" spans="2:5">
      <c r="B64" s="111" t="s">
        <v>180</v>
      </c>
      <c r="C64" s="111">
        <f>C71-$C73</f>
        <v>33.53846153846154</v>
      </c>
      <c r="D64" s="111">
        <f>D71-$C73</f>
        <v>45.769230769230766</v>
      </c>
    </row>
    <row r="65" spans="2:4">
      <c r="B65" s="111"/>
      <c r="C65" s="111"/>
      <c r="D65" s="111"/>
    </row>
    <row r="66" spans="2:4">
      <c r="B66" s="111" t="s">
        <v>182</v>
      </c>
      <c r="C66" s="111">
        <f t="array" ref="C66">MIN(IF(ISBLANK(D4:D29),"",IF(D4:D29&gt;=C67-$C56*(C69-C67),D4:D29,"")))</f>
        <v>22</v>
      </c>
      <c r="D66" s="111">
        <f t="array" ref="D66">MIN(IF(ISBLANK(E4:E29),"",IF(E4:E29&gt;=D67-$C56*(D69-D67),E4:E29,"")))</f>
        <v>11</v>
      </c>
    </row>
    <row r="67" spans="2:4">
      <c r="B67" s="111" t="s">
        <v>206</v>
      </c>
      <c r="C67" s="111">
        <f>_xlfn.QUARTILE.INC(D4:D29,1)</f>
        <v>30.5</v>
      </c>
      <c r="D67" s="111">
        <f>_xlfn.QUARTILE.INC(E4:E29,1)</f>
        <v>32.25</v>
      </c>
    </row>
    <row r="68" spans="2:4">
      <c r="B68" s="111" t="s">
        <v>181</v>
      </c>
      <c r="C68" s="111">
        <f>MEDIAN(D4:D29)</f>
        <v>34</v>
      </c>
      <c r="D68" s="111">
        <f>MEDIAN(E4:E29)</f>
        <v>40</v>
      </c>
    </row>
    <row r="69" spans="2:4">
      <c r="B69" s="111" t="s">
        <v>207</v>
      </c>
      <c r="C69" s="111">
        <f>_xlfn.QUARTILE.INC(D4:D29,3)</f>
        <v>37</v>
      </c>
      <c r="D69" s="111">
        <f>_xlfn.QUARTILE.INC(E4:E29,3)</f>
        <v>46.75</v>
      </c>
    </row>
    <row r="70" spans="2:4">
      <c r="B70" s="111" t="s">
        <v>208</v>
      </c>
      <c r="C70" s="111">
        <f t="array" ref="C70">MAX(IF(ISBLANK(D4:D29),"",IF(D4:D29&lt;=C69+$C56*(C69-C67),D4:D29,"")))</f>
        <v>44</v>
      </c>
      <c r="D70" s="111">
        <f t="array" ref="D70">MAX(IF(ISBLANK(E4:E29),"",IF(E4:E29&lt;=D69+$C56*(D69-D67),E4:E29,"")))</f>
        <v>68</v>
      </c>
    </row>
    <row r="71" spans="2:4">
      <c r="B71" s="111" t="s">
        <v>180</v>
      </c>
      <c r="C71" s="111">
        <f>AVERAGE(D4:D29)</f>
        <v>33.53846153846154</v>
      </c>
      <c r="D71" s="111">
        <f>AVERAGE(E4:E29)</f>
        <v>45.769230769230766</v>
      </c>
    </row>
    <row r="72" spans="2:4">
      <c r="B72" s="111"/>
      <c r="C72" s="111"/>
      <c r="D72" s="111"/>
    </row>
    <row r="73" spans="2:4">
      <c r="B73" s="111" t="s">
        <v>204</v>
      </c>
      <c r="C73" s="111">
        <f>IF(MIN(C66:D66)&gt;=0,0,MIN(C66:D66))</f>
        <v>0</v>
      </c>
      <c r="D73" s="111"/>
    </row>
    <row r="74" spans="2:4">
      <c r="B74" s="111"/>
      <c r="C74" s="111"/>
      <c r="D74" s="111"/>
    </row>
    <row r="75" spans="2:4">
      <c r="B75" s="111" t="s">
        <v>205</v>
      </c>
      <c r="C75" s="111" t="s">
        <v>155</v>
      </c>
      <c r="D75" s="111">
        <f>E22</f>
        <v>213</v>
      </c>
    </row>
    <row r="77" spans="2:4">
      <c r="B77" s="141" t="s">
        <v>23</v>
      </c>
      <c r="C77" s="141"/>
      <c r="D77" s="141"/>
    </row>
    <row r="78" spans="2:4">
      <c r="B78" s="111" t="s">
        <v>203</v>
      </c>
      <c r="C78" s="111">
        <v>2.2000000000000002</v>
      </c>
      <c r="D78" s="111"/>
    </row>
    <row r="79" spans="2:4">
      <c r="B79" s="111"/>
      <c r="C79" s="111"/>
      <c r="D79" s="111"/>
    </row>
    <row r="80" spans="2:4">
      <c r="B80" s="111"/>
      <c r="C80" s="112" t="str">
        <f>H3</f>
        <v>Duplo</v>
      </c>
      <c r="D80" s="112" t="str">
        <f>I3</f>
        <v>ROY</v>
      </c>
    </row>
    <row r="81" spans="2:4">
      <c r="B81" s="111" t="s">
        <v>182</v>
      </c>
      <c r="C81" s="111">
        <f>C88-$C95</f>
        <v>9</v>
      </c>
      <c r="D81" s="111">
        <f>D88-$C95</f>
        <v>19</v>
      </c>
    </row>
    <row r="82" spans="2:4">
      <c r="B82" s="111" t="s">
        <v>183</v>
      </c>
      <c r="C82" s="111">
        <f>MAX(C89-C88,0)</f>
        <v>14.25</v>
      </c>
      <c r="D82" s="111">
        <f>MAX(D89-D88,0)</f>
        <v>6.5</v>
      </c>
    </row>
    <row r="83" spans="2:4">
      <c r="B83" s="111" t="s">
        <v>184</v>
      </c>
      <c r="C83" s="111">
        <f t="shared" ref="C83:D85" si="3">MAX(C90-C89,0)</f>
        <v>11.25</v>
      </c>
      <c r="D83" s="111">
        <f t="shared" si="3"/>
        <v>8.5</v>
      </c>
    </row>
    <row r="84" spans="2:4">
      <c r="B84" s="111" t="s">
        <v>185</v>
      </c>
      <c r="C84" s="111">
        <f t="shared" si="3"/>
        <v>11.5</v>
      </c>
      <c r="D84" s="111">
        <f t="shared" si="3"/>
        <v>12.75</v>
      </c>
    </row>
    <row r="85" spans="2:4">
      <c r="B85" s="111" t="s">
        <v>186</v>
      </c>
      <c r="C85" s="111">
        <f t="shared" si="3"/>
        <v>39</v>
      </c>
      <c r="D85" s="111">
        <f t="shared" si="3"/>
        <v>17.25</v>
      </c>
    </row>
    <row r="86" spans="2:4">
      <c r="B86" s="111" t="s">
        <v>180</v>
      </c>
      <c r="C86" s="111">
        <f>C93-$C95</f>
        <v>36.46153846153846</v>
      </c>
      <c r="D86" s="111">
        <f>D93-$C95</f>
        <v>36.92307692307692</v>
      </c>
    </row>
    <row r="87" spans="2:4">
      <c r="B87" s="111"/>
      <c r="C87" s="111"/>
      <c r="D87" s="111"/>
    </row>
    <row r="88" spans="2:4">
      <c r="B88" s="111" t="s">
        <v>182</v>
      </c>
      <c r="C88" s="111">
        <f t="array" ref="C88">MIN(IF(ISBLANK(H4:H29),"",IF(H4:H29&gt;=C89-$C78*(C91-C89),H4:H29,"")))</f>
        <v>9</v>
      </c>
      <c r="D88" s="111">
        <f t="array" ref="D88">MIN(IF(ISBLANK(I4:I29),"",IF(I4:I29&gt;=D89-$C78*(D91-D89),I4:I29,"")))</f>
        <v>19</v>
      </c>
    </row>
    <row r="89" spans="2:4">
      <c r="B89" s="111" t="s">
        <v>206</v>
      </c>
      <c r="C89" s="111">
        <f>_xlfn.QUARTILE.INC(H4:H29,1)</f>
        <v>23.25</v>
      </c>
      <c r="D89" s="111">
        <f>_xlfn.QUARTILE.INC(I4:I29,1)</f>
        <v>25.5</v>
      </c>
    </row>
    <row r="90" spans="2:4">
      <c r="B90" s="111" t="s">
        <v>181</v>
      </c>
      <c r="C90" s="111">
        <f>MEDIAN(H4:H29)</f>
        <v>34.5</v>
      </c>
      <c r="D90" s="111">
        <f>MEDIAN(I4:I29)</f>
        <v>34</v>
      </c>
    </row>
    <row r="91" spans="2:4">
      <c r="B91" s="111" t="s">
        <v>207</v>
      </c>
      <c r="C91" s="111">
        <f>_xlfn.QUARTILE.INC(H4:H29,3)</f>
        <v>46</v>
      </c>
      <c r="D91" s="111">
        <f>_xlfn.QUARTILE.INC(I4:I29,3)</f>
        <v>46.75</v>
      </c>
    </row>
    <row r="92" spans="2:4">
      <c r="B92" s="111" t="s">
        <v>208</v>
      </c>
      <c r="C92" s="111">
        <f t="array" ref="C92">MAX(IF(ISBLANK(H4:H29),"",IF(H4:H29&lt;=C91+$C78*(C91-C89),H4:H29,"")))</f>
        <v>85</v>
      </c>
      <c r="D92" s="111">
        <f t="array" ref="D92">MAX(IF(ISBLANK(I4:I29),"",IF(I4:I29&lt;=D91+$C78*(D91-D89),I4:I29,"")))</f>
        <v>64</v>
      </c>
    </row>
    <row r="93" spans="2:4">
      <c r="B93" s="111" t="s">
        <v>180</v>
      </c>
      <c r="C93" s="111">
        <f>AVERAGE(H4:H29)</f>
        <v>36.46153846153846</v>
      </c>
      <c r="D93" s="111">
        <f>AVERAGE(I4:I29)</f>
        <v>36.92307692307692</v>
      </c>
    </row>
    <row r="94" spans="2:4">
      <c r="B94" s="111"/>
      <c r="C94" s="111"/>
      <c r="D94" s="111"/>
    </row>
    <row r="95" spans="2:4">
      <c r="B95" s="111" t="s">
        <v>204</v>
      </c>
      <c r="C95" s="111">
        <f>IF(MIN(C88:D88)&gt;=0,0,MIN(C88:D88))</f>
        <v>0</v>
      </c>
      <c r="D95" s="111"/>
    </row>
    <row r="96" spans="2:4">
      <c r="B96" s="111"/>
      <c r="C96" s="111"/>
      <c r="D96" s="111"/>
    </row>
    <row r="97" spans="2:4">
      <c r="B97" s="111" t="s">
        <v>205</v>
      </c>
      <c r="C97" s="111" t="s">
        <v>155</v>
      </c>
      <c r="D97" s="111" t="s">
        <v>155</v>
      </c>
    </row>
  </sheetData>
  <mergeCells count="7">
    <mergeCell ref="B77:D77"/>
    <mergeCell ref="B55:D55"/>
    <mergeCell ref="B2:C2"/>
    <mergeCell ref="D2:E2"/>
    <mergeCell ref="F2:G2"/>
    <mergeCell ref="H2:I2"/>
    <mergeCell ref="B33:D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A2:P106"/>
  <sheetViews>
    <sheetView topLeftCell="A34" zoomScale="85" zoomScaleNormal="85" workbookViewId="0">
      <selection activeCell="C64" sqref="C64"/>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7" width="17.59765625" customWidth="1"/>
    <col min="8" max="8" width="23.33203125" customWidth="1"/>
    <col min="9" max="12" width="17.59765625" customWidth="1"/>
    <col min="13" max="14" width="17.59765625" style="99" customWidth="1"/>
    <col min="15" max="16" width="17.59765625" customWidth="1"/>
  </cols>
  <sheetData>
    <row r="2" spans="2:16" ht="39.75" customHeight="1">
      <c r="B2" s="139" t="s">
        <v>24</v>
      </c>
      <c r="C2" s="139"/>
      <c r="D2" s="139" t="s">
        <v>210</v>
      </c>
      <c r="E2" s="139"/>
      <c r="F2" s="138" t="s">
        <v>211</v>
      </c>
      <c r="G2" s="138"/>
      <c r="M2"/>
      <c r="N2"/>
    </row>
    <row r="3" spans="2:16">
      <c r="B3" s="109" t="s">
        <v>153</v>
      </c>
      <c r="C3" s="109" t="s">
        <v>226</v>
      </c>
      <c r="D3" s="109" t="s">
        <v>153</v>
      </c>
      <c r="E3" s="109" t="s">
        <v>226</v>
      </c>
      <c r="F3" s="109" t="s">
        <v>153</v>
      </c>
      <c r="G3" s="109" t="s">
        <v>226</v>
      </c>
      <c r="H3" s="124"/>
      <c r="M3"/>
      <c r="N3"/>
    </row>
    <row r="4" spans="2:16">
      <c r="B4" s="125">
        <v>10</v>
      </c>
      <c r="C4" s="125">
        <v>9</v>
      </c>
      <c r="D4" s="125">
        <v>9</v>
      </c>
      <c r="E4" s="125">
        <v>11</v>
      </c>
      <c r="F4" s="125">
        <v>5</v>
      </c>
      <c r="G4" s="125">
        <v>7</v>
      </c>
      <c r="M4"/>
      <c r="N4"/>
    </row>
    <row r="5" spans="2:16">
      <c r="B5" s="125">
        <v>4</v>
      </c>
      <c r="C5" s="125">
        <v>12</v>
      </c>
      <c r="D5" s="125">
        <v>10</v>
      </c>
      <c r="E5" s="125">
        <v>12</v>
      </c>
      <c r="F5" s="125">
        <v>1</v>
      </c>
      <c r="G5" s="125">
        <v>1</v>
      </c>
      <c r="M5"/>
      <c r="N5"/>
      <c r="O5" s="21"/>
      <c r="P5" s="21"/>
    </row>
    <row r="6" spans="2:16">
      <c r="B6" s="125">
        <v>14</v>
      </c>
      <c r="C6" s="125">
        <v>21</v>
      </c>
      <c r="D6" s="125">
        <v>27</v>
      </c>
      <c r="E6" s="125">
        <v>8</v>
      </c>
      <c r="F6" s="125">
        <v>6</v>
      </c>
      <c r="G6" s="125">
        <v>0</v>
      </c>
      <c r="M6"/>
      <c r="N6"/>
      <c r="O6" s="21"/>
      <c r="P6" s="21"/>
    </row>
    <row r="7" spans="2:16">
      <c r="B7" s="125">
        <v>4</v>
      </c>
      <c r="C7" s="125">
        <v>19</v>
      </c>
      <c r="D7" s="125">
        <v>1</v>
      </c>
      <c r="E7" s="125">
        <v>20</v>
      </c>
      <c r="F7" s="125">
        <v>0</v>
      </c>
      <c r="G7" s="125">
        <v>1</v>
      </c>
      <c r="M7"/>
      <c r="N7"/>
      <c r="O7" s="21"/>
      <c r="P7" s="21"/>
    </row>
    <row r="8" spans="2:16">
      <c r="B8" s="125">
        <v>2</v>
      </c>
      <c r="C8" s="125">
        <v>12</v>
      </c>
      <c r="D8" s="125">
        <v>8</v>
      </c>
      <c r="E8" s="125">
        <v>16</v>
      </c>
      <c r="F8" s="125">
        <v>0</v>
      </c>
      <c r="G8" s="125">
        <v>3</v>
      </c>
      <c r="M8"/>
      <c r="N8"/>
      <c r="O8" s="21"/>
      <c r="P8" s="21"/>
    </row>
    <row r="9" spans="2:16">
      <c r="B9" s="125">
        <v>8</v>
      </c>
      <c r="C9" s="125">
        <v>6</v>
      </c>
      <c r="D9" s="125">
        <v>21</v>
      </c>
      <c r="E9" s="125">
        <v>7</v>
      </c>
      <c r="F9" s="125">
        <v>7</v>
      </c>
      <c r="G9" s="125">
        <v>0</v>
      </c>
      <c r="M9"/>
      <c r="N9"/>
      <c r="O9" s="21"/>
      <c r="P9" s="21"/>
    </row>
    <row r="10" spans="2:16">
      <c r="B10" s="125">
        <v>6</v>
      </c>
      <c r="C10" s="125">
        <v>4</v>
      </c>
      <c r="D10" s="125">
        <v>6</v>
      </c>
      <c r="E10" s="125">
        <v>14</v>
      </c>
      <c r="F10" s="125">
        <v>0</v>
      </c>
      <c r="G10" s="125">
        <v>3</v>
      </c>
      <c r="M10"/>
      <c r="N10"/>
      <c r="O10" s="21"/>
      <c r="P10" s="21"/>
    </row>
    <row r="11" spans="2:16">
      <c r="B11" s="125">
        <v>6</v>
      </c>
      <c r="C11" s="125">
        <v>5</v>
      </c>
      <c r="D11" s="125">
        <v>17</v>
      </c>
      <c r="E11" s="125">
        <v>15</v>
      </c>
      <c r="F11" s="125">
        <v>0</v>
      </c>
      <c r="G11" s="125">
        <v>3</v>
      </c>
      <c r="M11"/>
      <c r="N11"/>
      <c r="O11" s="21"/>
      <c r="P11" s="21"/>
    </row>
    <row r="12" spans="2:16">
      <c r="B12" s="125">
        <v>7</v>
      </c>
      <c r="C12" s="125">
        <v>9</v>
      </c>
      <c r="D12" s="125">
        <v>19</v>
      </c>
      <c r="E12" s="125">
        <v>10</v>
      </c>
      <c r="F12" s="125">
        <v>0</v>
      </c>
      <c r="G12" s="125">
        <v>9</v>
      </c>
      <c r="M12"/>
      <c r="N12"/>
      <c r="O12" s="21"/>
      <c r="P12" s="21"/>
    </row>
    <row r="13" spans="2:16">
      <c r="B13" s="125">
        <v>3</v>
      </c>
      <c r="C13" s="125">
        <v>2</v>
      </c>
      <c r="D13" s="125">
        <v>11</v>
      </c>
      <c r="E13" s="125">
        <v>7</v>
      </c>
      <c r="F13" s="125">
        <v>0</v>
      </c>
      <c r="G13" s="125">
        <v>4</v>
      </c>
      <c r="M13"/>
      <c r="N13"/>
      <c r="O13" s="21"/>
      <c r="P13" s="21"/>
    </row>
    <row r="14" spans="2:16">
      <c r="B14" s="125">
        <v>15</v>
      </c>
      <c r="C14" s="125">
        <v>9</v>
      </c>
      <c r="D14" s="125">
        <v>10</v>
      </c>
      <c r="E14" s="125">
        <v>24</v>
      </c>
      <c r="F14" s="125">
        <v>4</v>
      </c>
      <c r="G14" s="125">
        <v>0</v>
      </c>
      <c r="M14"/>
      <c r="N14"/>
      <c r="O14" s="21"/>
      <c r="P14" s="21"/>
    </row>
    <row r="15" spans="2:16" ht="15.75">
      <c r="B15" s="125">
        <v>12</v>
      </c>
      <c r="C15" s="126">
        <v>9</v>
      </c>
      <c r="D15" s="125">
        <v>5</v>
      </c>
      <c r="E15" s="126">
        <v>33</v>
      </c>
      <c r="F15" s="125">
        <v>8</v>
      </c>
      <c r="G15" s="125">
        <v>1</v>
      </c>
      <c r="M15"/>
      <c r="N15"/>
      <c r="O15" s="21"/>
      <c r="P15" s="21"/>
    </row>
    <row r="16" spans="2:16">
      <c r="B16" s="125">
        <v>0</v>
      </c>
      <c r="C16" s="125">
        <v>2</v>
      </c>
      <c r="D16" s="125">
        <v>4</v>
      </c>
      <c r="E16" s="125">
        <v>21</v>
      </c>
      <c r="F16" s="125">
        <v>0</v>
      </c>
      <c r="G16" s="125">
        <v>4</v>
      </c>
      <c r="M16"/>
      <c r="N16"/>
      <c r="O16" s="21"/>
      <c r="P16" s="21"/>
    </row>
    <row r="17" spans="1:16">
      <c r="B17" s="125">
        <v>7</v>
      </c>
      <c r="C17" s="125">
        <v>7</v>
      </c>
      <c r="D17" s="125">
        <v>4</v>
      </c>
      <c r="E17" s="125">
        <v>12</v>
      </c>
      <c r="F17" s="125">
        <v>1</v>
      </c>
      <c r="G17" s="125">
        <v>0</v>
      </c>
      <c r="M17"/>
      <c r="N17"/>
      <c r="O17" s="21"/>
      <c r="P17" s="21"/>
    </row>
    <row r="18" spans="1:16">
      <c r="B18" s="125">
        <v>4</v>
      </c>
      <c r="C18" s="125">
        <v>9</v>
      </c>
      <c r="D18" s="125">
        <v>2</v>
      </c>
      <c r="E18" s="125">
        <v>19</v>
      </c>
      <c r="F18" s="125">
        <v>0</v>
      </c>
      <c r="G18" s="125">
        <v>0</v>
      </c>
      <c r="M18"/>
      <c r="N18"/>
      <c r="O18" s="21"/>
      <c r="P18" s="21"/>
    </row>
    <row r="19" spans="1:16">
      <c r="B19" s="125">
        <v>2</v>
      </c>
      <c r="C19" s="125">
        <v>11</v>
      </c>
      <c r="D19" s="125">
        <v>12</v>
      </c>
      <c r="E19" s="125">
        <v>25</v>
      </c>
      <c r="F19" s="125">
        <v>0</v>
      </c>
      <c r="G19" s="125">
        <v>1</v>
      </c>
      <c r="M19"/>
      <c r="N19"/>
      <c r="O19" s="21"/>
      <c r="P19" s="21"/>
    </row>
    <row r="20" spans="1:16">
      <c r="B20" s="125">
        <v>1</v>
      </c>
      <c r="C20" s="125">
        <v>2</v>
      </c>
      <c r="D20" s="125">
        <v>2</v>
      </c>
      <c r="E20" s="125">
        <v>15</v>
      </c>
      <c r="F20" s="125">
        <v>3</v>
      </c>
      <c r="G20" s="125">
        <v>1</v>
      </c>
      <c r="M20"/>
      <c r="N20"/>
      <c r="O20" s="21"/>
      <c r="P20" s="21"/>
    </row>
    <row r="21" spans="1:16">
      <c r="B21" s="125">
        <v>3</v>
      </c>
      <c r="C21" s="125">
        <v>1</v>
      </c>
      <c r="D21" s="125">
        <v>8</v>
      </c>
      <c r="E21" s="125">
        <v>14</v>
      </c>
      <c r="F21" s="125">
        <v>0</v>
      </c>
      <c r="G21" s="125">
        <v>0</v>
      </c>
      <c r="M21"/>
      <c r="N21"/>
      <c r="O21" s="21"/>
      <c r="P21" s="21"/>
    </row>
    <row r="22" spans="1:16">
      <c r="B22" s="125">
        <v>2</v>
      </c>
      <c r="C22" s="125">
        <v>2</v>
      </c>
      <c r="D22" s="125">
        <v>37</v>
      </c>
      <c r="E22" s="125">
        <v>16</v>
      </c>
      <c r="F22" s="125">
        <v>8</v>
      </c>
      <c r="G22" s="125">
        <v>0</v>
      </c>
      <c r="M22"/>
      <c r="N22"/>
      <c r="O22" s="21"/>
      <c r="P22" s="21"/>
    </row>
    <row r="23" spans="1:16">
      <c r="B23" s="125">
        <v>3</v>
      </c>
      <c r="C23" s="125">
        <v>4</v>
      </c>
      <c r="D23" s="125">
        <v>23</v>
      </c>
      <c r="E23" s="125">
        <v>11</v>
      </c>
      <c r="F23" s="125">
        <v>7</v>
      </c>
      <c r="G23" s="125">
        <v>0</v>
      </c>
      <c r="M23"/>
      <c r="N23"/>
      <c r="O23" s="21"/>
      <c r="P23" s="21"/>
    </row>
    <row r="24" spans="1:16">
      <c r="B24" s="125">
        <v>0</v>
      </c>
      <c r="C24" s="125">
        <v>1</v>
      </c>
      <c r="D24" s="125">
        <v>6</v>
      </c>
      <c r="E24" s="125">
        <v>8</v>
      </c>
      <c r="F24" s="125">
        <v>0</v>
      </c>
      <c r="G24" s="125">
        <v>2</v>
      </c>
      <c r="M24"/>
      <c r="N24"/>
      <c r="O24" s="21"/>
      <c r="P24" s="21"/>
    </row>
    <row r="25" spans="1:16">
      <c r="B25" s="127">
        <v>2</v>
      </c>
      <c r="C25" s="125">
        <v>3</v>
      </c>
      <c r="D25" s="127">
        <v>11</v>
      </c>
      <c r="E25" s="125">
        <v>19</v>
      </c>
      <c r="F25" s="127">
        <v>1</v>
      </c>
      <c r="G25" s="125">
        <v>0</v>
      </c>
      <c r="M25"/>
      <c r="N25"/>
      <c r="O25" s="21"/>
      <c r="P25" s="21"/>
    </row>
    <row r="26" spans="1:16">
      <c r="B26" s="125">
        <v>1</v>
      </c>
      <c r="C26" s="125">
        <v>6</v>
      </c>
      <c r="D26" s="125">
        <v>9</v>
      </c>
      <c r="E26" s="125">
        <v>15</v>
      </c>
      <c r="F26" s="125">
        <v>7</v>
      </c>
      <c r="G26" s="125">
        <v>0</v>
      </c>
      <c r="M26"/>
      <c r="N26"/>
      <c r="O26" s="21"/>
      <c r="P26" s="21"/>
    </row>
    <row r="27" spans="1:16">
      <c r="B27" s="125">
        <v>1</v>
      </c>
      <c r="C27" s="125">
        <v>4</v>
      </c>
      <c r="D27" s="125">
        <v>4</v>
      </c>
      <c r="E27" s="125">
        <v>18</v>
      </c>
      <c r="F27" s="125">
        <v>0</v>
      </c>
      <c r="G27" s="125">
        <v>7</v>
      </c>
      <c r="M27"/>
      <c r="N27"/>
      <c r="O27" s="21"/>
      <c r="P27" s="21"/>
    </row>
    <row r="28" spans="1:16">
      <c r="B28" s="125">
        <v>1</v>
      </c>
      <c r="C28" s="125">
        <v>4</v>
      </c>
      <c r="D28" s="125">
        <v>2</v>
      </c>
      <c r="E28" s="125">
        <v>8</v>
      </c>
      <c r="F28" s="125">
        <v>0</v>
      </c>
      <c r="G28" s="125">
        <v>2</v>
      </c>
      <c r="M28"/>
      <c r="N28"/>
      <c r="O28" s="21"/>
      <c r="P28" s="21"/>
    </row>
    <row r="29" spans="1:16" s="121" customFormat="1">
      <c r="A29"/>
      <c r="B29" s="125">
        <v>0</v>
      </c>
      <c r="C29" s="125">
        <v>3</v>
      </c>
      <c r="D29" s="125">
        <v>1</v>
      </c>
      <c r="E29" s="125">
        <v>8</v>
      </c>
      <c r="F29" s="125">
        <v>0</v>
      </c>
      <c r="G29" s="125">
        <v>3</v>
      </c>
      <c r="H29"/>
      <c r="I29"/>
      <c r="J29"/>
      <c r="K29"/>
      <c r="O29" s="21"/>
      <c r="P29" s="21"/>
    </row>
    <row r="30" spans="1:16">
      <c r="B30"/>
      <c r="D30"/>
      <c r="F30"/>
      <c r="M30"/>
      <c r="N30"/>
    </row>
    <row r="31" spans="1:16" s="105" customFormat="1">
      <c r="A31"/>
      <c r="B31" s="139" t="s">
        <v>24</v>
      </c>
      <c r="C31" s="139"/>
      <c r="D31" s="139"/>
      <c r="E31"/>
      <c r="F31"/>
      <c r="G31"/>
      <c r="H31"/>
      <c r="I31"/>
      <c r="J31"/>
      <c r="K31"/>
    </row>
    <row r="32" spans="1:16" s="105" customFormat="1">
      <c r="A32"/>
      <c r="B32" s="111" t="s">
        <v>203</v>
      </c>
      <c r="C32" s="111">
        <v>2.2000000000000002</v>
      </c>
      <c r="D32" s="111"/>
      <c r="E32"/>
      <c r="F32"/>
      <c r="G32"/>
      <c r="H32"/>
      <c r="I32"/>
      <c r="J32"/>
      <c r="K32"/>
      <c r="L32"/>
      <c r="M32"/>
      <c r="N32"/>
      <c r="O32"/>
      <c r="P32"/>
    </row>
    <row r="33" spans="2:14">
      <c r="B33" s="111"/>
      <c r="C33" s="111"/>
      <c r="D33" s="111"/>
      <c r="F33"/>
      <c r="M33"/>
      <c r="N33"/>
    </row>
    <row r="34" spans="2:14">
      <c r="B34" s="111"/>
      <c r="C34" s="112" t="str">
        <f>B3</f>
        <v>Duplo</v>
      </c>
      <c r="D34" s="112" t="str">
        <f>C3</f>
        <v>ROY</v>
      </c>
      <c r="F34"/>
      <c r="M34"/>
      <c r="N34"/>
    </row>
    <row r="35" spans="2:14">
      <c r="B35" s="111" t="s">
        <v>182</v>
      </c>
      <c r="C35" s="111">
        <f>C42-$C49</f>
        <v>0</v>
      </c>
      <c r="D35" s="111">
        <f>D42-$C49</f>
        <v>1</v>
      </c>
      <c r="F35"/>
      <c r="M35"/>
      <c r="N35"/>
    </row>
    <row r="36" spans="2:14">
      <c r="B36" s="111" t="s">
        <v>183</v>
      </c>
      <c r="C36" s="111">
        <f>MAX(C43-C42,0)</f>
        <v>1.25</v>
      </c>
      <c r="D36" s="111">
        <f>MAX(D43-D42,0)</f>
        <v>2</v>
      </c>
      <c r="F36"/>
      <c r="M36"/>
      <c r="N36"/>
    </row>
    <row r="37" spans="2:14">
      <c r="B37" s="111" t="s">
        <v>184</v>
      </c>
      <c r="C37" s="111">
        <f t="shared" ref="C37:D39" si="0">MAX(C44-C43,0)</f>
        <v>1.75</v>
      </c>
      <c r="D37" s="111">
        <f t="shared" si="0"/>
        <v>2.5</v>
      </c>
      <c r="F37"/>
      <c r="M37"/>
      <c r="N37"/>
    </row>
    <row r="38" spans="2:14">
      <c r="B38" s="111" t="s">
        <v>185</v>
      </c>
      <c r="C38" s="111">
        <f t="shared" si="0"/>
        <v>3.75</v>
      </c>
      <c r="D38" s="111">
        <f t="shared" si="0"/>
        <v>3.5</v>
      </c>
      <c r="F38"/>
      <c r="M38"/>
      <c r="N38"/>
    </row>
    <row r="39" spans="2:14">
      <c r="B39" s="111" t="s">
        <v>186</v>
      </c>
      <c r="C39" s="111">
        <f t="shared" si="0"/>
        <v>8.25</v>
      </c>
      <c r="D39" s="111">
        <f t="shared" si="0"/>
        <v>12</v>
      </c>
      <c r="F39"/>
      <c r="M39"/>
      <c r="N39"/>
    </row>
    <row r="40" spans="2:14">
      <c r="B40" s="111" t="s">
        <v>180</v>
      </c>
      <c r="C40" s="111">
        <f>C47-$C49</f>
        <v>4.5384615384615383</v>
      </c>
      <c r="D40" s="111">
        <f>D47-$C49</f>
        <v>6.7692307692307692</v>
      </c>
      <c r="F40"/>
      <c r="M40"/>
      <c r="N40"/>
    </row>
    <row r="41" spans="2:14">
      <c r="B41" s="111"/>
      <c r="C41" s="111"/>
      <c r="D41" s="111"/>
      <c r="F41"/>
      <c r="M41"/>
      <c r="N41"/>
    </row>
    <row r="42" spans="2:14">
      <c r="B42" s="111" t="s">
        <v>182</v>
      </c>
      <c r="C42" s="111">
        <f t="array" ref="C42">MIN(IF(ISBLANK(B4:B29),"",IF(B4:B29&gt;=C43-$C32*(C45-C43),B4:B29,"")))</f>
        <v>0</v>
      </c>
      <c r="D42" s="111">
        <f t="array" ref="D42">MIN(IF(ISBLANK(C4:C29),"",IF(C4:C29&gt;=D43-$C32*(D45-D43),C4:C29,"")))</f>
        <v>1</v>
      </c>
      <c r="F42"/>
      <c r="M42"/>
      <c r="N42"/>
    </row>
    <row r="43" spans="2:14">
      <c r="B43" s="111" t="s">
        <v>206</v>
      </c>
      <c r="C43" s="111">
        <f>_xlfn.QUARTILE.INC(B4:B29,1)</f>
        <v>1.25</v>
      </c>
      <c r="D43" s="111">
        <f>_xlfn.QUARTILE.INC(C4:C29,1)</f>
        <v>3</v>
      </c>
      <c r="F43"/>
      <c r="M43"/>
      <c r="N43"/>
    </row>
    <row r="44" spans="2:14">
      <c r="B44" s="111" t="s">
        <v>181</v>
      </c>
      <c r="C44" s="111">
        <f>MEDIAN(B4:B29)</f>
        <v>3</v>
      </c>
      <c r="D44" s="111">
        <f>MEDIAN(C4:C29)</f>
        <v>5.5</v>
      </c>
      <c r="F44"/>
      <c r="M44"/>
      <c r="N44"/>
    </row>
    <row r="45" spans="2:14">
      <c r="B45" s="111" t="s">
        <v>207</v>
      </c>
      <c r="C45" s="111">
        <f>_xlfn.QUARTILE.INC(B4:B29,3)</f>
        <v>6.75</v>
      </c>
      <c r="D45" s="111">
        <f>_xlfn.QUARTILE.INC(C4:C29,3)</f>
        <v>9</v>
      </c>
      <c r="F45"/>
      <c r="M45"/>
      <c r="N45"/>
    </row>
    <row r="46" spans="2:14">
      <c r="B46" s="111" t="s">
        <v>208</v>
      </c>
      <c r="C46" s="111">
        <f t="array" ref="C46">MAX(IF(ISBLANK(B4:B29),"",IF(B4:B29&lt;=C45+$C32*(C45-C43),B4:B29,"")))</f>
        <v>15</v>
      </c>
      <c r="D46" s="111">
        <f t="array" ref="D46">MAX(IF(ISBLANK(C4:C29),"",IF(C4:C29&lt;=D45+$C32*(D45-D43),C4:C29,"")))</f>
        <v>21</v>
      </c>
      <c r="F46"/>
      <c r="M46"/>
      <c r="N46"/>
    </row>
    <row r="47" spans="2:14">
      <c r="B47" s="111" t="s">
        <v>180</v>
      </c>
      <c r="C47" s="111">
        <f>AVERAGE(B4:B29)</f>
        <v>4.5384615384615383</v>
      </c>
      <c r="D47" s="111">
        <f>AVERAGE(C4:C29)</f>
        <v>6.7692307692307692</v>
      </c>
      <c r="F47"/>
      <c r="M47"/>
      <c r="N47"/>
    </row>
    <row r="48" spans="2:14">
      <c r="B48" s="111"/>
      <c r="C48" s="111"/>
      <c r="D48" s="111"/>
      <c r="F48"/>
      <c r="M48"/>
      <c r="N48"/>
    </row>
    <row r="49" spans="2:14">
      <c r="B49" s="111" t="s">
        <v>204</v>
      </c>
      <c r="C49" s="111">
        <f>IF(MIN(C42:D42)&gt;=0,0,MIN(C42:D42))</f>
        <v>0</v>
      </c>
      <c r="D49" s="111"/>
      <c r="F49"/>
      <c r="M49"/>
      <c r="N49"/>
    </row>
    <row r="50" spans="2:14">
      <c r="B50" s="111"/>
      <c r="C50" s="111"/>
      <c r="D50" s="111"/>
      <c r="F50"/>
      <c r="M50"/>
      <c r="N50"/>
    </row>
    <row r="51" spans="2:14">
      <c r="B51" s="111" t="s">
        <v>205</v>
      </c>
      <c r="C51" s="111" t="s">
        <v>155</v>
      </c>
      <c r="D51" s="111" t="s">
        <v>155</v>
      </c>
      <c r="F51"/>
      <c r="M51"/>
      <c r="N51"/>
    </row>
    <row r="52" spans="2:14">
      <c r="B52" s="128"/>
      <c r="C52" s="128"/>
      <c r="D52" s="128"/>
      <c r="F52"/>
      <c r="M52"/>
      <c r="N52"/>
    </row>
    <row r="53" spans="2:14">
      <c r="B53" s="139" t="s">
        <v>210</v>
      </c>
      <c r="C53" s="139"/>
      <c r="D53" s="139"/>
      <c r="F53"/>
      <c r="M53"/>
      <c r="N53"/>
    </row>
    <row r="54" spans="2:14">
      <c r="B54" s="111" t="s">
        <v>203</v>
      </c>
      <c r="C54" s="111">
        <v>2.2000000000000002</v>
      </c>
      <c r="D54" s="111"/>
      <c r="F54"/>
      <c r="M54"/>
      <c r="N54"/>
    </row>
    <row r="55" spans="2:14">
      <c r="B55" s="111"/>
      <c r="C55" s="111"/>
      <c r="D55" s="111"/>
      <c r="F55"/>
      <c r="M55"/>
      <c r="N55"/>
    </row>
    <row r="56" spans="2:14">
      <c r="B56" s="111"/>
      <c r="C56" s="112" t="str">
        <f>D3</f>
        <v>Duplo</v>
      </c>
      <c r="D56" s="112" t="str">
        <f>E3</f>
        <v>ROY</v>
      </c>
      <c r="F56"/>
      <c r="M56"/>
      <c r="N56"/>
    </row>
    <row r="57" spans="2:14">
      <c r="B57" s="111" t="s">
        <v>182</v>
      </c>
      <c r="C57" s="111">
        <f>C64-$C71</f>
        <v>1</v>
      </c>
      <c r="D57" s="111">
        <f>D64-$C71</f>
        <v>7</v>
      </c>
      <c r="F57"/>
      <c r="M57"/>
      <c r="N57"/>
    </row>
    <row r="58" spans="2:14">
      <c r="B58" s="111" t="s">
        <v>183</v>
      </c>
      <c r="C58" s="111">
        <f>MAX(C65-C64,0)</f>
        <v>3</v>
      </c>
      <c r="D58" s="111">
        <f>MAX(D65-D64,0)</f>
        <v>3.25</v>
      </c>
      <c r="F58"/>
      <c r="M58"/>
      <c r="N58"/>
    </row>
    <row r="59" spans="2:14">
      <c r="B59" s="111" t="s">
        <v>184</v>
      </c>
      <c r="C59" s="111">
        <f t="shared" ref="C59:D61" si="1">MAX(C66-C65,0)</f>
        <v>4.5</v>
      </c>
      <c r="D59" s="111">
        <f t="shared" si="1"/>
        <v>4.25</v>
      </c>
      <c r="F59"/>
      <c r="M59"/>
      <c r="N59"/>
    </row>
    <row r="60" spans="2:14">
      <c r="B60" s="111" t="s">
        <v>185</v>
      </c>
      <c r="C60" s="111">
        <f t="shared" si="1"/>
        <v>3.25</v>
      </c>
      <c r="D60" s="111">
        <f t="shared" si="1"/>
        <v>4.25</v>
      </c>
      <c r="F60"/>
      <c r="M60"/>
      <c r="N60"/>
    </row>
    <row r="61" spans="2:14">
      <c r="B61" s="111" t="s">
        <v>186</v>
      </c>
      <c r="C61" s="111">
        <f t="shared" si="1"/>
        <v>15.25</v>
      </c>
      <c r="D61" s="111">
        <f t="shared" si="1"/>
        <v>14.25</v>
      </c>
      <c r="F61"/>
      <c r="M61"/>
      <c r="N61"/>
    </row>
    <row r="62" spans="2:14">
      <c r="B62" s="111" t="s">
        <v>180</v>
      </c>
      <c r="C62" s="111">
        <f>C69-$C71</f>
        <v>10.346153846153847</v>
      </c>
      <c r="D62" s="111">
        <f>D69-$C71</f>
        <v>14.846153846153847</v>
      </c>
      <c r="F62"/>
      <c r="M62"/>
      <c r="N62"/>
    </row>
    <row r="63" spans="2:14">
      <c r="B63" s="111"/>
      <c r="C63" s="111"/>
      <c r="D63" s="111"/>
      <c r="F63"/>
      <c r="M63"/>
      <c r="N63"/>
    </row>
    <row r="64" spans="2:14">
      <c r="B64" s="111" t="s">
        <v>182</v>
      </c>
      <c r="C64" s="111">
        <f t="array" ref="C64">MIN(IF(ISBLANK(D4:D29),"",IF(D4:D29&gt;=C65-$C54*(C67-C65),D4:D29,"")))</f>
        <v>1</v>
      </c>
      <c r="D64" s="111">
        <f t="array" ref="D64">MIN(IF(ISBLANK(E4:E29),"",IF(E4:E29&gt;=D65-$C54*(D67-D65),E4:E29,"")))</f>
        <v>7</v>
      </c>
      <c r="F64"/>
      <c r="M64"/>
      <c r="N64"/>
    </row>
    <row r="65" spans="2:14">
      <c r="B65" s="111" t="s">
        <v>206</v>
      </c>
      <c r="C65" s="111">
        <f>_xlfn.QUARTILE.INC(D4:D29,1)</f>
        <v>4</v>
      </c>
      <c r="D65" s="111">
        <f>_xlfn.QUARTILE.INC(E4:E29,1)</f>
        <v>10.25</v>
      </c>
      <c r="F65"/>
      <c r="M65"/>
      <c r="N65"/>
    </row>
    <row r="66" spans="2:14">
      <c r="B66" s="111" t="s">
        <v>181</v>
      </c>
      <c r="C66" s="111">
        <f>MEDIAN(D4:D29)</f>
        <v>8.5</v>
      </c>
      <c r="D66" s="111">
        <f>MEDIAN(E4:E29)</f>
        <v>14.5</v>
      </c>
      <c r="F66"/>
      <c r="M66"/>
      <c r="N66"/>
    </row>
    <row r="67" spans="2:14">
      <c r="B67" s="111" t="s">
        <v>207</v>
      </c>
      <c r="C67" s="111">
        <f>_xlfn.QUARTILE.INC(D4:D29,3)</f>
        <v>11.75</v>
      </c>
      <c r="D67" s="111">
        <f>_xlfn.QUARTILE.INC(E4:E29,3)</f>
        <v>18.75</v>
      </c>
      <c r="F67"/>
      <c r="M67"/>
      <c r="N67"/>
    </row>
    <row r="68" spans="2:14">
      <c r="B68" s="111" t="s">
        <v>208</v>
      </c>
      <c r="C68" s="111">
        <f t="array" ref="C68">MAX(IF(ISBLANK(D4:D29),"",IF(D4:D29&lt;=C67+$C54*(C67-C65),D4:D29,"")))</f>
        <v>27</v>
      </c>
      <c r="D68" s="111">
        <f t="array" ref="D68">MAX(IF(ISBLANK(E4:E29),"",IF(E4:E29&lt;=D67+$C54*(D67-D65),E4:E29,"")))</f>
        <v>33</v>
      </c>
      <c r="F68"/>
      <c r="M68"/>
      <c r="N68"/>
    </row>
    <row r="69" spans="2:14">
      <c r="B69" s="111" t="s">
        <v>180</v>
      </c>
      <c r="C69" s="111">
        <f>AVERAGE(D4:D29)</f>
        <v>10.346153846153847</v>
      </c>
      <c r="D69" s="111">
        <f>AVERAGE(E4:E29)</f>
        <v>14.846153846153847</v>
      </c>
      <c r="F69"/>
      <c r="M69"/>
      <c r="N69"/>
    </row>
    <row r="70" spans="2:14">
      <c r="B70" s="111"/>
      <c r="C70" s="111"/>
      <c r="D70" s="111"/>
      <c r="F70"/>
      <c r="M70"/>
      <c r="N70"/>
    </row>
    <row r="71" spans="2:14">
      <c r="B71" s="111" t="s">
        <v>204</v>
      </c>
      <c r="C71" s="111">
        <f>IF(MIN(C64:D64)&gt;=0,0,MIN(C64:D64))</f>
        <v>0</v>
      </c>
      <c r="D71" s="111"/>
      <c r="F71"/>
      <c r="M71"/>
      <c r="N71"/>
    </row>
    <row r="72" spans="2:14">
      <c r="B72" s="111"/>
      <c r="C72" s="111"/>
      <c r="D72" s="111"/>
      <c r="F72"/>
      <c r="M72"/>
      <c r="N72"/>
    </row>
    <row r="73" spans="2:14">
      <c r="B73" s="111" t="s">
        <v>205</v>
      </c>
      <c r="C73" s="111">
        <f>D22</f>
        <v>37</v>
      </c>
      <c r="D73" s="111" t="s">
        <v>155</v>
      </c>
      <c r="F73"/>
      <c r="M73"/>
      <c r="N73"/>
    </row>
    <row r="74" spans="2:14">
      <c r="B74"/>
      <c r="D74"/>
      <c r="F74"/>
      <c r="M74"/>
      <c r="N74"/>
    </row>
    <row r="75" spans="2:14" ht="14.55" customHeight="1">
      <c r="B75" s="138" t="s">
        <v>211</v>
      </c>
      <c r="C75" s="138"/>
      <c r="D75" s="138"/>
      <c r="F75"/>
      <c r="M75"/>
      <c r="N75"/>
    </row>
    <row r="76" spans="2:14">
      <c r="B76" s="111" t="s">
        <v>203</v>
      </c>
      <c r="C76" s="111">
        <v>2.2000000000000002</v>
      </c>
      <c r="D76" s="111"/>
      <c r="F76"/>
      <c r="M76"/>
      <c r="N76"/>
    </row>
    <row r="77" spans="2:14">
      <c r="B77" s="111"/>
      <c r="C77" s="111"/>
      <c r="D77" s="111"/>
      <c r="F77"/>
      <c r="M77"/>
      <c r="N77"/>
    </row>
    <row r="78" spans="2:14">
      <c r="B78" s="111"/>
      <c r="C78" s="112" t="str">
        <f>F3</f>
        <v>Duplo</v>
      </c>
      <c r="D78" s="112" t="str">
        <f>G3</f>
        <v>ROY</v>
      </c>
      <c r="F78"/>
      <c r="M78"/>
      <c r="N78"/>
    </row>
    <row r="79" spans="2:14">
      <c r="B79" s="111" t="s">
        <v>182</v>
      </c>
      <c r="C79" s="111">
        <f>C86-$C93</f>
        <v>0</v>
      </c>
      <c r="D79" s="111">
        <f>D86-$C93</f>
        <v>0</v>
      </c>
      <c r="F79"/>
      <c r="M79"/>
      <c r="N79"/>
    </row>
    <row r="80" spans="2:14">
      <c r="B80" s="111" t="s">
        <v>183</v>
      </c>
      <c r="C80" s="111">
        <f>MAX(C87-C86,0)</f>
        <v>0</v>
      </c>
      <c r="D80" s="111">
        <f>MAX(D87-D86,0)</f>
        <v>0</v>
      </c>
      <c r="F80"/>
      <c r="M80"/>
      <c r="N80"/>
    </row>
    <row r="81" spans="2:14">
      <c r="B81" s="111" t="s">
        <v>184</v>
      </c>
      <c r="C81" s="111">
        <f t="shared" ref="C81:D83" si="2">MAX(C88-C87,0)</f>
        <v>0</v>
      </c>
      <c r="D81" s="111">
        <f t="shared" si="2"/>
        <v>1</v>
      </c>
      <c r="F81"/>
      <c r="M81"/>
      <c r="N81"/>
    </row>
    <row r="82" spans="2:14">
      <c r="B82" s="111" t="s">
        <v>185</v>
      </c>
      <c r="C82" s="111">
        <f t="shared" si="2"/>
        <v>4.75</v>
      </c>
      <c r="D82" s="111">
        <f t="shared" si="2"/>
        <v>2</v>
      </c>
      <c r="F82"/>
      <c r="M82"/>
      <c r="N82"/>
    </row>
    <row r="83" spans="2:14">
      <c r="B83" s="111" t="s">
        <v>186</v>
      </c>
      <c r="C83" s="111">
        <f t="shared" si="2"/>
        <v>3.25</v>
      </c>
      <c r="D83" s="111">
        <f t="shared" si="2"/>
        <v>6</v>
      </c>
      <c r="F83"/>
      <c r="M83"/>
      <c r="N83"/>
    </row>
    <row r="84" spans="2:14">
      <c r="B84" s="111" t="s">
        <v>180</v>
      </c>
      <c r="C84" s="111">
        <f>C91-$C93</f>
        <v>2.2307692307692308</v>
      </c>
      <c r="D84" s="111">
        <f>D91-$C93</f>
        <v>2</v>
      </c>
      <c r="F84"/>
      <c r="M84"/>
      <c r="N84"/>
    </row>
    <row r="85" spans="2:14">
      <c r="B85" s="111"/>
      <c r="C85" s="111"/>
      <c r="D85" s="111"/>
      <c r="F85"/>
      <c r="M85"/>
      <c r="N85"/>
    </row>
    <row r="86" spans="2:14">
      <c r="B86" s="111" t="s">
        <v>182</v>
      </c>
      <c r="C86" s="111">
        <f t="array" ref="C86">MIN(IF(ISBLANK(F4:F29),"",IF(F4:F29&gt;=C87-$C76*(C89-C87),F4:F29,"")))</f>
        <v>0</v>
      </c>
      <c r="D86" s="111">
        <f t="array" ref="D86">MIN(IF(ISBLANK(G4:G29),"",IF(G4:G29&gt;=D87-$C76*(D89-D87),G4:G29,"")))</f>
        <v>0</v>
      </c>
      <c r="F86"/>
      <c r="M86"/>
      <c r="N86"/>
    </row>
    <row r="87" spans="2:14">
      <c r="B87" s="111" t="s">
        <v>206</v>
      </c>
      <c r="C87" s="111">
        <f>_xlfn.QUARTILE.INC(F4:F29,1)</f>
        <v>0</v>
      </c>
      <c r="D87" s="111">
        <f>_xlfn.QUARTILE.INC(G4:G29,1)</f>
        <v>0</v>
      </c>
      <c r="F87"/>
      <c r="M87"/>
      <c r="N87"/>
    </row>
    <row r="88" spans="2:14">
      <c r="B88" s="111" t="s">
        <v>181</v>
      </c>
      <c r="C88" s="111">
        <f>MEDIAN(F4:F29)</f>
        <v>0</v>
      </c>
      <c r="D88" s="111">
        <f>MEDIAN(G4:G29)</f>
        <v>1</v>
      </c>
      <c r="F88"/>
      <c r="M88"/>
      <c r="N88"/>
    </row>
    <row r="89" spans="2:14">
      <c r="B89" s="111" t="s">
        <v>207</v>
      </c>
      <c r="C89" s="111">
        <f>_xlfn.QUARTILE.INC(F4:F29,3)</f>
        <v>4.75</v>
      </c>
      <c r="D89" s="111">
        <f>_xlfn.QUARTILE.INC(G4:G29,3)</f>
        <v>3</v>
      </c>
      <c r="F89"/>
      <c r="M89"/>
      <c r="N89"/>
    </row>
    <row r="90" spans="2:14">
      <c r="B90" s="111" t="s">
        <v>208</v>
      </c>
      <c r="C90" s="111">
        <f t="array" ref="C90">MAX(IF(ISBLANK(F4:F29),"",IF(F4:F29&lt;=C89+$C76*(C89-C87),F4:F29,"")))</f>
        <v>8</v>
      </c>
      <c r="D90" s="111">
        <f t="array" ref="D90">MAX(IF(ISBLANK(G4:G29),"",IF(G4:G29&lt;=D89+$C76*(D89-D87),G4:G29,"")))</f>
        <v>9</v>
      </c>
      <c r="F90"/>
      <c r="M90"/>
      <c r="N90"/>
    </row>
    <row r="91" spans="2:14">
      <c r="B91" s="111" t="s">
        <v>180</v>
      </c>
      <c r="C91" s="111">
        <f>AVERAGE(F4:F29)</f>
        <v>2.2307692307692308</v>
      </c>
      <c r="D91" s="111">
        <f>AVERAGE(G4:G29)</f>
        <v>2</v>
      </c>
      <c r="F91"/>
      <c r="M91"/>
      <c r="N91"/>
    </row>
    <row r="92" spans="2:14">
      <c r="B92" s="111"/>
      <c r="C92" s="111"/>
      <c r="D92" s="111"/>
      <c r="F92"/>
      <c r="M92"/>
      <c r="N92"/>
    </row>
    <row r="93" spans="2:14">
      <c r="B93" s="111" t="s">
        <v>204</v>
      </c>
      <c r="C93" s="111">
        <f>IF(MIN(C86:D86)&gt;=0,0,MIN(C86:D86))</f>
        <v>0</v>
      </c>
      <c r="D93" s="111"/>
      <c r="F93"/>
      <c r="M93"/>
      <c r="N93"/>
    </row>
    <row r="94" spans="2:14">
      <c r="B94" s="111"/>
      <c r="C94" s="111"/>
      <c r="D94" s="111"/>
      <c r="F94"/>
      <c r="M94"/>
      <c r="N94"/>
    </row>
    <row r="95" spans="2:14">
      <c r="B95" s="111" t="s">
        <v>205</v>
      </c>
      <c r="C95" s="111" t="s">
        <v>155</v>
      </c>
      <c r="D95" s="111" t="s">
        <v>155</v>
      </c>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row r="106" spans="2:14">
      <c r="B106"/>
      <c r="D106"/>
      <c r="F106"/>
      <c r="M106"/>
      <c r="N106"/>
    </row>
  </sheetData>
  <mergeCells count="6">
    <mergeCell ref="B75:D75"/>
    <mergeCell ref="B2:C2"/>
    <mergeCell ref="D2:E2"/>
    <mergeCell ref="F2:G2"/>
    <mergeCell ref="B31:D31"/>
    <mergeCell ref="B53:D53"/>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103"/>
  <sheetViews>
    <sheetView zoomScale="85" zoomScaleNormal="85" workbookViewId="0">
      <selection activeCell="U37" sqref="U37"/>
    </sheetView>
  </sheetViews>
  <sheetFormatPr defaultRowHeight="14.25"/>
  <cols>
    <col min="2" max="14" width="15.59765625" customWidth="1"/>
  </cols>
  <sheetData>
    <row r="2" spans="2:8">
      <c r="B2" s="146" t="s">
        <v>201</v>
      </c>
      <c r="C2" s="146"/>
      <c r="D2" s="146"/>
      <c r="E2" s="146"/>
      <c r="F2" s="146"/>
      <c r="G2" s="146"/>
      <c r="H2" s="146"/>
    </row>
    <row r="3" spans="2:8">
      <c r="B3" s="144" t="s">
        <v>226</v>
      </c>
      <c r="C3" s="145"/>
      <c r="D3" s="145"/>
      <c r="E3" s="145"/>
      <c r="F3" s="145"/>
      <c r="G3" s="145"/>
      <c r="H3" s="145"/>
    </row>
    <row r="4" spans="2:8">
      <c r="B4" s="93"/>
      <c r="C4" s="94" t="s">
        <v>190</v>
      </c>
      <c r="D4" s="94" t="s">
        <v>15</v>
      </c>
      <c r="E4" s="94" t="s">
        <v>191</v>
      </c>
      <c r="F4" s="94" t="s">
        <v>18</v>
      </c>
      <c r="G4" s="94" t="s">
        <v>192</v>
      </c>
      <c r="H4" s="94" t="s">
        <v>27</v>
      </c>
    </row>
    <row r="5" spans="2:8">
      <c r="B5" s="82" t="s">
        <v>188</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189</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45" t="s">
        <v>153</v>
      </c>
      <c r="C7" s="145"/>
      <c r="D7" s="145"/>
      <c r="E7" s="145"/>
      <c r="F7" s="145"/>
      <c r="G7" s="145"/>
      <c r="H7" s="145"/>
    </row>
    <row r="8" spans="2:8">
      <c r="B8" s="95"/>
      <c r="C8" s="95" t="s">
        <v>190</v>
      </c>
      <c r="D8" s="95" t="s">
        <v>15</v>
      </c>
      <c r="E8" s="95" t="s">
        <v>191</v>
      </c>
      <c r="F8" s="95" t="s">
        <v>18</v>
      </c>
      <c r="G8" s="95" t="s">
        <v>192</v>
      </c>
      <c r="H8" s="95" t="s">
        <v>27</v>
      </c>
    </row>
    <row r="9" spans="2:8">
      <c r="B9" s="82" t="s">
        <v>188</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189</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47" t="s">
        <v>200</v>
      </c>
      <c r="C12" s="147"/>
      <c r="D12" s="147"/>
      <c r="E12" s="147"/>
      <c r="F12" s="147"/>
      <c r="G12" s="147"/>
      <c r="H12" s="147"/>
    </row>
    <row r="13" spans="2:8">
      <c r="B13" s="144" t="s">
        <v>226</v>
      </c>
      <c r="C13" s="145"/>
      <c r="D13" s="145"/>
      <c r="E13" s="145"/>
      <c r="F13" s="145"/>
      <c r="G13" s="145"/>
      <c r="H13" s="145"/>
    </row>
    <row r="14" spans="2:8">
      <c r="B14" s="100"/>
      <c r="C14" s="101" t="s">
        <v>190</v>
      </c>
      <c r="D14" s="101" t="s">
        <v>15</v>
      </c>
      <c r="E14" s="101" t="s">
        <v>191</v>
      </c>
      <c r="F14" s="101" t="s">
        <v>18</v>
      </c>
      <c r="G14" s="101" t="s">
        <v>192</v>
      </c>
      <c r="H14" s="101" t="s">
        <v>27</v>
      </c>
    </row>
    <row r="15" spans="2:8">
      <c r="B15" s="98" t="s">
        <v>188</v>
      </c>
      <c r="C15" s="102">
        <v>23</v>
      </c>
      <c r="D15" s="103">
        <v>21</v>
      </c>
      <c r="E15" s="103">
        <v>22</v>
      </c>
      <c r="F15" s="103">
        <v>19</v>
      </c>
      <c r="G15" s="103">
        <v>15</v>
      </c>
      <c r="H15" s="103">
        <v>12</v>
      </c>
    </row>
    <row r="16" spans="2:8">
      <c r="B16" s="98" t="s">
        <v>189</v>
      </c>
      <c r="C16" s="103">
        <v>3</v>
      </c>
      <c r="D16" s="103">
        <v>5</v>
      </c>
      <c r="E16" s="103">
        <v>4</v>
      </c>
      <c r="F16" s="103">
        <v>7</v>
      </c>
      <c r="G16" s="103">
        <v>11</v>
      </c>
      <c r="H16" s="103">
        <v>14</v>
      </c>
    </row>
    <row r="17" spans="2:8">
      <c r="B17" s="143" t="s">
        <v>153</v>
      </c>
      <c r="C17" s="143"/>
      <c r="D17" s="143"/>
      <c r="E17" s="143"/>
      <c r="F17" s="143"/>
      <c r="G17" s="143"/>
      <c r="H17" s="143"/>
    </row>
    <row r="18" spans="2:8">
      <c r="B18" s="104"/>
      <c r="C18" s="104" t="s">
        <v>190</v>
      </c>
      <c r="D18" s="104" t="s">
        <v>15</v>
      </c>
      <c r="E18" s="104" t="s">
        <v>191</v>
      </c>
      <c r="F18" s="104" t="s">
        <v>18</v>
      </c>
      <c r="G18" s="104" t="s">
        <v>192</v>
      </c>
      <c r="H18" s="104" t="s">
        <v>27</v>
      </c>
    </row>
    <row r="19" spans="2:8">
      <c r="B19" s="98" t="s">
        <v>188</v>
      </c>
      <c r="C19" s="103">
        <v>26</v>
      </c>
      <c r="D19" s="103">
        <v>26</v>
      </c>
      <c r="E19" s="103">
        <v>26</v>
      </c>
      <c r="F19" s="103">
        <v>25</v>
      </c>
      <c r="G19" s="103">
        <v>22</v>
      </c>
      <c r="H19" s="103">
        <v>22</v>
      </c>
    </row>
    <row r="20" spans="2:8">
      <c r="B20" s="98" t="s">
        <v>189</v>
      </c>
      <c r="C20" s="103">
        <v>0</v>
      </c>
      <c r="D20" s="103">
        <v>0</v>
      </c>
      <c r="E20" s="103">
        <f xml:space="preserve"> 0 / 26</f>
        <v>0</v>
      </c>
      <c r="F20" s="103">
        <v>1</v>
      </c>
      <c r="G20" s="103">
        <v>4</v>
      </c>
      <c r="H20" s="103">
        <v>4</v>
      </c>
    </row>
    <row r="21" spans="2:8">
      <c r="G21" s="110"/>
    </row>
    <row r="22" spans="2:8">
      <c r="B22" s="142" t="s">
        <v>187</v>
      </c>
      <c r="C22" s="142"/>
    </row>
    <row r="23" spans="2:8">
      <c r="B23" s="109" t="s">
        <v>153</v>
      </c>
      <c r="C23" s="115" t="s">
        <v>226</v>
      </c>
      <c r="E23" t="s">
        <v>212</v>
      </c>
    </row>
    <row r="24" spans="2:8">
      <c r="B24" s="89">
        <f>'Duplo (Raw)'!AM21 * 1440</f>
        <v>28.00000000000006</v>
      </c>
      <c r="C24" s="89">
        <f>'ROY (Raw)'!AM9 * 1440</f>
        <v>34.999999999999957</v>
      </c>
    </row>
    <row r="25" spans="2:8">
      <c r="B25" s="89">
        <f>'Duplo (Raw)'!AM19 * 1440</f>
        <v>31.00000000000005</v>
      </c>
      <c r="C25" s="89">
        <f>'ROY (Raw)'!AM23 * 1440</f>
        <v>57.000000000000036</v>
      </c>
      <c r="E25" s="114"/>
      <c r="F25" s="114" t="str">
        <f>B23</f>
        <v>Duplo</v>
      </c>
      <c r="G25" s="114" t="str">
        <f>C23</f>
        <v>ROY</v>
      </c>
    </row>
    <row r="26" spans="2:8">
      <c r="B26" s="89">
        <f>'Duplo (Raw)'!AM28 * 1440</f>
        <v>32.000000000000043</v>
      </c>
      <c r="C26" s="89">
        <f>'ROY (Raw)'!AM21 * 1440</f>
        <v>70.000000000000071</v>
      </c>
      <c r="E26" t="s">
        <v>180</v>
      </c>
      <c r="F26" s="89">
        <f>AVERAGE(B24:B49)</f>
        <v>66.961538461538481</v>
      </c>
      <c r="G26" s="89">
        <f>AVERAGE(C24:C49)</f>
        <v>92.692307692307708</v>
      </c>
    </row>
    <row r="27" spans="2:8">
      <c r="B27" s="89">
        <f>'Duplo (Raw)'!AM10 * 1440</f>
        <v>34.000000000000043</v>
      </c>
      <c r="C27" s="89">
        <f>'ROY (Raw)'!AM17 * 1440</f>
        <v>74.000000000000057</v>
      </c>
      <c r="E27" t="s">
        <v>213</v>
      </c>
      <c r="F27">
        <f>_xlfn.STDEV.S(B24:B49)/SQRT(COUNT(B24:B49))</f>
        <v>5.3626861148927851</v>
      </c>
      <c r="G27" s="106">
        <f>_xlfn.STDEV.S(C24:C49)/SQRT(COUNT(C24:C49))</f>
        <v>3.5720148293125007</v>
      </c>
    </row>
    <row r="28" spans="2:8">
      <c r="B28" s="89">
        <f>'Duplo (Raw)'!AM29 * 1440</f>
        <v>36.000000000000028</v>
      </c>
      <c r="C28" s="89">
        <f>'ROY (Raw)'!AM22 * 1440</f>
        <v>74.999999999999972</v>
      </c>
      <c r="E28" t="s">
        <v>181</v>
      </c>
      <c r="F28" s="89">
        <f>MEDIAN(B24:B49)</f>
        <v>63.50000000000005</v>
      </c>
      <c r="G28" s="89">
        <f>MEDIAN(C24:C49)</f>
        <v>104.99999999999994</v>
      </c>
    </row>
    <row r="29" spans="2:8">
      <c r="B29" s="89">
        <f>'Duplo (Raw)'!AM16 * 1440</f>
        <v>42.000000000000014</v>
      </c>
      <c r="C29" s="89">
        <f>'ROY (Raw)'!AM5 * 1440</f>
        <v>81.000000000000028</v>
      </c>
      <c r="E29" t="s">
        <v>214</v>
      </c>
      <c r="F29">
        <f>MODE(B24:B49)</f>
        <v>104.99999999999994</v>
      </c>
      <c r="G29" s="106">
        <f>MODE(C24:C49)</f>
        <v>104.99999999999994</v>
      </c>
    </row>
    <row r="30" spans="2:8">
      <c r="B30" s="89">
        <f>'Duplo (Raw)'!AM24 * 1440</f>
        <v>43.000000000000007</v>
      </c>
      <c r="C30" s="89">
        <f>'ROY (Raw)'!AM28 * 1440</f>
        <v>86.000000000000014</v>
      </c>
      <c r="E30" t="s">
        <v>179</v>
      </c>
      <c r="F30">
        <f>_xlfn.STDEV.S(B24:B49)</f>
        <v>27.344441145111389</v>
      </c>
      <c r="G30" s="106">
        <f>_xlfn.STDEV.S(C24:C49)</f>
        <v>18.21377331750724</v>
      </c>
    </row>
    <row r="31" spans="2:8">
      <c r="B31" s="89">
        <f>'Duplo (Raw)'!AM8 * 1440</f>
        <v>47.999999999999986</v>
      </c>
      <c r="C31" s="89">
        <f>'ROY (Raw)'!AM10 * 1440</f>
        <v>87.000000000000014</v>
      </c>
      <c r="E31" t="s">
        <v>215</v>
      </c>
      <c r="F31">
        <f>_xlfn.VAR.S(B24:B49)</f>
        <v>747.7184615384607</v>
      </c>
      <c r="G31" s="106">
        <f>_xlfn.VAR.S(C24:C49)</f>
        <v>331.74153846153871</v>
      </c>
    </row>
    <row r="32" spans="2:8">
      <c r="B32" s="89">
        <f>'Duplo (Raw)'!AM20 * 1440</f>
        <v>47.999999999999986</v>
      </c>
      <c r="C32" s="89">
        <f>'ROY (Raw)'!AM11 * 1440</f>
        <v>89</v>
      </c>
      <c r="E32" t="s">
        <v>216</v>
      </c>
      <c r="F32">
        <f>KURT(B24:B49)</f>
        <v>-1.4820628376530973</v>
      </c>
      <c r="G32" s="106">
        <f>KURT(C24:C49)</f>
        <v>2.8677376911807317</v>
      </c>
    </row>
    <row r="33" spans="2:7">
      <c r="B33" s="89">
        <f>'Duplo (Raw)'!AM27 * 1440</f>
        <v>48.999999999999986</v>
      </c>
      <c r="C33" s="89">
        <f>'ROY (Raw)'!AM27 * 1440</f>
        <v>89</v>
      </c>
      <c r="E33" t="s">
        <v>217</v>
      </c>
      <c r="F33">
        <f>SKEW(B24:B49)</f>
        <v>0.16550870075093296</v>
      </c>
      <c r="G33" s="106">
        <f>SKEW(C24:C49)</f>
        <v>-1.6886899202746464</v>
      </c>
    </row>
    <row r="34" spans="2:7">
      <c r="B34" s="89">
        <f>'Duplo (Raw)'!AM7 * 1440</f>
        <v>52.999999999999972</v>
      </c>
      <c r="C34" s="89">
        <f>'ROY (Raw)'!AM20 * 1440</f>
        <v>92.000000000000071</v>
      </c>
      <c r="E34" t="s">
        <v>218</v>
      </c>
      <c r="F34">
        <f>F35-F36</f>
        <v>77.000000000000057</v>
      </c>
      <c r="G34" s="106">
        <f>G35-G36</f>
        <v>70.000000000000156</v>
      </c>
    </row>
    <row r="35" spans="2:7">
      <c r="B35" s="89">
        <f>'Duplo (Raw)'!AM17 * 1440</f>
        <v>54.999999999999964</v>
      </c>
      <c r="C35" s="89">
        <f>'ROY (Raw)'!AM4 * 1440</f>
        <v>104.99999999999994</v>
      </c>
      <c r="E35" t="s">
        <v>178</v>
      </c>
      <c r="F35" s="89">
        <f>MAX(B24:B49)</f>
        <v>105.00000000000011</v>
      </c>
      <c r="G35" s="89">
        <f>MAX(C24:C49)</f>
        <v>105.00000000000011</v>
      </c>
    </row>
    <row r="36" spans="2:7">
      <c r="B36" s="89">
        <f>'Duplo (Raw)'!AM11 * 1440</f>
        <v>61.000000000000099</v>
      </c>
      <c r="C36" s="89">
        <f>'ROY (Raw)'!AM7 * 1440</f>
        <v>104.99999999999994</v>
      </c>
      <c r="E36" t="s">
        <v>177</v>
      </c>
      <c r="F36" s="89">
        <f>MIN(B24:B49)</f>
        <v>28.00000000000006</v>
      </c>
      <c r="G36" s="89">
        <f>MIN(C24:C49)</f>
        <v>34.999999999999957</v>
      </c>
    </row>
    <row r="37" spans="2:7">
      <c r="B37" s="89">
        <f>'Duplo (Raw)'!AM18 * 1440</f>
        <v>66</v>
      </c>
      <c r="C37" s="89">
        <f>'ROY (Raw)'!AM8 * 1440</f>
        <v>104.99999999999994</v>
      </c>
      <c r="E37" t="s">
        <v>219</v>
      </c>
      <c r="F37" s="89">
        <f>SUM(B24:B49)</f>
        <v>1741.0000000000005</v>
      </c>
      <c r="G37" s="89">
        <f>SUM(C24:C49)</f>
        <v>2410.0000000000005</v>
      </c>
    </row>
    <row r="38" spans="2:7">
      <c r="B38" s="89">
        <f>'Duplo (Raw)'!AM13 * 1440</f>
        <v>69.999999999999986</v>
      </c>
      <c r="C38" s="89">
        <f>'ROY (Raw)'!AM13 * 1440</f>
        <v>104.99999999999994</v>
      </c>
      <c r="E38" t="s">
        <v>220</v>
      </c>
      <c r="F38">
        <f>COUNT(B24:B49)</f>
        <v>26</v>
      </c>
      <c r="G38" s="106">
        <f>COUNT(C24:C49)</f>
        <v>26</v>
      </c>
    </row>
    <row r="39" spans="2:7">
      <c r="B39" s="89">
        <f>'Duplo (Raw)'!AM4 * 1440</f>
        <v>74.000000000000057</v>
      </c>
      <c r="C39" s="89">
        <f>'ROY (Raw)'!AM14 * 1440</f>
        <v>104.99999999999994</v>
      </c>
      <c r="E39" t="s">
        <v>221</v>
      </c>
      <c r="F39">
        <f>GEOMEAN(B24:B49)</f>
        <v>61.310123422634391</v>
      </c>
      <c r="G39" s="106">
        <f>GEOMEAN(C24:C49)</f>
        <v>90.334893608702103</v>
      </c>
    </row>
    <row r="40" spans="2:7">
      <c r="B40" s="89">
        <f>'Duplo (Raw)'!AM25 * 1440</f>
        <v>78.000000000000043</v>
      </c>
      <c r="C40" s="89">
        <f>'ROY (Raw)'!AM24 * 1440</f>
        <v>104.99999999999994</v>
      </c>
      <c r="E40" t="s">
        <v>222</v>
      </c>
      <c r="F40">
        <f>HARMEAN(B24:B49)</f>
        <v>55.7978952986875</v>
      </c>
      <c r="G40" s="106">
        <f>HARMEAN(C24:C49)</f>
        <v>86.981450680303425</v>
      </c>
    </row>
    <row r="41" spans="2:7">
      <c r="B41" s="89">
        <f>'Duplo (Raw)'!AM15 * 1440</f>
        <v>84.999999999999943</v>
      </c>
      <c r="C41" s="89">
        <f>'ROY (Raw)'!AM25 * 1440</f>
        <v>104.99999999999994</v>
      </c>
      <c r="E41" t="s">
        <v>223</v>
      </c>
      <c r="F41">
        <f>AVEDEV(B24:B49)</f>
        <v>23.958579881656799</v>
      </c>
      <c r="G41" s="106">
        <f>AVEDEV(C24:C49)</f>
        <v>14.201183431952652</v>
      </c>
    </row>
    <row r="42" spans="2:7">
      <c r="B42" s="89">
        <f>'Duplo (Raw)'!AM5 * 1440</f>
        <v>92</v>
      </c>
      <c r="C42" s="89">
        <f>'ROY (Raw)'!AM26 * 1440</f>
        <v>104.99999999999994</v>
      </c>
      <c r="E42" t="s">
        <v>224</v>
      </c>
      <c r="F42">
        <f>[1]!MAD(B24:B49)</f>
        <v>24.500000000000028</v>
      </c>
      <c r="G42" s="106">
        <f>[1]!MAD(C24:C49)</f>
        <v>1.7053025658242404E-13</v>
      </c>
    </row>
    <row r="43" spans="2:7">
      <c r="B43" s="89">
        <f>'Duplo (Raw)'!AM22 * 1440</f>
        <v>93.999999999999986</v>
      </c>
      <c r="C43" s="89">
        <f>'ROY (Raw)'!AM6 * 1440</f>
        <v>105.00000000000003</v>
      </c>
      <c r="E43" s="113" t="s">
        <v>225</v>
      </c>
      <c r="F43" s="113">
        <f>[1]!IQR(B24:B49,FALSE)</f>
        <v>49.249999999999986</v>
      </c>
      <c r="G43" s="113">
        <f>[1]!IQR(C24:C49,FALSE)</f>
        <v>18.749999999999986</v>
      </c>
    </row>
    <row r="44" spans="2:7">
      <c r="B44" s="89">
        <f>'Duplo (Raw)'!AM26 * 1440</f>
        <v>96.999999999999972</v>
      </c>
      <c r="C44" s="89">
        <f>'ROY (Raw)'!AM19 * 1440</f>
        <v>105.00000000000003</v>
      </c>
    </row>
    <row r="45" spans="2:7">
      <c r="B45" s="89">
        <f>'Duplo (Raw)'!AM12 * 1440</f>
        <v>104.99999999999994</v>
      </c>
      <c r="C45" s="89">
        <f>'ROY (Raw)'!AM12 * 1440</f>
        <v>105.00000000000011</v>
      </c>
    </row>
    <row r="46" spans="2:7">
      <c r="B46" s="89">
        <f>'Duplo (Raw)'!AM14 * 1440</f>
        <v>104.99999999999994</v>
      </c>
      <c r="C46" s="89">
        <f>'ROY (Raw)'!AM15 * 1440</f>
        <v>105.00000000000011</v>
      </c>
    </row>
    <row r="47" spans="2:7">
      <c r="B47" s="89">
        <f>'Duplo (Raw)'!AM23 * 1440</f>
        <v>104.99999999999994</v>
      </c>
      <c r="C47" s="89">
        <f>'ROY (Raw)'!AM16 * 1440</f>
        <v>105.00000000000011</v>
      </c>
    </row>
    <row r="48" spans="2:7">
      <c r="B48" s="89">
        <f>'Duplo (Raw)'!AM6 * 1440</f>
        <v>105.00000000000011</v>
      </c>
      <c r="C48" s="89">
        <f>'ROY (Raw)'!AM18 * 1440</f>
        <v>105.00000000000011</v>
      </c>
    </row>
    <row r="49" spans="2:15">
      <c r="B49" s="89">
        <f>'Duplo (Raw)'!AM9 * 1440</f>
        <v>105.00000000000011</v>
      </c>
      <c r="C49" s="89">
        <f>'ROY (Raw)'!AM29 * 1440</f>
        <v>105.00000000000011</v>
      </c>
    </row>
    <row r="51" spans="2:15">
      <c r="B51" s="117" t="s">
        <v>228</v>
      </c>
      <c r="C51" s="117" t="s">
        <v>227</v>
      </c>
      <c r="D51" s="117" t="s">
        <v>229</v>
      </c>
    </row>
    <row r="52" spans="2:15">
      <c r="B52" s="116" t="s">
        <v>153</v>
      </c>
      <c r="C52" s="116">
        <v>28.00000000000006</v>
      </c>
    </row>
    <row r="53" spans="2:15">
      <c r="B53" s="116" t="s">
        <v>153</v>
      </c>
      <c r="C53" s="116">
        <v>31.00000000000005</v>
      </c>
      <c r="O53" s="110" t="s">
        <v>209</v>
      </c>
    </row>
    <row r="54" spans="2:15">
      <c r="B54" s="116" t="s">
        <v>153</v>
      </c>
      <c r="C54" s="116">
        <v>32.000000000000043</v>
      </c>
    </row>
    <row r="55" spans="2:15">
      <c r="B55" s="116" t="s">
        <v>153</v>
      </c>
      <c r="C55" s="116">
        <v>34.000000000000043</v>
      </c>
    </row>
    <row r="56" spans="2:15">
      <c r="B56" s="116" t="s">
        <v>226</v>
      </c>
      <c r="C56" s="116">
        <v>34.999999999999957</v>
      </c>
    </row>
    <row r="57" spans="2:15">
      <c r="B57" s="116" t="s">
        <v>153</v>
      </c>
      <c r="C57" s="116">
        <v>36.000000000000028</v>
      </c>
    </row>
    <row r="58" spans="2:15">
      <c r="B58" s="116" t="s">
        <v>153</v>
      </c>
      <c r="C58" s="116">
        <v>42.000000000000014</v>
      </c>
    </row>
    <row r="59" spans="2:15">
      <c r="B59" s="116" t="s">
        <v>153</v>
      </c>
      <c r="C59" s="116">
        <v>43.000000000000007</v>
      </c>
    </row>
    <row r="60" spans="2:15">
      <c r="B60" s="116" t="s">
        <v>153</v>
      </c>
      <c r="C60" s="116">
        <v>47.999999999999986</v>
      </c>
    </row>
    <row r="61" spans="2:15">
      <c r="B61" s="116" t="s">
        <v>153</v>
      </c>
      <c r="C61" s="116">
        <v>47.999999999999986</v>
      </c>
    </row>
    <row r="62" spans="2:15">
      <c r="B62" s="116" t="s">
        <v>153</v>
      </c>
      <c r="C62" s="116">
        <v>48.999999999999986</v>
      </c>
    </row>
    <row r="63" spans="2:15">
      <c r="B63" s="116" t="s">
        <v>153</v>
      </c>
      <c r="C63" s="116">
        <v>52.999999999999972</v>
      </c>
    </row>
    <row r="64" spans="2:15">
      <c r="B64" s="116" t="s">
        <v>153</v>
      </c>
      <c r="C64" s="116">
        <v>54.999999999999964</v>
      </c>
    </row>
    <row r="65" spans="2:3">
      <c r="B65" s="116" t="s">
        <v>226</v>
      </c>
      <c r="C65" s="116">
        <v>57.000000000000036</v>
      </c>
    </row>
    <row r="66" spans="2:3">
      <c r="B66" s="116" t="s">
        <v>153</v>
      </c>
      <c r="C66" s="116">
        <v>61.000000000000099</v>
      </c>
    </row>
    <row r="67" spans="2:3">
      <c r="B67" s="116" t="s">
        <v>153</v>
      </c>
      <c r="C67" s="116">
        <v>66</v>
      </c>
    </row>
    <row r="68" spans="2:3">
      <c r="B68" s="116" t="s">
        <v>153</v>
      </c>
      <c r="C68" s="116">
        <v>69.999999999999986</v>
      </c>
    </row>
    <row r="69" spans="2:3">
      <c r="B69" s="116" t="s">
        <v>226</v>
      </c>
      <c r="C69" s="116">
        <v>70.000000000000071</v>
      </c>
    </row>
    <row r="70" spans="2:3">
      <c r="B70" s="116" t="s">
        <v>153</v>
      </c>
      <c r="C70" s="116">
        <v>74.000000000000057</v>
      </c>
    </row>
    <row r="71" spans="2:3">
      <c r="B71" s="116" t="s">
        <v>226</v>
      </c>
      <c r="C71" s="116">
        <v>74.000000000000057</v>
      </c>
    </row>
    <row r="72" spans="2:3">
      <c r="B72" s="116" t="s">
        <v>226</v>
      </c>
      <c r="C72" s="116">
        <v>74.999999999999972</v>
      </c>
    </row>
    <row r="73" spans="2:3">
      <c r="B73" s="116" t="s">
        <v>153</v>
      </c>
      <c r="C73" s="116">
        <v>78.000000000000043</v>
      </c>
    </row>
    <row r="74" spans="2:3">
      <c r="B74" s="116" t="s">
        <v>226</v>
      </c>
      <c r="C74" s="116">
        <v>81.000000000000028</v>
      </c>
    </row>
    <row r="75" spans="2:3">
      <c r="B75" s="116" t="s">
        <v>153</v>
      </c>
      <c r="C75" s="116">
        <v>84.999999999999943</v>
      </c>
    </row>
    <row r="76" spans="2:3">
      <c r="B76" s="116" t="s">
        <v>226</v>
      </c>
      <c r="C76" s="116">
        <v>86.000000000000014</v>
      </c>
    </row>
    <row r="77" spans="2:3">
      <c r="B77" s="116" t="s">
        <v>226</v>
      </c>
      <c r="C77" s="116">
        <v>87.000000000000014</v>
      </c>
    </row>
    <row r="78" spans="2:3">
      <c r="B78" s="116" t="s">
        <v>226</v>
      </c>
      <c r="C78" s="116">
        <v>89</v>
      </c>
    </row>
    <row r="79" spans="2:3">
      <c r="B79" s="116" t="s">
        <v>226</v>
      </c>
      <c r="C79" s="116">
        <v>89</v>
      </c>
    </row>
    <row r="80" spans="2:3">
      <c r="B80" s="116" t="s">
        <v>153</v>
      </c>
      <c r="C80" s="116">
        <v>92</v>
      </c>
    </row>
    <row r="81" spans="2:4">
      <c r="B81" s="116" t="s">
        <v>226</v>
      </c>
      <c r="C81" s="116">
        <v>92.000000000000071</v>
      </c>
    </row>
    <row r="82" spans="2:4">
      <c r="B82" s="116" t="s">
        <v>153</v>
      </c>
      <c r="C82" s="116">
        <v>93.999999999999986</v>
      </c>
    </row>
    <row r="83" spans="2:4">
      <c r="B83" s="116" t="s">
        <v>153</v>
      </c>
      <c r="C83" s="116">
        <v>96.999999999999972</v>
      </c>
    </row>
    <row r="84" spans="2:4">
      <c r="B84" s="116" t="s">
        <v>226</v>
      </c>
      <c r="C84" s="116">
        <v>104.99999999999994</v>
      </c>
    </row>
    <row r="85" spans="2:4">
      <c r="B85" s="116" t="s">
        <v>153</v>
      </c>
      <c r="C85" s="116">
        <v>104.99999999999994</v>
      </c>
      <c r="D85" s="119" t="s">
        <v>232</v>
      </c>
    </row>
    <row r="86" spans="2:4">
      <c r="B86" s="116" t="s">
        <v>153</v>
      </c>
      <c r="C86" s="116">
        <v>104.99999999999994</v>
      </c>
      <c r="D86" s="119" t="s">
        <v>232</v>
      </c>
    </row>
    <row r="87" spans="2:4">
      <c r="B87" s="116" t="s">
        <v>153</v>
      </c>
      <c r="C87" s="116">
        <v>104.99999999999994</v>
      </c>
      <c r="D87" s="119" t="s">
        <v>232</v>
      </c>
    </row>
    <row r="88" spans="2:4">
      <c r="B88" s="116" t="s">
        <v>226</v>
      </c>
      <c r="C88" s="116">
        <v>104.99999999999994</v>
      </c>
      <c r="D88" s="119" t="s">
        <v>232</v>
      </c>
    </row>
    <row r="89" spans="2:4">
      <c r="B89" s="116" t="s">
        <v>226</v>
      </c>
      <c r="C89" s="116">
        <v>104.99999999999994</v>
      </c>
      <c r="D89" s="119" t="s">
        <v>232</v>
      </c>
    </row>
    <row r="90" spans="2:4">
      <c r="B90" s="116" t="s">
        <v>226</v>
      </c>
      <c r="C90" s="116">
        <v>104.99999999999994</v>
      </c>
      <c r="D90" s="119" t="s">
        <v>232</v>
      </c>
    </row>
    <row r="91" spans="2:4">
      <c r="B91" s="116" t="s">
        <v>226</v>
      </c>
      <c r="C91" s="116">
        <v>104.99999999999994</v>
      </c>
      <c r="D91" s="119" t="s">
        <v>232</v>
      </c>
    </row>
    <row r="92" spans="2:4">
      <c r="B92" s="116" t="s">
        <v>226</v>
      </c>
      <c r="C92" s="116">
        <v>104.99999999999994</v>
      </c>
      <c r="D92" s="119" t="s">
        <v>232</v>
      </c>
    </row>
    <row r="93" spans="2:4">
      <c r="B93" s="116" t="s">
        <v>226</v>
      </c>
      <c r="C93" s="116">
        <v>104.99999999999994</v>
      </c>
      <c r="D93" s="119" t="s">
        <v>232</v>
      </c>
    </row>
    <row r="94" spans="2:4">
      <c r="B94" s="116" t="s">
        <v>226</v>
      </c>
      <c r="C94" s="116">
        <v>104.99999999999994</v>
      </c>
      <c r="D94" s="119" t="s">
        <v>232</v>
      </c>
    </row>
    <row r="95" spans="2:4">
      <c r="B95" s="116" t="s">
        <v>226</v>
      </c>
      <c r="C95" s="116">
        <v>105.00000000000003</v>
      </c>
      <c r="D95" s="119" t="s">
        <v>232</v>
      </c>
    </row>
    <row r="96" spans="2:4">
      <c r="B96" s="116" t="s">
        <v>226</v>
      </c>
      <c r="C96" s="116">
        <v>105.00000000000003</v>
      </c>
      <c r="D96" s="119" t="s">
        <v>232</v>
      </c>
    </row>
    <row r="97" spans="2:4">
      <c r="B97" s="116" t="s">
        <v>153</v>
      </c>
      <c r="C97" s="116">
        <v>105.00000000000011</v>
      </c>
      <c r="D97" s="119" t="s">
        <v>232</v>
      </c>
    </row>
    <row r="98" spans="2:4">
      <c r="B98" s="116" t="s">
        <v>153</v>
      </c>
      <c r="C98" s="116">
        <v>105.00000000000011</v>
      </c>
      <c r="D98" s="119" t="s">
        <v>232</v>
      </c>
    </row>
    <row r="99" spans="2:4">
      <c r="B99" s="116" t="s">
        <v>226</v>
      </c>
      <c r="C99" s="116">
        <v>105.00000000000011</v>
      </c>
      <c r="D99" s="119" t="s">
        <v>232</v>
      </c>
    </row>
    <row r="100" spans="2:4">
      <c r="B100" s="116" t="s">
        <v>226</v>
      </c>
      <c r="C100" s="116">
        <v>105.00000000000011</v>
      </c>
      <c r="D100" s="119" t="s">
        <v>232</v>
      </c>
    </row>
    <row r="101" spans="2:4">
      <c r="B101" s="116" t="s">
        <v>226</v>
      </c>
      <c r="C101" s="116">
        <v>105.00000000000011</v>
      </c>
      <c r="D101" s="119" t="s">
        <v>232</v>
      </c>
    </row>
    <row r="102" spans="2:4">
      <c r="B102" s="116" t="s">
        <v>226</v>
      </c>
      <c r="C102" s="116">
        <v>105.00000000000011</v>
      </c>
      <c r="D102" s="119" t="s">
        <v>232</v>
      </c>
    </row>
    <row r="103" spans="2:4">
      <c r="B103" s="116" t="s">
        <v>226</v>
      </c>
      <c r="C103" s="116">
        <v>105.00000000000011</v>
      </c>
      <c r="D103" s="119" t="s">
        <v>232</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48" t="s">
        <v>156</v>
      </c>
      <c r="B2" s="131"/>
      <c r="C2" s="131"/>
    </row>
    <row r="4" spans="1:29">
      <c r="A4" s="148" t="s">
        <v>157</v>
      </c>
      <c r="B4" s="131"/>
      <c r="E4" s="149" t="s">
        <v>158</v>
      </c>
      <c r="F4" s="131"/>
      <c r="L4" s="149" t="s">
        <v>159</v>
      </c>
      <c r="M4" s="131"/>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IF('ROY (Raw)'!AM4&gt;0,IF('ROY (Raw)'!#REF!=TRUE,'ROY (Raw)'!AM4,$A$6),"")</f>
        <v>#REF!</v>
      </c>
      <c r="E8" s="27" t="s">
        <v>160</v>
      </c>
      <c r="F8" s="29" t="e">
        <f>COUNTIF(#REF!,"y")</f>
        <v>#REF!</v>
      </c>
      <c r="G8" s="22" t="e">
        <f>COUNTIF(#REF!,"y")</f>
        <v>#REF!</v>
      </c>
      <c r="H8" s="27" t="s">
        <v>160</v>
      </c>
      <c r="I8" s="34" t="e">
        <f>COUNTIF(#REF!,"y")</f>
        <v>#REF!</v>
      </c>
      <c r="J8" s="34" t="e">
        <f>COUNTIF(#REF!,"y")</f>
        <v>#REF!</v>
      </c>
      <c r="L8" s="27" t="s">
        <v>154</v>
      </c>
      <c r="M8" s="29" t="e">
        <f>SUM('ROY (Raw)'!AL4:'ROY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IF('ROY (Raw)'!AM5&gt;0,IF('ROY (Raw)'!#REF!=TRUE,'ROY (Raw)'!AM5,$A$6),"")</f>
        <v>#REF!</v>
      </c>
      <c r="E9" s="27" t="s">
        <v>161</v>
      </c>
      <c r="F9" s="29" t="e">
        <f>COUNTIF(#REF!,"N")</f>
        <v>#REF!</v>
      </c>
      <c r="G9" s="22" t="e">
        <f>COUNTIF(#REF!,"N")</f>
        <v>#REF!</v>
      </c>
      <c r="H9" s="27" t="s">
        <v>161</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IF('ROY (Raw)'!AM6&gt;0,IF('ROY (Raw)'!#REF!=TRUE,'ROY (Raw)'!AM6,$A$6),"")</f>
        <v>#REF!</v>
      </c>
      <c r="E10" s="27" t="s">
        <v>162</v>
      </c>
      <c r="F10" s="29" t="e">
        <f t="shared" ref="F10:G10" si="4">SUM(F8:F9)</f>
        <v>#REF!</v>
      </c>
      <c r="G10" s="22" t="e">
        <f t="shared" si="4"/>
        <v>#REF!</v>
      </c>
      <c r="H10" s="27" t="s">
        <v>162</v>
      </c>
      <c r="I10" s="29" t="e">
        <f t="shared" ref="I10:J10" si="5">SUM(I8:I9)</f>
        <v>#REF!</v>
      </c>
      <c r="J10" s="29" t="e">
        <f t="shared" si="5"/>
        <v>#REF!</v>
      </c>
    </row>
    <row r="11" spans="1:29">
      <c r="A11" s="32" t="e">
        <f>IF('Duplo (Raw)'!AM7&gt;0,IF('Duplo (Raw)'!#REF!=TRUE,'Duplo (Raw)'!AM7,$A$6),"")</f>
        <v>#REF!</v>
      </c>
      <c r="B11" s="38" t="e">
        <f>IF('ROY (Raw)'!AM7&gt;0,IF('ROY (Raw)'!#REF!=TRUE,'ROY (Raw)'!AM7,$A$6),"")</f>
        <v>#REF!</v>
      </c>
      <c r="E11" s="39" t="b">
        <v>1</v>
      </c>
      <c r="F11" s="34" t="e">
        <f>COUNTIFS(#REF!:#REF!,"TRUE")</f>
        <v>#REF!</v>
      </c>
      <c r="G11" s="22"/>
      <c r="H11" s="39" t="b">
        <v>1</v>
      </c>
      <c r="I11" s="34" t="e">
        <f>COUNTIFS(#REF!:#REF!,"TRUE")</f>
        <v>#REF!</v>
      </c>
    </row>
    <row r="12" spans="1:29">
      <c r="A12" s="32" t="e">
        <f>IF('Duplo (Raw)'!AM8&gt;0,IF('Duplo (Raw)'!#REF!=TRUE,'Duplo (Raw)'!AM8,$A$6),"")</f>
        <v>#REF!</v>
      </c>
      <c r="B12" s="38" t="e">
        <f>IF('ROY (Raw)'!AM8&gt;0,IF('ROY (Raw)'!#REF!=TRUE,'ROY (Raw)'!AM8,$A$6),"")</f>
        <v>#REF!</v>
      </c>
      <c r="E12" s="27" t="s">
        <v>163</v>
      </c>
      <c r="F12" s="29" t="e">
        <f t="shared" ref="F12:G12" si="6">((F8-$F$11)/F10)*100</f>
        <v>#REF!</v>
      </c>
      <c r="G12" s="22" t="e">
        <f t="shared" si="6"/>
        <v>#REF!</v>
      </c>
      <c r="H12" s="27" t="s">
        <v>163</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IF('ROY (Raw)'!AM9&gt;0,IF('ROY (Raw)'!#REF!=TRUE,'ROY (Raw)'!AM9,$A$6),"")</f>
        <v>#REF!</v>
      </c>
      <c r="E13" s="40" t="s">
        <v>164</v>
      </c>
      <c r="F13" s="29" t="e">
        <f t="shared" ref="F13:G13" si="8">100-F12</f>
        <v>#REF!</v>
      </c>
      <c r="G13" s="22" t="e">
        <f t="shared" si="8"/>
        <v>#REF!</v>
      </c>
      <c r="H13" s="40" t="s">
        <v>164</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IF('ROY (Raw)'!AM10&gt;0,IF('ROY (Raw)'!#REF!=TRUE,'ROY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IF('ROY (Raw)'!AM11&gt;0,IF('ROY (Raw)'!#REF!=TRUE,'ROY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IF('ROY (Raw)'!AM12&gt;0,IF('ROY (Raw)'!#REF!=TRUE,'ROY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IF('ROY (Raw)'!AM13&gt;0,IF('ROY (Raw)'!#REF!=TRUE,'ROY (Raw)'!AM13,$A$6),"")</f>
        <v>#REF!</v>
      </c>
    </row>
    <row r="18" spans="1:29">
      <c r="A18" s="37" t="e">
        <f>IF('Duplo (Raw)'!AM14&gt;0,IF('Duplo (Raw)'!#REF!=TRUE,'Duplo (Raw)'!AM14,$A$6),"")</f>
        <v>#REF!</v>
      </c>
      <c r="B18" s="38" t="e">
        <f>IF('ROY (Raw)'!AM14&gt;0,IF('ROY (Raw)'!#REF!=TRUE,'ROY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IF('ROY (Raw)'!AM15&gt;0,IF('ROY (Raw)'!#REF!=TRUE,'ROY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IF('ROY (Raw)'!AM16&gt;0,IF('ROY (Raw)'!#REF!=TRUE,'ROY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IF('ROY (Raw)'!AM17&gt;0,IF('ROY (Raw)'!#REF!=TRUE,'ROY (Raw)'!AM17,$A$6),"")</f>
        <v>#REF!</v>
      </c>
    </row>
    <row r="22" spans="1:29">
      <c r="A22" s="32" t="e">
        <f>IF('Duplo (Raw)'!AM18&gt;0,IF('Duplo (Raw)'!#REF!=TRUE,'Duplo (Raw)'!AM18,$A$6),"")</f>
        <v>#REF!</v>
      </c>
      <c r="B22" s="38" t="e">
        <f>IF('ROY (Raw)'!AM18&gt;0,IF('ROY (Raw)'!#REF!=TRUE,'ROY (Raw)'!AM18,$A$6),"")</f>
        <v>#REF!</v>
      </c>
    </row>
    <row r="23" spans="1:29">
      <c r="A23" s="32" t="e">
        <f>IF('Duplo (Raw)'!AM19&gt;0,IF('Duplo (Raw)'!#REF!=TRUE,'Duplo (Raw)'!AM19,$A$6),"")</f>
        <v>#REF!</v>
      </c>
      <c r="B23" s="38" t="e">
        <f>IF('ROY (Raw)'!AM19&gt;0,IF('ROY (Raw)'!#REF!=TRUE,'ROY (Raw)'!AM19,$A$6),"")</f>
        <v>#REF!</v>
      </c>
    </row>
    <row r="24" spans="1:29">
      <c r="A24" s="32" t="e">
        <f>IF('Duplo (Raw)'!AM20&gt;0,IF('Duplo (Raw)'!#REF!=TRUE,'Duplo (Raw)'!AM20,$A$6),"")</f>
        <v>#REF!</v>
      </c>
      <c r="B24" s="33" t="e">
        <f>IF('ROY (Raw)'!AM20&gt;0,IF('ROY (Raw)'!#REF!=TRUE,'ROY (Raw)'!AM20,$A$6),"")</f>
        <v>#REF!</v>
      </c>
    </row>
    <row r="25" spans="1:29">
      <c r="A25" s="32" t="e">
        <f>IF('Duplo (Raw)'!AM21&gt;0,IF('Duplo (Raw)'!#REF!=TRUE,'Duplo (Raw)'!AM21,$A$6),"")</f>
        <v>#REF!</v>
      </c>
      <c r="B25" s="33" t="e">
        <f>IF('ROY (Raw)'!AM21&gt;0,IF('ROY (Raw)'!#REF!=TRUE,'ROY (Raw)'!AM21,$A$6),"")</f>
        <v>#REF!</v>
      </c>
      <c r="P25" s="46"/>
    </row>
    <row r="26" spans="1:29">
      <c r="A26" s="32" t="e">
        <f>IF('Duplo (Raw)'!AM22&gt;0,IF('Duplo (Raw)'!#REF!=TRUE,'Duplo (Raw)'!AM22,$A$6),"")</f>
        <v>#REF!</v>
      </c>
      <c r="B26" s="33" t="e">
        <f>IF('ROY (Raw)'!AM22&gt;0,IF('ROY (Raw)'!#REF!=TRUE,'ROY (Raw)'!AM22,$A$6),"")</f>
        <v>#REF!</v>
      </c>
    </row>
    <row r="27" spans="1:29">
      <c r="A27" s="37" t="e">
        <f>IF('Duplo (Raw)'!AM23&gt;0,IF('Duplo (Raw)'!#REF!=TRUE,'Duplo (Raw)'!AM23,$A$6),"")</f>
        <v>#REF!</v>
      </c>
      <c r="B27" s="33" t="e">
        <f>IF('ROY (Raw)'!AM23&gt;0,IF('ROY (Raw)'!#REF!=TRUE,'ROY (Raw)'!AM23,$A$6),"")</f>
        <v>#REF!</v>
      </c>
    </row>
    <row r="28" spans="1:29">
      <c r="A28" s="32" t="e">
        <f>IF('Duplo (Raw)'!AM24&gt;0,IF('Duplo (Raw)'!#REF!=TRUE,'Duplo (Raw)'!AM24,$A$6),"")</f>
        <v>#REF!</v>
      </c>
      <c r="B28" s="38" t="e">
        <f>IF('ROY (Raw)'!AM24&gt;0,IF('ROY (Raw)'!#REF!=TRUE,'ROY (Raw)'!AM24,$A$6),"")</f>
        <v>#REF!</v>
      </c>
    </row>
    <row r="29" spans="1:29">
      <c r="A29" s="32" t="e">
        <f>IF('Duplo (Raw)'!AM25&gt;0,IF('Duplo (Raw)'!#REF!=TRUE,'Duplo (Raw)'!AM25,$A$6),"")</f>
        <v>#REF!</v>
      </c>
      <c r="B29" s="38" t="e">
        <f>IF('ROY (Raw)'!AM25&gt;0,IF('ROY (Raw)'!#REF!=TRUE,'ROY (Raw)'!AM25,$A$6),"")</f>
        <v>#REF!</v>
      </c>
    </row>
    <row r="30" spans="1:29">
      <c r="A30" s="32" t="e">
        <f>IF('Duplo (Raw)'!AM26&gt;0,IF('Duplo (Raw)'!#REF!=TRUE,'Duplo (Raw)'!AM26,$A$6),"")</f>
        <v>#REF!</v>
      </c>
      <c r="B30" s="38" t="e">
        <f>IF('ROY (Raw)'!AM26&gt;0,IF('ROY (Raw)'!#REF!=TRUE,'ROY (Raw)'!AM26,$A$6),"")</f>
        <v>#REF!</v>
      </c>
    </row>
    <row r="31" spans="1:29">
      <c r="A31" s="32" t="e">
        <f>IF('Duplo (Raw)'!AM27&gt;0,IF('Duplo (Raw)'!#REF!=TRUE,'Duplo (Raw)'!AM27,$A$6),"")</f>
        <v>#REF!</v>
      </c>
      <c r="B31" s="33" t="e">
        <f>IF('ROY (Raw)'!AM27&gt;0,IF('ROY (Raw)'!#REF!=TRUE,'ROY (Raw)'!AM27,$A$6),"")</f>
        <v>#REF!</v>
      </c>
    </row>
    <row r="32" spans="1:29">
      <c r="A32" s="32" t="e">
        <f>IF('Duplo (Raw)'!AM28&gt;0,IF('Duplo (Raw)'!#REF!=TRUE,'Duplo (Raw)'!AM28,$A$6),"")</f>
        <v>#REF!</v>
      </c>
      <c r="B32" s="33" t="e">
        <f>IF('ROY (Raw)'!AM28&gt;0,IF('ROY (Raw)'!#REF!=TRUE,'ROY (Raw)'!AM28,$A$6),"")</f>
        <v>#REF!</v>
      </c>
    </row>
    <row r="33" spans="1:2">
      <c r="A33" s="32" t="e">
        <f>IF('Duplo (Raw)'!AM29&gt;0,IF('Duplo (Raw)'!#REF!=TRUE,'Duplo (Raw)'!AM29,$A$6),"")</f>
        <v>#REF!</v>
      </c>
      <c r="B33" s="38" t="e">
        <f>IF('ROY (Raw)'!AM29&gt;0,IF('ROY (Raw)'!#REF!=TRUE,'ROY (Raw)'!AM29,$A$6),"")</f>
        <v>#REF!</v>
      </c>
    </row>
    <row r="34" spans="1:2">
      <c r="A34" s="47" t="e">
        <f>IF('Duplo (Raw)'!#REF!&gt;0,IF('Duplo (Raw)'!#REF!=TRUE,'Duplo (Raw)'!#REF!,$A$6),"")</f>
        <v>#REF!</v>
      </c>
      <c r="B34" s="48" t="e">
        <f>IF('ROY (Raw)'!#REF!&gt;0,IF('ROY (Raw)'!#REF!=TRUE,'ROY (Raw)'!#REF!,$A$6),"")</f>
        <v>#REF!</v>
      </c>
    </row>
    <row r="35" spans="1:2">
      <c r="A35" s="47" t="e">
        <f>IF('Duplo (Raw)'!#REF!&gt;0,IF('Duplo (Raw)'!#REF!=TRUE,'Duplo (Raw)'!#REF!,$A$6),"")</f>
        <v>#REF!</v>
      </c>
      <c r="B35" s="48" t="e">
        <f>IF('ROY (Raw)'!#REF!&gt;0,IF('ROY (Raw)'!#REF!=TRUE,'ROY (Raw)'!#REF!,$A$6),"")</f>
        <v>#REF!</v>
      </c>
    </row>
    <row r="36" spans="1:2">
      <c r="A36" s="47" t="e">
        <f>IF('Duplo (Raw)'!#REF!&gt;0,IF('Duplo (Raw)'!#REF!=TRUE,'Duplo (Raw)'!#REF!,$A$6),"")</f>
        <v>#REF!</v>
      </c>
      <c r="B36" s="48" t="e">
        <f>IF('ROY (Raw)'!#REF!&gt;0,IF('ROY (Raw)'!#REF!=TRUE,'ROY (Raw)'!#REF!,$A$6),"")</f>
        <v>#REF!</v>
      </c>
    </row>
    <row r="37" spans="1:2">
      <c r="A37" s="47" t="e">
        <f>IF('Duplo (Raw)'!#REF!&gt;0,IF('Duplo (Raw)'!#REF!=TRUE,'Duplo (Raw)'!#REF!,$A$6),"")</f>
        <v>#REF!</v>
      </c>
      <c r="B37" s="48" t="e">
        <f>IF('ROY (Raw)'!#REF!&gt;0,IF('ROY (Raw)'!#REF!=TRUE,'ROY (Raw)'!#REF!,$A$6),"")</f>
        <v>#REF!</v>
      </c>
    </row>
    <row r="38" spans="1:2">
      <c r="A38" s="47" t="e">
        <f>IF('Duplo (Raw)'!#REF!&gt;0,IF('Duplo (Raw)'!#REF!=TRUE,'Duplo (Raw)'!#REF!,$A$6),"")</f>
        <v>#REF!</v>
      </c>
      <c r="B38" s="48" t="e">
        <f>IF('ROY (Raw)'!#REF!&gt;0,IF('ROY (Raw)'!#REF!=TRUE,'ROY (Raw)'!#REF!,$A$6),"")</f>
        <v>#REF!</v>
      </c>
    </row>
    <row r="39" spans="1:2">
      <c r="A39" s="47" t="e">
        <f>IF('Duplo (Raw)'!#REF!&gt;0,IF('Duplo (Raw)'!#REF!=TRUE,'Duplo (Raw)'!#REF!,$A$6),"")</f>
        <v>#REF!</v>
      </c>
      <c r="B39" s="48" t="e">
        <f>IF('ROY (Raw)'!#REF!&gt;0,IF('ROY (Raw)'!#REF!=TRUE,'ROY (Raw)'!#REF!,$A$6),"")</f>
        <v>#REF!</v>
      </c>
    </row>
    <row r="40" spans="1:2">
      <c r="A40" s="47" t="e">
        <f>IF('Duplo (Raw)'!#REF!&gt;0,IF('Duplo (Raw)'!#REF!=TRUE,'Duplo (Raw)'!#REF!,$A$6),"")</f>
        <v>#REF!</v>
      </c>
      <c r="B40" s="48" t="e">
        <f>IF('ROY (Raw)'!#REF!&gt;0,IF('ROY (Raw)'!#REF!=TRUE,'ROY (Raw)'!#REF!,$A$6),"")</f>
        <v>#REF!</v>
      </c>
    </row>
    <row r="41" spans="1:2">
      <c r="A41" s="47" t="e">
        <f>IF('Duplo (Raw)'!#REF!&gt;0,IF('Duplo (Raw)'!#REF!=TRUE,'Duplo (Raw)'!#REF!,$A$6),"")</f>
        <v>#REF!</v>
      </c>
      <c r="B41" s="48" t="e">
        <f>IF('ROY (Raw)'!#REF!&gt;0,IF('ROY (Raw)'!#REF!=TRUE,'ROY (Raw)'!#REF!,$A$6),"")</f>
        <v>#REF!</v>
      </c>
    </row>
    <row r="42" spans="1:2">
      <c r="A42" s="47" t="e">
        <f>IF('Duplo (Raw)'!#REF!&gt;0,IF('Duplo (Raw)'!#REF!=TRUE,'Duplo (Raw)'!#REF!,$A$6),"")</f>
        <v>#REF!</v>
      </c>
      <c r="B42" s="48" t="e">
        <f>IF('ROY (Raw)'!#REF!&gt;0,IF('ROY (Raw)'!#REF!=TRUE,'ROY (Raw)'!#REF!,$A$6),"")</f>
        <v>#REF!</v>
      </c>
    </row>
    <row r="43" spans="1:2">
      <c r="A43" s="49" t="e">
        <f>IF('Duplo (Raw)'!AM23&gt;0,IF('Duplo (Raw)'!#REF!=TRUE,'Duplo (Raw)'!AM23,$A$6),"")</f>
        <v>#REF!</v>
      </c>
      <c r="B43" s="50" t="e">
        <f>IF('ROY (Raw)'!AM24&gt;0,IF('ROY (Raw)'!#REF!=TRUE,'ROY (Raw)'!AM24,$A$6),"")</f>
        <v>#REF!</v>
      </c>
    </row>
    <row r="44" spans="1:2">
      <c r="A44" s="51" t="e">
        <f>IF('Duplo (Raw)'!AM24&gt;0,IF('Duplo (Raw)'!#REF!=TRUE,'Duplo (Raw)'!AM24,$A$6),"")</f>
        <v>#REF!</v>
      </c>
      <c r="B44" s="52" t="e">
        <f>IF('ROY (Raw)'!AM25&gt;0,IF('ROY (Raw)'!#REF!=TRUE,'ROY (Raw)'!AM25,$A$6),"")</f>
        <v>#REF!</v>
      </c>
    </row>
    <row r="45" spans="1:2">
      <c r="A45" s="51" t="e">
        <f>IF('Duplo (Raw)'!AM25&gt;0,IF('Duplo (Raw)'!#REF!=TRUE,'Duplo (Raw)'!AM25,$A$6),"")</f>
        <v>#REF!</v>
      </c>
      <c r="B45" s="52" t="e">
        <f>IF('ROY (Raw)'!AM26&gt;0,IF('ROY (Raw)'!#REF!=TRUE,'ROY (Raw)'!AM26,$A$6),"")</f>
        <v>#REF!</v>
      </c>
    </row>
    <row r="46" spans="1:2">
      <c r="A46" s="51" t="e">
        <f>IF('Duplo (Raw)'!AM26&gt;0,IF('Duplo (Raw)'!#REF!=TRUE,'Duplo (Raw)'!AM26,$A$6),"")</f>
        <v>#REF!</v>
      </c>
      <c r="B46" s="53" t="e">
        <f>IF('ROY (Raw)'!AM27&gt;0,IF('ROY (Raw)'!#REF!=TRUE,'ROY (Raw)'!AM27,$A$6),"")</f>
        <v>#REF!</v>
      </c>
    </row>
    <row r="47" spans="1:2">
      <c r="A47" s="51" t="e">
        <f>IF('Duplo (Raw)'!AM27&gt;0,IF('Duplo (Raw)'!#REF!=TRUE,'Duplo (Raw)'!AM27,$A$6),"")</f>
        <v>#REF!</v>
      </c>
      <c r="B47" s="53" t="e">
        <f>IF('ROY (Raw)'!AM28&gt;0,IF('ROY (Raw)'!#REF!=TRUE,'ROY (Raw)'!AM28,$A$6),"")</f>
        <v>#REF!</v>
      </c>
    </row>
    <row r="48" spans="1:2">
      <c r="A48" s="51" t="e">
        <f>IF('Duplo (Raw)'!AM28&gt;0,IF('Duplo (Raw)'!#REF!=TRUE,'Duplo (Raw)'!AM28,$A$6),"")</f>
        <v>#REF!</v>
      </c>
      <c r="B48" s="52" t="e">
        <f>IF('ROY (Raw)'!AM29&gt;0,IF('ROY (Raw)'!#REF!=TRUE,'ROY (Raw)'!AM29,$A$6),"")</f>
        <v>#REF!</v>
      </c>
    </row>
    <row r="49" spans="1:2">
      <c r="A49" s="51" t="e">
        <f>IF('Duplo (Raw)'!AM29&gt;0,IF('Duplo (Raw)'!#REF!=TRUE,'Duplo (Raw)'!AM29,$A$6),"")</f>
        <v>#REF!</v>
      </c>
      <c r="B49" s="54" t="e">
        <f>IF('ROY (Raw)'!#REF!&gt;0,IF('ROY (Raw)'!#REF!=TRUE,'ROY (Raw)'!#REF!,$A$6),"")</f>
        <v>#REF!</v>
      </c>
    </row>
    <row r="50" spans="1:2">
      <c r="A50" s="55" t="e">
        <f>IF('Duplo (Raw)'!#REF!&gt;0,IF('Duplo (Raw)'!#REF!=TRUE,'Duplo (Raw)'!#REF!,$A$6),"")</f>
        <v>#REF!</v>
      </c>
      <c r="B50" s="54" t="e">
        <f>IF('ROY (Raw)'!#REF!&gt;0,IF('ROY (Raw)'!#REF!=TRUE,'ROY (Raw)'!#REF!,$A$6),"")</f>
        <v>#REF!</v>
      </c>
    </row>
    <row r="51" spans="1:2">
      <c r="A51" s="55" t="e">
        <f>IF('Duplo (Raw)'!#REF!&gt;0,IF('Duplo (Raw)'!#REF!=TRUE,'Duplo (Raw)'!#REF!,$A$6),"")</f>
        <v>#REF!</v>
      </c>
      <c r="B51" s="54" t="e">
        <f>IF('ROY (Raw)'!#REF!&gt;0,IF('ROY (Raw)'!#REF!=TRUE,'ROY (Raw)'!#REF!,$A$6),"")</f>
        <v>#REF!</v>
      </c>
    </row>
    <row r="52" spans="1:2">
      <c r="A52" s="55" t="e">
        <f>IF('Duplo (Raw)'!#REF!&gt;0,IF('Duplo (Raw)'!#REF!=TRUE,'Duplo (Raw)'!#REF!,$A$6),"")</f>
        <v>#REF!</v>
      </c>
      <c r="B52" s="54" t="e">
        <f>IF('ROY (Raw)'!#REF!&gt;0,IF('ROY (Raw)'!#REF!=TRUE,'ROY (Raw)'!#REF!,$A$6),"")</f>
        <v>#REF!</v>
      </c>
    </row>
    <row r="53" spans="1:2">
      <c r="A53" s="55" t="e">
        <f>IF('Duplo (Raw)'!#REF!&gt;0,IF('Duplo (Raw)'!#REF!=TRUE,'Duplo (Raw)'!#REF!,$A$6),"")</f>
        <v>#REF!</v>
      </c>
      <c r="B53" s="54" t="e">
        <f>IF('ROY (Raw)'!#REF!&gt;0,IF('ROY (Raw)'!#REF!=TRUE,'ROY (Raw)'!#REF!,$A$6),"")</f>
        <v>#REF!</v>
      </c>
    </row>
    <row r="54" spans="1:2">
      <c r="A54" s="55" t="e">
        <f>IF('Duplo (Raw)'!#REF!&gt;0,IF('Duplo (Raw)'!#REF!=TRUE,'Duplo (Raw)'!#REF!,$A$6),"")</f>
        <v>#REF!</v>
      </c>
      <c r="B54" s="54" t="e">
        <f>IF('ROY (Raw)'!#REF!&gt;0,IF('ROY (Raw)'!#REF!=TRUE,'ROY (Raw)'!#REF!,$A$6),"")</f>
        <v>#REF!</v>
      </c>
    </row>
    <row r="55" spans="1:2">
      <c r="A55" s="55" t="e">
        <f>IF('Duplo (Raw)'!#REF!&gt;0,IF('Duplo (Raw)'!#REF!=TRUE,'Duplo (Raw)'!#REF!,$A$6),"")</f>
        <v>#REF!</v>
      </c>
      <c r="B55" s="54" t="e">
        <f>IF('ROY (Raw)'!#REF!&gt;0,IF('ROY (Raw)'!#REF!=TRUE,'ROY (Raw)'!#REF!,$A$6),"")</f>
        <v>#REF!</v>
      </c>
    </row>
    <row r="56" spans="1:2">
      <c r="A56" s="55" t="e">
        <f>IF('Duplo (Raw)'!#REF!&gt;0,IF('Duplo (Raw)'!#REF!=TRUE,'Duplo (Raw)'!#REF!,$A$6),"")</f>
        <v>#REF!</v>
      </c>
      <c r="B56" s="54" t="e">
        <f>IF('ROY (Raw)'!#REF!&gt;0,IF('ROY (Raw)'!#REF!=TRUE,'ROY (Raw)'!#REF!,$A$6),"")</f>
        <v>#REF!</v>
      </c>
    </row>
    <row r="57" spans="1:2">
      <c r="A57" s="55" t="e">
        <f>IF('Duplo (Raw)'!#REF!&gt;0,IF('Duplo (Raw)'!#REF!=TRUE,'Duplo (Raw)'!#REF!,$A$6),"")</f>
        <v>#REF!</v>
      </c>
      <c r="B57" s="54" t="e">
        <f>IF('ROY (Raw)'!#REF!&gt;0,IF('ROY (Raw)'!#REF!=TRUE,'ROY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165</v>
      </c>
      <c r="B1" s="27" t="s">
        <v>166</v>
      </c>
      <c r="C1" s="27" t="s">
        <v>167</v>
      </c>
    </row>
    <row r="2" spans="1:3">
      <c r="A2" s="27" t="s">
        <v>153</v>
      </c>
      <c r="B2" s="27" t="s">
        <v>168</v>
      </c>
      <c r="C2" s="29">
        <v>14</v>
      </c>
    </row>
    <row r="3" spans="1:3">
      <c r="A3" s="27" t="s">
        <v>153</v>
      </c>
      <c r="B3" s="27" t="s">
        <v>168</v>
      </c>
      <c r="C3" s="29">
        <v>11</v>
      </c>
    </row>
    <row r="4" spans="1:3">
      <c r="A4" s="27" t="s">
        <v>153</v>
      </c>
      <c r="B4" s="27" t="s">
        <v>168</v>
      </c>
      <c r="C4" s="29">
        <v>33</v>
      </c>
    </row>
    <row r="5" spans="1:3">
      <c r="A5" s="27" t="s">
        <v>153</v>
      </c>
      <c r="B5" s="27" t="s">
        <v>168</v>
      </c>
      <c r="C5" s="29">
        <v>1</v>
      </c>
    </row>
    <row r="6" spans="1:3">
      <c r="A6" s="27" t="s">
        <v>153</v>
      </c>
      <c r="B6" s="27" t="s">
        <v>168</v>
      </c>
      <c r="C6" s="29">
        <v>8</v>
      </c>
    </row>
    <row r="7" spans="1:3">
      <c r="A7" s="27" t="s">
        <v>153</v>
      </c>
      <c r="B7" s="27" t="s">
        <v>168</v>
      </c>
      <c r="C7" s="29">
        <v>28</v>
      </c>
    </row>
    <row r="8" spans="1:3">
      <c r="A8" s="27" t="s">
        <v>153</v>
      </c>
      <c r="B8" s="27" t="s">
        <v>168</v>
      </c>
      <c r="C8" s="29">
        <v>6</v>
      </c>
    </row>
    <row r="9" spans="1:3">
      <c r="A9" s="27" t="s">
        <v>153</v>
      </c>
      <c r="B9" s="27" t="s">
        <v>168</v>
      </c>
      <c r="C9" s="29">
        <v>17</v>
      </c>
    </row>
    <row r="10" spans="1:3">
      <c r="A10" s="27" t="s">
        <v>153</v>
      </c>
      <c r="B10" s="27" t="s">
        <v>168</v>
      </c>
      <c r="C10" s="29">
        <v>19</v>
      </c>
    </row>
    <row r="11" spans="1:3">
      <c r="A11" s="27" t="s">
        <v>153</v>
      </c>
      <c r="B11" s="27" t="s">
        <v>168</v>
      </c>
      <c r="C11" s="29">
        <v>11</v>
      </c>
    </row>
    <row r="12" spans="1:3">
      <c r="A12" s="27" t="s">
        <v>153</v>
      </c>
      <c r="B12" s="27" t="s">
        <v>168</v>
      </c>
      <c r="C12" s="29">
        <v>14</v>
      </c>
    </row>
    <row r="13" spans="1:3">
      <c r="A13" s="27" t="s">
        <v>153</v>
      </c>
      <c r="B13" s="27" t="s">
        <v>168</v>
      </c>
      <c r="C13" s="29">
        <v>13</v>
      </c>
    </row>
    <row r="14" spans="1:3">
      <c r="A14" s="27" t="s">
        <v>153</v>
      </c>
      <c r="B14" s="27" t="s">
        <v>168</v>
      </c>
      <c r="C14" s="29">
        <v>4</v>
      </c>
    </row>
    <row r="15" spans="1:3">
      <c r="A15" s="27" t="s">
        <v>153</v>
      </c>
      <c r="B15" s="27" t="s">
        <v>168</v>
      </c>
      <c r="C15" s="29">
        <v>5</v>
      </c>
    </row>
    <row r="16" spans="1:3">
      <c r="A16" s="27" t="s">
        <v>153</v>
      </c>
      <c r="B16" s="27" t="s">
        <v>168</v>
      </c>
      <c r="C16" s="29">
        <v>2</v>
      </c>
    </row>
    <row r="17" spans="1:3">
      <c r="A17" s="27" t="s">
        <v>154</v>
      </c>
      <c r="B17" s="27" t="s">
        <v>168</v>
      </c>
      <c r="C17" s="29">
        <v>18</v>
      </c>
    </row>
    <row r="18" spans="1:3">
      <c r="A18" s="27" t="s">
        <v>154</v>
      </c>
      <c r="B18" s="27" t="s">
        <v>168</v>
      </c>
      <c r="C18" s="29">
        <v>13</v>
      </c>
    </row>
    <row r="19" spans="1:3">
      <c r="A19" s="27" t="s">
        <v>154</v>
      </c>
      <c r="B19" s="27" t="s">
        <v>168</v>
      </c>
      <c r="C19" s="29">
        <v>8</v>
      </c>
    </row>
    <row r="20" spans="1:3">
      <c r="A20" s="27" t="s">
        <v>154</v>
      </c>
      <c r="B20" s="27" t="s">
        <v>168</v>
      </c>
      <c r="C20" s="29">
        <v>21</v>
      </c>
    </row>
    <row r="21" spans="1:3">
      <c r="A21" s="27" t="s">
        <v>154</v>
      </c>
      <c r="B21" s="27" t="s">
        <v>168</v>
      </c>
      <c r="C21" s="29">
        <v>19</v>
      </c>
    </row>
    <row r="22" spans="1:3">
      <c r="A22" s="27" t="s">
        <v>154</v>
      </c>
      <c r="B22" s="27" t="s">
        <v>168</v>
      </c>
      <c r="C22" s="29">
        <v>7</v>
      </c>
    </row>
    <row r="23" spans="1:3">
      <c r="A23" s="27" t="s">
        <v>154</v>
      </c>
      <c r="B23" s="27" t="s">
        <v>168</v>
      </c>
      <c r="C23" s="29">
        <v>17</v>
      </c>
    </row>
    <row r="24" spans="1:3">
      <c r="A24" s="27" t="s">
        <v>154</v>
      </c>
      <c r="B24" s="27" t="s">
        <v>168</v>
      </c>
      <c r="C24" s="29">
        <v>18</v>
      </c>
    </row>
    <row r="25" spans="1:3">
      <c r="A25" s="27" t="s">
        <v>154</v>
      </c>
      <c r="B25" s="27" t="s">
        <v>168</v>
      </c>
      <c r="C25" s="29">
        <v>19</v>
      </c>
    </row>
    <row r="26" spans="1:3">
      <c r="A26" s="27" t="s">
        <v>154</v>
      </c>
      <c r="B26" s="27" t="s">
        <v>168</v>
      </c>
      <c r="C26" s="29">
        <v>11</v>
      </c>
    </row>
    <row r="27" spans="1:3">
      <c r="A27" s="27" t="s">
        <v>154</v>
      </c>
      <c r="B27" s="27" t="s">
        <v>168</v>
      </c>
      <c r="C27" s="29">
        <v>24</v>
      </c>
    </row>
    <row r="28" spans="1:3">
      <c r="A28" s="27" t="s">
        <v>154</v>
      </c>
      <c r="B28" s="27" t="s">
        <v>168</v>
      </c>
      <c r="C28" s="29">
        <v>34</v>
      </c>
    </row>
    <row r="29" spans="1:3">
      <c r="A29" s="27" t="s">
        <v>154</v>
      </c>
      <c r="B29" s="27" t="s">
        <v>168</v>
      </c>
      <c r="C29" s="29">
        <v>25</v>
      </c>
    </row>
    <row r="30" spans="1:3">
      <c r="A30" s="27" t="s">
        <v>154</v>
      </c>
      <c r="B30" s="27" t="s">
        <v>168</v>
      </c>
      <c r="C30" s="29">
        <v>12</v>
      </c>
    </row>
    <row r="31" spans="1:3">
      <c r="A31" s="27" t="s">
        <v>153</v>
      </c>
      <c r="B31" s="27" t="s">
        <v>169</v>
      </c>
      <c r="C31" s="27">
        <v>9</v>
      </c>
    </row>
    <row r="32" spans="1:3">
      <c r="A32" s="27" t="s">
        <v>153</v>
      </c>
      <c r="B32" s="27" t="s">
        <v>169</v>
      </c>
      <c r="C32" s="27">
        <v>10</v>
      </c>
    </row>
    <row r="33" spans="1:3">
      <c r="A33" s="27" t="s">
        <v>153</v>
      </c>
      <c r="B33" s="27" t="s">
        <v>169</v>
      </c>
      <c r="C33" s="27">
        <v>27</v>
      </c>
    </row>
    <row r="34" spans="1:3">
      <c r="A34" s="27" t="s">
        <v>153</v>
      </c>
      <c r="B34" s="27" t="s">
        <v>169</v>
      </c>
      <c r="C34" s="27">
        <v>1</v>
      </c>
    </row>
    <row r="35" spans="1:3">
      <c r="A35" s="27" t="s">
        <v>153</v>
      </c>
      <c r="B35" s="27" t="s">
        <v>169</v>
      </c>
      <c r="C35" s="27">
        <v>8</v>
      </c>
    </row>
    <row r="36" spans="1:3">
      <c r="A36" s="27" t="s">
        <v>153</v>
      </c>
      <c r="B36" s="27" t="s">
        <v>169</v>
      </c>
      <c r="C36" s="27">
        <v>21</v>
      </c>
    </row>
    <row r="37" spans="1:3">
      <c r="A37" s="27" t="s">
        <v>153</v>
      </c>
      <c r="B37" s="27" t="s">
        <v>169</v>
      </c>
      <c r="C37" s="27">
        <v>6</v>
      </c>
    </row>
    <row r="38" spans="1:3">
      <c r="A38" s="27" t="s">
        <v>153</v>
      </c>
      <c r="B38" s="27" t="s">
        <v>169</v>
      </c>
      <c r="C38" s="27">
        <v>17</v>
      </c>
    </row>
    <row r="39" spans="1:3">
      <c r="A39" s="27" t="s">
        <v>153</v>
      </c>
      <c r="B39" s="27" t="s">
        <v>169</v>
      </c>
      <c r="C39" s="27">
        <v>19</v>
      </c>
    </row>
    <row r="40" spans="1:3">
      <c r="A40" s="27" t="s">
        <v>153</v>
      </c>
      <c r="B40" s="27" t="s">
        <v>169</v>
      </c>
      <c r="C40" s="27">
        <v>11</v>
      </c>
    </row>
    <row r="41" spans="1:3">
      <c r="A41" s="27" t="s">
        <v>153</v>
      </c>
      <c r="B41" s="27" t="s">
        <v>169</v>
      </c>
      <c r="C41" s="27">
        <v>10</v>
      </c>
    </row>
    <row r="42" spans="1:3">
      <c r="A42" s="27" t="s">
        <v>153</v>
      </c>
      <c r="B42" s="27" t="s">
        <v>169</v>
      </c>
      <c r="C42" s="27">
        <v>5</v>
      </c>
    </row>
    <row r="43" spans="1:3">
      <c r="A43" s="27" t="s">
        <v>153</v>
      </c>
      <c r="B43" s="27" t="s">
        <v>169</v>
      </c>
      <c r="C43" s="27">
        <v>4</v>
      </c>
    </row>
    <row r="44" spans="1:3">
      <c r="A44" s="27" t="s">
        <v>153</v>
      </c>
      <c r="B44" s="27" t="s">
        <v>169</v>
      </c>
      <c r="C44" s="27">
        <v>4</v>
      </c>
    </row>
    <row r="45" spans="1:3">
      <c r="A45" s="27" t="s">
        <v>153</v>
      </c>
      <c r="B45" s="27" t="s">
        <v>169</v>
      </c>
      <c r="C45" s="27">
        <v>2</v>
      </c>
    </row>
    <row r="46" spans="1:3">
      <c r="A46" s="27" t="s">
        <v>154</v>
      </c>
      <c r="B46" s="27" t="s">
        <v>169</v>
      </c>
      <c r="C46" s="27">
        <v>11</v>
      </c>
    </row>
    <row r="47" spans="1:3">
      <c r="A47" s="27" t="s">
        <v>154</v>
      </c>
      <c r="B47" s="27" t="s">
        <v>169</v>
      </c>
      <c r="C47" s="27">
        <v>12</v>
      </c>
    </row>
    <row r="48" spans="1:3">
      <c r="A48" s="27" t="s">
        <v>154</v>
      </c>
      <c r="B48" s="27" t="s">
        <v>169</v>
      </c>
      <c r="C48" s="27">
        <v>8</v>
      </c>
    </row>
    <row r="49" spans="1:3">
      <c r="A49" s="27" t="s">
        <v>154</v>
      </c>
      <c r="B49" s="27" t="s">
        <v>169</v>
      </c>
      <c r="C49" s="27">
        <v>20</v>
      </c>
    </row>
    <row r="50" spans="1:3">
      <c r="A50" s="27" t="s">
        <v>154</v>
      </c>
      <c r="B50" s="27" t="s">
        <v>169</v>
      </c>
      <c r="C50" s="27">
        <v>16</v>
      </c>
    </row>
    <row r="51" spans="1:3">
      <c r="A51" s="27" t="s">
        <v>154</v>
      </c>
      <c r="B51" s="27" t="s">
        <v>169</v>
      </c>
      <c r="C51" s="27">
        <v>7</v>
      </c>
    </row>
    <row r="52" spans="1:3">
      <c r="A52" s="27" t="s">
        <v>154</v>
      </c>
      <c r="B52" s="27" t="s">
        <v>169</v>
      </c>
      <c r="C52" s="27">
        <v>14</v>
      </c>
    </row>
    <row r="53" spans="1:3">
      <c r="A53" s="27" t="s">
        <v>154</v>
      </c>
      <c r="B53" s="27" t="s">
        <v>169</v>
      </c>
      <c r="C53" s="27">
        <v>15</v>
      </c>
    </row>
    <row r="54" spans="1:3">
      <c r="A54" s="27" t="s">
        <v>154</v>
      </c>
      <c r="B54" s="27" t="s">
        <v>169</v>
      </c>
      <c r="C54" s="27">
        <v>10</v>
      </c>
    </row>
    <row r="55" spans="1:3">
      <c r="A55" s="27" t="s">
        <v>154</v>
      </c>
      <c r="B55" s="27" t="s">
        <v>169</v>
      </c>
      <c r="C55" s="27">
        <v>7</v>
      </c>
    </row>
    <row r="56" spans="1:3">
      <c r="A56" s="27" t="s">
        <v>154</v>
      </c>
      <c r="B56" s="27" t="s">
        <v>169</v>
      </c>
      <c r="C56" s="27">
        <v>24</v>
      </c>
    </row>
    <row r="57" spans="1:3">
      <c r="A57" s="27" t="s">
        <v>154</v>
      </c>
      <c r="B57" s="27" t="s">
        <v>169</v>
      </c>
      <c r="C57" s="27">
        <v>33</v>
      </c>
    </row>
    <row r="58" spans="1:3">
      <c r="A58" s="27" t="s">
        <v>154</v>
      </c>
      <c r="B58" s="27" t="s">
        <v>169</v>
      </c>
      <c r="C58" s="27">
        <v>21</v>
      </c>
    </row>
    <row r="59" spans="1:3">
      <c r="A59" s="27" t="s">
        <v>154</v>
      </c>
      <c r="B59" s="27" t="s">
        <v>169</v>
      </c>
      <c r="C59" s="27">
        <v>12</v>
      </c>
    </row>
    <row r="60" spans="1:3">
      <c r="A60" s="27" t="s">
        <v>153</v>
      </c>
      <c r="B60" s="27" t="s">
        <v>170</v>
      </c>
      <c r="C60" s="26">
        <v>5</v>
      </c>
    </row>
    <row r="61" spans="1:3">
      <c r="A61" s="27" t="s">
        <v>153</v>
      </c>
      <c r="B61" s="27" t="s">
        <v>170</v>
      </c>
      <c r="C61" s="26">
        <v>1</v>
      </c>
    </row>
    <row r="62" spans="1:3">
      <c r="A62" s="27" t="s">
        <v>153</v>
      </c>
      <c r="B62" s="27" t="s">
        <v>170</v>
      </c>
      <c r="C62" s="26">
        <v>6</v>
      </c>
    </row>
    <row r="63" spans="1:3">
      <c r="A63" s="27" t="s">
        <v>153</v>
      </c>
      <c r="B63" s="27" t="s">
        <v>170</v>
      </c>
      <c r="C63" s="26">
        <v>0</v>
      </c>
    </row>
    <row r="64" spans="1:3">
      <c r="A64" s="27" t="s">
        <v>153</v>
      </c>
      <c r="B64" s="27" t="s">
        <v>170</v>
      </c>
      <c r="C64" s="26">
        <v>0</v>
      </c>
    </row>
    <row r="65" spans="1:3">
      <c r="A65" s="27" t="s">
        <v>153</v>
      </c>
      <c r="B65" s="27" t="s">
        <v>170</v>
      </c>
      <c r="C65" s="26">
        <v>7</v>
      </c>
    </row>
    <row r="66" spans="1:3">
      <c r="A66" s="27" t="s">
        <v>153</v>
      </c>
      <c r="B66" s="27" t="s">
        <v>170</v>
      </c>
      <c r="C66" s="26">
        <v>0</v>
      </c>
    </row>
    <row r="67" spans="1:3">
      <c r="A67" s="27" t="s">
        <v>153</v>
      </c>
      <c r="B67" s="27" t="s">
        <v>170</v>
      </c>
      <c r="C67" s="26">
        <v>0</v>
      </c>
    </row>
    <row r="68" spans="1:3">
      <c r="A68" s="27" t="s">
        <v>153</v>
      </c>
      <c r="B68" s="27" t="s">
        <v>170</v>
      </c>
      <c r="C68" s="26">
        <v>0</v>
      </c>
    </row>
    <row r="69" spans="1:3">
      <c r="A69" s="27" t="s">
        <v>153</v>
      </c>
      <c r="B69" s="27" t="s">
        <v>170</v>
      </c>
      <c r="C69" s="26">
        <v>0</v>
      </c>
    </row>
    <row r="70" spans="1:3">
      <c r="A70" s="27" t="s">
        <v>153</v>
      </c>
      <c r="B70" s="27" t="s">
        <v>170</v>
      </c>
      <c r="C70" s="26">
        <v>4</v>
      </c>
    </row>
    <row r="71" spans="1:3">
      <c r="A71" s="27" t="s">
        <v>153</v>
      </c>
      <c r="B71" s="27" t="s">
        <v>170</v>
      </c>
      <c r="C71" s="26">
        <v>8</v>
      </c>
    </row>
    <row r="72" spans="1:3">
      <c r="A72" s="27" t="s">
        <v>153</v>
      </c>
      <c r="B72" s="27" t="s">
        <v>170</v>
      </c>
      <c r="C72" s="26">
        <v>0</v>
      </c>
    </row>
    <row r="73" spans="1:3">
      <c r="A73" s="27" t="s">
        <v>153</v>
      </c>
      <c r="B73" s="27" t="s">
        <v>170</v>
      </c>
      <c r="C73" s="26">
        <v>1</v>
      </c>
    </row>
    <row r="74" spans="1:3">
      <c r="A74" s="27" t="s">
        <v>153</v>
      </c>
      <c r="B74" s="27" t="s">
        <v>170</v>
      </c>
      <c r="C74" s="26">
        <v>0</v>
      </c>
    </row>
    <row r="75" spans="1:3">
      <c r="A75" s="27" t="s">
        <v>154</v>
      </c>
      <c r="B75" s="27" t="s">
        <v>170</v>
      </c>
      <c r="C75" s="26">
        <v>7</v>
      </c>
    </row>
    <row r="76" spans="1:3">
      <c r="A76" s="27" t="s">
        <v>154</v>
      </c>
      <c r="B76" s="27" t="s">
        <v>170</v>
      </c>
      <c r="C76" s="26">
        <v>1</v>
      </c>
    </row>
    <row r="77" spans="1:3">
      <c r="A77" s="27" t="s">
        <v>154</v>
      </c>
      <c r="B77" s="27" t="s">
        <v>170</v>
      </c>
      <c r="C77" s="26">
        <v>0</v>
      </c>
    </row>
    <row r="78" spans="1:3">
      <c r="A78" s="27" t="s">
        <v>154</v>
      </c>
      <c r="B78" s="27" t="s">
        <v>170</v>
      </c>
      <c r="C78" s="26">
        <v>1</v>
      </c>
    </row>
    <row r="79" spans="1:3">
      <c r="A79" s="27" t="s">
        <v>154</v>
      </c>
      <c r="B79" s="27" t="s">
        <v>170</v>
      </c>
      <c r="C79" s="26">
        <v>3</v>
      </c>
    </row>
    <row r="80" spans="1:3">
      <c r="A80" s="27" t="s">
        <v>154</v>
      </c>
      <c r="B80" s="27" t="s">
        <v>170</v>
      </c>
      <c r="C80" s="26">
        <v>0</v>
      </c>
    </row>
    <row r="81" spans="1:3">
      <c r="A81" s="27" t="s">
        <v>154</v>
      </c>
      <c r="B81" s="27" t="s">
        <v>170</v>
      </c>
      <c r="C81" s="26">
        <v>3</v>
      </c>
    </row>
    <row r="82" spans="1:3">
      <c r="A82" s="27" t="s">
        <v>154</v>
      </c>
      <c r="B82" s="27" t="s">
        <v>170</v>
      </c>
      <c r="C82" s="26">
        <v>3</v>
      </c>
    </row>
    <row r="83" spans="1:3">
      <c r="A83" s="27" t="s">
        <v>154</v>
      </c>
      <c r="B83" s="27" t="s">
        <v>170</v>
      </c>
      <c r="C83" s="26">
        <v>9</v>
      </c>
    </row>
    <row r="84" spans="1:3">
      <c r="A84" s="27" t="s">
        <v>154</v>
      </c>
      <c r="B84" s="27" t="s">
        <v>170</v>
      </c>
      <c r="C84" s="26">
        <v>4</v>
      </c>
    </row>
    <row r="85" spans="1:3">
      <c r="A85" s="27" t="s">
        <v>154</v>
      </c>
      <c r="B85" s="27" t="s">
        <v>170</v>
      </c>
      <c r="C85" s="26">
        <v>0</v>
      </c>
    </row>
    <row r="86" spans="1:3">
      <c r="A86" s="27" t="s">
        <v>154</v>
      </c>
      <c r="B86" s="27" t="s">
        <v>170</v>
      </c>
      <c r="C86" s="26">
        <v>1</v>
      </c>
    </row>
    <row r="87" spans="1:3">
      <c r="A87" s="27" t="s">
        <v>154</v>
      </c>
      <c r="B87" s="27" t="s">
        <v>170</v>
      </c>
      <c r="C87" s="26">
        <v>4</v>
      </c>
    </row>
    <row r="88" spans="1:3">
      <c r="A88" s="27" t="s">
        <v>154</v>
      </c>
      <c r="B88" s="27" t="s">
        <v>170</v>
      </c>
      <c r="C88" s="26">
        <v>0</v>
      </c>
    </row>
    <row r="89" spans="1:3">
      <c r="A89" s="27" t="s">
        <v>153</v>
      </c>
      <c r="B89" s="27" t="s">
        <v>171</v>
      </c>
      <c r="C89" s="29">
        <v>10</v>
      </c>
    </row>
    <row r="90" spans="1:3">
      <c r="A90" s="27" t="s">
        <v>153</v>
      </c>
      <c r="B90" s="27" t="s">
        <v>171</v>
      </c>
      <c r="C90" s="29">
        <v>4</v>
      </c>
    </row>
    <row r="91" spans="1:3">
      <c r="A91" s="27" t="s">
        <v>153</v>
      </c>
      <c r="B91" s="27" t="s">
        <v>171</v>
      </c>
      <c r="C91" s="29">
        <v>14</v>
      </c>
    </row>
    <row r="92" spans="1:3">
      <c r="A92" s="27" t="s">
        <v>153</v>
      </c>
      <c r="B92" s="27" t="s">
        <v>171</v>
      </c>
      <c r="C92" s="29">
        <v>4</v>
      </c>
    </row>
    <row r="93" spans="1:3">
      <c r="A93" s="27" t="s">
        <v>153</v>
      </c>
      <c r="B93" s="27" t="s">
        <v>171</v>
      </c>
      <c r="C93" s="29">
        <v>2</v>
      </c>
    </row>
    <row r="94" spans="1:3">
      <c r="A94" s="27" t="s">
        <v>153</v>
      </c>
      <c r="B94" s="27" t="s">
        <v>171</v>
      </c>
      <c r="C94" s="29">
        <v>8</v>
      </c>
    </row>
    <row r="95" spans="1:3">
      <c r="A95" s="27" t="s">
        <v>153</v>
      </c>
      <c r="B95" s="27" t="s">
        <v>171</v>
      </c>
      <c r="C95" s="29">
        <v>6</v>
      </c>
    </row>
    <row r="96" spans="1:3">
      <c r="A96" s="27" t="s">
        <v>153</v>
      </c>
      <c r="B96" s="27" t="s">
        <v>171</v>
      </c>
      <c r="C96" s="29">
        <v>6</v>
      </c>
    </row>
    <row r="97" spans="1:3">
      <c r="A97" s="27" t="s">
        <v>153</v>
      </c>
      <c r="B97" s="27" t="s">
        <v>171</v>
      </c>
      <c r="C97" s="29">
        <v>7</v>
      </c>
    </row>
    <row r="98" spans="1:3">
      <c r="A98" s="27" t="s">
        <v>153</v>
      </c>
      <c r="B98" s="27" t="s">
        <v>171</v>
      </c>
      <c r="C98" s="29">
        <v>3</v>
      </c>
    </row>
    <row r="99" spans="1:3">
      <c r="A99" s="27" t="s">
        <v>153</v>
      </c>
      <c r="B99" s="27" t="s">
        <v>171</v>
      </c>
      <c r="C99" s="29">
        <v>15</v>
      </c>
    </row>
    <row r="100" spans="1:3">
      <c r="A100" s="27" t="s">
        <v>153</v>
      </c>
      <c r="B100" s="27" t="s">
        <v>171</v>
      </c>
      <c r="C100" s="29">
        <v>12</v>
      </c>
    </row>
    <row r="101" spans="1:3">
      <c r="A101" s="27" t="s">
        <v>153</v>
      </c>
      <c r="B101" s="27" t="s">
        <v>171</v>
      </c>
      <c r="C101" s="29">
        <v>0</v>
      </c>
    </row>
    <row r="102" spans="1:3">
      <c r="A102" s="27" t="s">
        <v>153</v>
      </c>
      <c r="B102" s="27" t="s">
        <v>171</v>
      </c>
      <c r="C102" s="29">
        <v>7</v>
      </c>
    </row>
    <row r="103" spans="1:3">
      <c r="A103" s="27" t="s">
        <v>153</v>
      </c>
      <c r="B103" s="27" t="s">
        <v>171</v>
      </c>
      <c r="C103" s="29">
        <v>4</v>
      </c>
    </row>
    <row r="104" spans="1:3">
      <c r="A104" s="27" t="s">
        <v>154</v>
      </c>
      <c r="B104" s="27" t="s">
        <v>171</v>
      </c>
      <c r="C104" s="29">
        <v>9</v>
      </c>
    </row>
    <row r="105" spans="1:3">
      <c r="A105" s="27" t="s">
        <v>154</v>
      </c>
      <c r="B105" s="27" t="s">
        <v>171</v>
      </c>
      <c r="C105" s="29">
        <v>12</v>
      </c>
    </row>
    <row r="106" spans="1:3">
      <c r="A106" s="27" t="s">
        <v>154</v>
      </c>
      <c r="B106" s="27" t="s">
        <v>171</v>
      </c>
      <c r="C106" s="29">
        <v>21</v>
      </c>
    </row>
    <row r="107" spans="1:3">
      <c r="A107" s="27" t="s">
        <v>154</v>
      </c>
      <c r="B107" s="27" t="s">
        <v>171</v>
      </c>
      <c r="C107" s="29">
        <v>19</v>
      </c>
    </row>
    <row r="108" spans="1:3">
      <c r="A108" s="27" t="s">
        <v>154</v>
      </c>
      <c r="B108" s="27" t="s">
        <v>171</v>
      </c>
      <c r="C108" s="29">
        <v>12</v>
      </c>
    </row>
    <row r="109" spans="1:3">
      <c r="A109" s="27" t="s">
        <v>154</v>
      </c>
      <c r="B109" s="27" t="s">
        <v>171</v>
      </c>
      <c r="C109" s="29">
        <v>6</v>
      </c>
    </row>
    <row r="110" spans="1:3">
      <c r="A110" s="27" t="s">
        <v>154</v>
      </c>
      <c r="B110" s="27" t="s">
        <v>171</v>
      </c>
      <c r="C110" s="29">
        <v>4</v>
      </c>
    </row>
    <row r="111" spans="1:3">
      <c r="A111" s="27" t="s">
        <v>154</v>
      </c>
      <c r="B111" s="27" t="s">
        <v>171</v>
      </c>
      <c r="C111" s="29">
        <v>5</v>
      </c>
    </row>
    <row r="112" spans="1:3">
      <c r="A112" s="27" t="s">
        <v>154</v>
      </c>
      <c r="B112" s="27" t="s">
        <v>171</v>
      </c>
      <c r="C112" s="29">
        <v>9</v>
      </c>
    </row>
    <row r="113" spans="1:3">
      <c r="A113" s="27" t="s">
        <v>154</v>
      </c>
      <c r="B113" s="27" t="s">
        <v>171</v>
      </c>
      <c r="C113" s="29">
        <v>2</v>
      </c>
    </row>
    <row r="114" spans="1:3">
      <c r="A114" s="27" t="s">
        <v>154</v>
      </c>
      <c r="B114" s="27" t="s">
        <v>171</v>
      </c>
      <c r="C114" s="29">
        <v>9</v>
      </c>
    </row>
    <row r="115" spans="1:3">
      <c r="A115" s="27" t="s">
        <v>154</v>
      </c>
      <c r="B115" s="27" t="s">
        <v>171</v>
      </c>
      <c r="C115" s="29">
        <v>9</v>
      </c>
    </row>
    <row r="116" spans="1:3">
      <c r="A116" s="27" t="s">
        <v>154</v>
      </c>
      <c r="B116" s="27" t="s">
        <v>171</v>
      </c>
      <c r="C116" s="29">
        <v>2</v>
      </c>
    </row>
    <row r="117" spans="1:3">
      <c r="A117" s="27" t="s">
        <v>154</v>
      </c>
      <c r="B117" s="27" t="s">
        <v>171</v>
      </c>
      <c r="C117" s="29">
        <v>7</v>
      </c>
    </row>
    <row r="118" spans="1:3">
      <c r="A118" s="27" t="s">
        <v>153</v>
      </c>
      <c r="B118" s="27" t="s">
        <v>172</v>
      </c>
      <c r="C118" s="29">
        <v>14</v>
      </c>
    </row>
    <row r="119" spans="1:3">
      <c r="A119" s="27" t="s">
        <v>153</v>
      </c>
      <c r="B119" s="27" t="s">
        <v>172</v>
      </c>
      <c r="C119" s="29">
        <v>3</v>
      </c>
    </row>
    <row r="120" spans="1:3">
      <c r="A120" s="27" t="s">
        <v>153</v>
      </c>
      <c r="B120" s="27" t="s">
        <v>172</v>
      </c>
      <c r="C120" s="29">
        <v>17</v>
      </c>
    </row>
    <row r="121" spans="1:3">
      <c r="A121" s="27" t="s">
        <v>153</v>
      </c>
      <c r="B121" s="27" t="s">
        <v>172</v>
      </c>
      <c r="C121" s="29">
        <v>20</v>
      </c>
    </row>
    <row r="122" spans="1:3">
      <c r="A122" s="27" t="s">
        <v>153</v>
      </c>
      <c r="B122" s="27" t="s">
        <v>172</v>
      </c>
      <c r="C122" s="29">
        <v>21</v>
      </c>
    </row>
    <row r="123" spans="1:3">
      <c r="A123" s="27" t="s">
        <v>153</v>
      </c>
      <c r="B123" s="27" t="s">
        <v>172</v>
      </c>
      <c r="C123" s="29">
        <v>19</v>
      </c>
    </row>
    <row r="124" spans="1:3">
      <c r="A124" s="27" t="s">
        <v>153</v>
      </c>
      <c r="B124" s="27" t="s">
        <v>172</v>
      </c>
      <c r="C124" s="29">
        <v>11</v>
      </c>
    </row>
    <row r="125" spans="1:3">
      <c r="A125" s="27" t="s">
        <v>153</v>
      </c>
      <c r="B125" s="27" t="s">
        <v>172</v>
      </c>
      <c r="C125" s="29">
        <v>15</v>
      </c>
    </row>
    <row r="126" spans="1:3">
      <c r="A126" s="27" t="s">
        <v>153</v>
      </c>
      <c r="B126" s="27" t="s">
        <v>172</v>
      </c>
      <c r="C126" s="29">
        <v>15</v>
      </c>
    </row>
    <row r="127" spans="1:3">
      <c r="A127" s="27" t="s">
        <v>153</v>
      </c>
      <c r="B127" s="27" t="s">
        <v>172</v>
      </c>
      <c r="C127" s="29">
        <v>25</v>
      </c>
    </row>
    <row r="128" spans="1:3">
      <c r="A128" s="27" t="s">
        <v>153</v>
      </c>
      <c r="B128" s="27" t="s">
        <v>172</v>
      </c>
      <c r="C128" s="29">
        <v>19</v>
      </c>
    </row>
    <row r="129" spans="1:3">
      <c r="A129" s="27" t="s">
        <v>153</v>
      </c>
      <c r="B129" s="27" t="s">
        <v>172</v>
      </c>
      <c r="C129" s="29">
        <v>17</v>
      </c>
    </row>
    <row r="130" spans="1:3">
      <c r="A130" s="27" t="s">
        <v>153</v>
      </c>
      <c r="B130" s="27" t="s">
        <v>172</v>
      </c>
      <c r="C130" s="29">
        <v>18</v>
      </c>
    </row>
    <row r="131" spans="1:3">
      <c r="A131" s="27" t="s">
        <v>153</v>
      </c>
      <c r="B131" s="27" t="s">
        <v>172</v>
      </c>
      <c r="C131" s="29">
        <v>22</v>
      </c>
    </row>
    <row r="132" spans="1:3">
      <c r="A132" s="27" t="s">
        <v>153</v>
      </c>
      <c r="B132" s="27" t="s">
        <v>172</v>
      </c>
      <c r="C132" s="29">
        <v>11</v>
      </c>
    </row>
    <row r="133" spans="1:3">
      <c r="A133" s="27" t="s">
        <v>154</v>
      </c>
      <c r="B133" s="27" t="s">
        <v>172</v>
      </c>
      <c r="C133" s="29">
        <v>8</v>
      </c>
    </row>
    <row r="134" spans="1:3">
      <c r="A134" s="27" t="s">
        <v>154</v>
      </c>
      <c r="B134" s="27" t="s">
        <v>172</v>
      </c>
      <c r="C134" s="29">
        <v>14</v>
      </c>
    </row>
    <row r="135" spans="1:3">
      <c r="A135" s="27" t="s">
        <v>154</v>
      </c>
      <c r="B135" s="27" t="s">
        <v>172</v>
      </c>
      <c r="C135" s="29">
        <v>28</v>
      </c>
    </row>
    <row r="136" spans="1:3">
      <c r="A136" s="27" t="s">
        <v>154</v>
      </c>
      <c r="B136" s="27" t="s">
        <v>172</v>
      </c>
      <c r="C136" s="29">
        <v>23</v>
      </c>
    </row>
    <row r="137" spans="1:3">
      <c r="A137" s="27" t="s">
        <v>154</v>
      </c>
      <c r="B137" s="27" t="s">
        <v>172</v>
      </c>
      <c r="C137" s="29">
        <v>33</v>
      </c>
    </row>
    <row r="138" spans="1:3">
      <c r="A138" s="27" t="s">
        <v>154</v>
      </c>
      <c r="B138" s="27" t="s">
        <v>172</v>
      </c>
      <c r="C138" s="29">
        <v>25</v>
      </c>
    </row>
    <row r="139" spans="1:3">
      <c r="A139" s="27" t="s">
        <v>154</v>
      </c>
      <c r="B139" s="27" t="s">
        <v>172</v>
      </c>
      <c r="C139" s="29">
        <v>20</v>
      </c>
    </row>
    <row r="140" spans="1:3">
      <c r="A140" s="27" t="s">
        <v>154</v>
      </c>
      <c r="B140" s="27" t="s">
        <v>172</v>
      </c>
      <c r="C140" s="29">
        <v>35</v>
      </c>
    </row>
    <row r="141" spans="1:3">
      <c r="A141" s="27" t="s">
        <v>154</v>
      </c>
      <c r="B141" s="27" t="s">
        <v>172</v>
      </c>
      <c r="C141" s="29">
        <v>13</v>
      </c>
    </row>
    <row r="142" spans="1:3">
      <c r="A142" s="27" t="s">
        <v>154</v>
      </c>
      <c r="B142" s="27" t="s">
        <v>172</v>
      </c>
      <c r="C142" s="29">
        <v>21</v>
      </c>
    </row>
    <row r="143" spans="1:3">
      <c r="A143" s="27" t="s">
        <v>154</v>
      </c>
      <c r="B143" s="27" t="s">
        <v>172</v>
      </c>
      <c r="C143" s="29">
        <v>31</v>
      </c>
    </row>
    <row r="144" spans="1:3">
      <c r="A144" s="27" t="s">
        <v>154</v>
      </c>
      <c r="B144" s="27" t="s">
        <v>172</v>
      </c>
      <c r="C144" s="29">
        <v>8</v>
      </c>
    </row>
    <row r="145" spans="1:3">
      <c r="A145" s="27" t="s">
        <v>154</v>
      </c>
      <c r="B145" s="27" t="s">
        <v>172</v>
      </c>
      <c r="C145" s="29">
        <v>17</v>
      </c>
    </row>
    <row r="146" spans="1:3">
      <c r="A146" s="27" t="s">
        <v>154</v>
      </c>
      <c r="B146" s="27" t="s">
        <v>172</v>
      </c>
      <c r="C146" s="29">
        <v>23</v>
      </c>
    </row>
    <row r="147" spans="1:3">
      <c r="A147" s="27" t="s">
        <v>153</v>
      </c>
      <c r="B147" s="27" t="s">
        <v>173</v>
      </c>
      <c r="C147" s="29">
        <v>26</v>
      </c>
    </row>
    <row r="148" spans="1:3">
      <c r="A148" s="27" t="s">
        <v>153</v>
      </c>
      <c r="B148" s="27" t="s">
        <v>173</v>
      </c>
      <c r="C148" s="29">
        <v>34</v>
      </c>
    </row>
    <row r="149" spans="1:3">
      <c r="A149" s="27" t="s">
        <v>153</v>
      </c>
      <c r="B149" s="27" t="s">
        <v>173</v>
      </c>
      <c r="C149" s="29">
        <v>34</v>
      </c>
    </row>
    <row r="150" spans="1:3">
      <c r="A150" s="27" t="s">
        <v>153</v>
      </c>
      <c r="B150" s="27" t="s">
        <v>173</v>
      </c>
      <c r="C150" s="29">
        <v>43</v>
      </c>
    </row>
    <row r="151" spans="1:3">
      <c r="A151" s="27" t="s">
        <v>153</v>
      </c>
      <c r="B151" s="27" t="s">
        <v>173</v>
      </c>
      <c r="C151" s="29">
        <v>37</v>
      </c>
    </row>
    <row r="152" spans="1:3">
      <c r="A152" s="27" t="s">
        <v>153</v>
      </c>
      <c r="B152" s="27" t="s">
        <v>173</v>
      </c>
      <c r="C152" s="29">
        <v>38</v>
      </c>
    </row>
    <row r="153" spans="1:3">
      <c r="A153" s="27" t="s">
        <v>153</v>
      </c>
      <c r="B153" s="27" t="s">
        <v>173</v>
      </c>
      <c r="C153" s="29">
        <v>32</v>
      </c>
    </row>
    <row r="154" spans="1:3">
      <c r="A154" s="27" t="s">
        <v>153</v>
      </c>
      <c r="B154" s="27" t="s">
        <v>173</v>
      </c>
      <c r="C154" s="29">
        <v>32</v>
      </c>
    </row>
    <row r="155" spans="1:3">
      <c r="A155" s="27" t="s">
        <v>153</v>
      </c>
      <c r="B155" s="27" t="s">
        <v>173</v>
      </c>
      <c r="C155" s="29">
        <v>24</v>
      </c>
    </row>
    <row r="156" spans="1:3">
      <c r="A156" s="27" t="s">
        <v>153</v>
      </c>
      <c r="B156" s="27" t="s">
        <v>173</v>
      </c>
      <c r="C156" s="29">
        <v>44</v>
      </c>
    </row>
    <row r="157" spans="1:3">
      <c r="A157" s="27" t="s">
        <v>153</v>
      </c>
      <c r="B157" s="27" t="s">
        <v>173</v>
      </c>
      <c r="C157" s="29">
        <v>37</v>
      </c>
    </row>
    <row r="158" spans="1:3">
      <c r="A158" s="27" t="s">
        <v>153</v>
      </c>
      <c r="B158" s="27" t="s">
        <v>173</v>
      </c>
      <c r="C158" s="29">
        <v>36</v>
      </c>
    </row>
    <row r="159" spans="1:3">
      <c r="A159" s="27" t="s">
        <v>153</v>
      </c>
      <c r="B159" s="27" t="s">
        <v>173</v>
      </c>
      <c r="C159" s="29">
        <v>44</v>
      </c>
    </row>
    <row r="160" spans="1:3">
      <c r="A160" s="27" t="s">
        <v>153</v>
      </c>
      <c r="B160" s="27" t="s">
        <v>173</v>
      </c>
      <c r="C160" s="29">
        <v>36</v>
      </c>
    </row>
    <row r="161" spans="1:3">
      <c r="A161" s="27" t="s">
        <v>153</v>
      </c>
      <c r="B161" s="27" t="s">
        <v>173</v>
      </c>
      <c r="C161" s="29">
        <v>32</v>
      </c>
    </row>
    <row r="162" spans="1:3">
      <c r="A162" s="27" t="s">
        <v>154</v>
      </c>
      <c r="B162" s="27" t="s">
        <v>173</v>
      </c>
      <c r="C162" s="29">
        <v>22</v>
      </c>
    </row>
    <row r="163" spans="1:3">
      <c r="A163" s="27" t="s">
        <v>154</v>
      </c>
      <c r="B163" s="27" t="s">
        <v>173</v>
      </c>
      <c r="C163" s="29">
        <v>32</v>
      </c>
    </row>
    <row r="164" spans="1:3">
      <c r="A164" s="27" t="s">
        <v>154</v>
      </c>
      <c r="B164" s="27" t="s">
        <v>173</v>
      </c>
      <c r="C164" s="29">
        <v>38</v>
      </c>
    </row>
    <row r="165" spans="1:3">
      <c r="A165" s="27" t="s">
        <v>154</v>
      </c>
      <c r="B165" s="27" t="s">
        <v>173</v>
      </c>
      <c r="C165" s="29">
        <v>31</v>
      </c>
    </row>
    <row r="166" spans="1:3">
      <c r="A166" s="27" t="s">
        <v>154</v>
      </c>
      <c r="B166" s="27" t="s">
        <v>173</v>
      </c>
      <c r="C166" s="29">
        <v>56</v>
      </c>
    </row>
    <row r="167" spans="1:3">
      <c r="A167" s="27" t="s">
        <v>154</v>
      </c>
      <c r="B167" s="27" t="s">
        <v>173</v>
      </c>
      <c r="C167" s="29">
        <v>47</v>
      </c>
    </row>
    <row r="168" spans="1:3">
      <c r="A168" s="27" t="s">
        <v>154</v>
      </c>
      <c r="B168" s="27" t="s">
        <v>173</v>
      </c>
      <c r="C168" s="29">
        <v>40</v>
      </c>
    </row>
    <row r="169" spans="1:3">
      <c r="A169" s="27" t="s">
        <v>154</v>
      </c>
      <c r="B169" s="27" t="s">
        <v>173</v>
      </c>
      <c r="C169" s="29">
        <v>59</v>
      </c>
    </row>
    <row r="170" spans="1:3">
      <c r="A170" s="27" t="s">
        <v>154</v>
      </c>
      <c r="B170" s="27" t="s">
        <v>173</v>
      </c>
      <c r="C170" s="29">
        <v>28</v>
      </c>
    </row>
    <row r="171" spans="1:3">
      <c r="A171" s="27" t="s">
        <v>154</v>
      </c>
      <c r="B171" s="27" t="s">
        <v>173</v>
      </c>
      <c r="C171" s="29">
        <v>39</v>
      </c>
    </row>
    <row r="172" spans="1:3">
      <c r="A172" s="27" t="s">
        <v>154</v>
      </c>
      <c r="B172" s="27" t="s">
        <v>173</v>
      </c>
      <c r="C172" s="29">
        <v>57</v>
      </c>
    </row>
    <row r="173" spans="1:3">
      <c r="A173" s="27" t="s">
        <v>154</v>
      </c>
      <c r="B173" s="27" t="s">
        <v>173</v>
      </c>
      <c r="C173" s="29">
        <v>11</v>
      </c>
    </row>
    <row r="174" spans="1:3">
      <c r="A174" s="27" t="s">
        <v>154</v>
      </c>
      <c r="B174" s="27" t="s">
        <v>173</v>
      </c>
      <c r="C174" s="29">
        <v>33</v>
      </c>
    </row>
    <row r="175" spans="1:3">
      <c r="A175" s="27" t="s">
        <v>154</v>
      </c>
      <c r="B175" s="27" t="s">
        <v>173</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Duplo (Raw)</vt:lpstr>
      <vt:lpstr>ROY (Raw)</vt:lpstr>
      <vt:lpstr>Program Analysis</vt:lpstr>
      <vt:lpstr>Programming Obstacles</vt:lpstr>
      <vt:lpstr>Performance</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2023-02-23T16:55:00Z</dcterms:modified>
</cp:coreProperties>
</file>