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E7705BD-C864-4C3B-B1D2-7F74BB98C7B3}" xr6:coauthVersionLast="47" xr6:coauthVersionMax="47" xr10:uidLastSave="{00000000-0000-0000-0000-000000000000}"/>
  <bookViews>
    <workbookView xWindow="-120" yWindow="-120" windowWidth="20730" windowHeight="11160" tabRatio="773" firstSheet="1" activeTab="1" xr2:uid="{00000000-000D-0000-FFFF-FFFF00000000}"/>
  </bookViews>
  <sheets>
    <sheet name="DATOS" sheetId="11" state="hidden" r:id="rId1"/>
    <sheet name="SIMULADOR" sheetId="6" r:id="rId2"/>
    <sheet name="FORMATO DE REGISTRO" sheetId="8" r:id="rId3"/>
  </sheets>
  <externalReferences>
    <externalReference r:id="rId4"/>
    <externalReference r:id="rId5"/>
  </externalReferences>
  <definedNames>
    <definedName name="_xlnm.Print_Area" localSheetId="2">'FORMATO DE REGISTRO'!$A$1:$AX$166</definedName>
    <definedName name="_xlnm.Print_Area" localSheetId="1">SIMULADOR!$A$1:$K$259</definedName>
    <definedName name="Categorías">OFFSET('[1]Presupuesto Mensual'!$B$3,1,,COUNTA('[1]Presupuesto Mensual'!$B:$B),)</definedName>
    <definedName name="FOTOS" localSheetId="1">INDEX(DATOS!D3:D4,MATCH(SIMULADOR!D3,DATOS!C3:C4,0))</definedName>
    <definedName name="Gastado">OFFSET('[1]Presupuesto Mensual'!$D$3,1,,COUNTA('[1]Presupuesto Mensual'!$D:$D)-2,)</definedName>
    <definedName name="Presupuesto">OFFSET('[1]Presupuesto Mensual'!$C$3,1,,COUNTA('[1]Presupuesto Mensual'!$C:$C)-2,)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8" l="1"/>
  <c r="H7" i="8"/>
  <c r="E3" i="6"/>
  <c r="D3" i="6" s="1"/>
  <c r="D10" i="6"/>
  <c r="D19" i="6" l="1"/>
  <c r="E97" i="6" l="1"/>
  <c r="Q19" i="8"/>
  <c r="E109" i="6" l="1"/>
  <c r="H5" i="8"/>
  <c r="H24" i="8"/>
  <c r="AQ17" i="8"/>
  <c r="AU9" i="8"/>
  <c r="AU8" i="8"/>
  <c r="AU7" i="8"/>
  <c r="AB6" i="8"/>
  <c r="D193" i="6"/>
  <c r="H109" i="6"/>
  <c r="D105" i="6"/>
  <c r="D41" i="6"/>
  <c r="D37" i="6"/>
  <c r="D38" i="6" s="1"/>
  <c r="E22" i="6"/>
  <c r="H19" i="6"/>
  <c r="E18" i="6"/>
  <c r="D12" i="6"/>
  <c r="I7" i="6"/>
  <c r="I8" i="6" s="1"/>
  <c r="I9" i="6" s="1"/>
  <c r="I3" i="6"/>
  <c r="I2" i="6"/>
  <c r="F109" i="6" l="1"/>
  <c r="E182" i="6"/>
  <c r="E197" i="6" s="1"/>
  <c r="F197" i="6" s="1"/>
  <c r="H197" i="6" s="1"/>
  <c r="D34" i="6"/>
  <c r="A198" i="6"/>
  <c r="AB7" i="8"/>
  <c r="J10" i="6" l="1"/>
  <c r="L9" i="6" s="1"/>
  <c r="A199" i="6"/>
  <c r="I10" i="6" l="1"/>
  <c r="A200" i="6"/>
  <c r="AB9" i="8" l="1"/>
  <c r="A201" i="6"/>
  <c r="A202" i="6" l="1"/>
  <c r="A203" i="6" l="1"/>
  <c r="A204" i="6" l="1"/>
  <c r="A205" i="6" l="1"/>
  <c r="A206" i="6" l="1"/>
  <c r="A207" i="6" l="1"/>
  <c r="A208" i="6" l="1"/>
  <c r="A209" i="6" l="1"/>
  <c r="A210" i="6" l="1"/>
  <c r="A211" i="6" l="1"/>
  <c r="A212" i="6" l="1"/>
  <c r="A213" i="6" l="1"/>
  <c r="A214" i="6" l="1"/>
  <c r="A215" i="6" l="1"/>
  <c r="A216" i="6" l="1"/>
  <c r="A217" i="6" l="1"/>
  <c r="A218" i="6" l="1"/>
  <c r="A219" i="6" l="1"/>
  <c r="A220" i="6" l="1"/>
  <c r="A221" i="6" l="1"/>
  <c r="A222" i="6" l="1"/>
  <c r="A223" i="6" l="1"/>
  <c r="A224" i="6" l="1"/>
  <c r="A225" i="6" l="1"/>
  <c r="A226" i="6" l="1"/>
  <c r="A227" i="6" l="1"/>
  <c r="A228" i="6" l="1"/>
  <c r="A229" i="6" l="1"/>
  <c r="A230" i="6" l="1"/>
  <c r="A231" i="6" l="1"/>
  <c r="A232" i="6" l="1"/>
  <c r="A233" i="6" l="1"/>
  <c r="A234" i="6" l="1"/>
  <c r="A235" i="6" l="1"/>
  <c r="A236" i="6" l="1"/>
  <c r="A237" i="6" l="1"/>
  <c r="A238" i="6" l="1"/>
  <c r="A239" i="6" l="1"/>
  <c r="A240" i="6" l="1"/>
  <c r="A241" i="6" l="1"/>
  <c r="A242" i="6" l="1"/>
  <c r="A243" i="6" l="1"/>
  <c r="A244" i="6" l="1"/>
  <c r="A245" i="6" l="1"/>
  <c r="A246" i="6" l="1"/>
  <c r="A247" i="6" l="1"/>
  <c r="A248" i="6" l="1"/>
  <c r="A249" i="6" l="1"/>
  <c r="A250" i="6" l="1"/>
  <c r="A251" i="6" l="1"/>
  <c r="A252" i="6" l="1"/>
  <c r="A253" i="6" l="1"/>
  <c r="A254" i="6" l="1"/>
  <c r="A255" i="6" l="1"/>
  <c r="A256" i="6" l="1"/>
  <c r="A257" i="6" l="1"/>
  <c r="M10" i="6"/>
  <c r="I11" i="6" s="1"/>
  <c r="I12" i="6" l="1"/>
  <c r="D35" i="6" l="1"/>
  <c r="D36" i="6" s="1"/>
  <c r="J12" i="6"/>
  <c r="I15" i="6"/>
  <c r="AU6" i="8" s="1"/>
  <c r="I13" i="6"/>
  <c r="AB11" i="8" l="1"/>
  <c r="AB10" i="8" s="1"/>
  <c r="J13" i="6"/>
  <c r="I14" i="6"/>
  <c r="AB8" i="8" s="1"/>
  <c r="C45" i="6"/>
  <c r="D42" i="6"/>
  <c r="J19" i="6" l="1"/>
  <c r="AU13" i="8" s="1"/>
  <c r="G45" i="6"/>
  <c r="A46" i="6"/>
  <c r="C19" i="6"/>
  <c r="D45" i="6"/>
  <c r="D40" i="6"/>
  <c r="D43" i="6" s="1"/>
  <c r="B46" i="6"/>
  <c r="D20" i="6"/>
  <c r="D21" i="6" s="1"/>
  <c r="D192" i="6" s="1"/>
  <c r="C20" i="6" l="1"/>
  <c r="I20" i="6" s="1"/>
  <c r="H45" i="6"/>
  <c r="F45" i="6"/>
  <c r="D46" i="6"/>
  <c r="B47" i="6"/>
  <c r="A47" i="6"/>
  <c r="I19" i="6"/>
  <c r="B20" i="6"/>
  <c r="H20" i="6" s="1"/>
  <c r="B21" i="6"/>
  <c r="D104" i="6"/>
  <c r="D103" i="6" s="1"/>
  <c r="A182" i="6"/>
  <c r="D102" i="6"/>
  <c r="D39" i="6"/>
  <c r="D190" i="6" l="1"/>
  <c r="F46" i="6"/>
  <c r="D47" i="6"/>
  <c r="A48" i="6"/>
  <c r="B48" i="6"/>
  <c r="H21" i="6"/>
  <c r="C21" i="6"/>
  <c r="I21" i="6" s="1"/>
  <c r="I45" i="6"/>
  <c r="C46" i="6" s="1"/>
  <c r="F47" i="6" l="1"/>
  <c r="G46" i="6"/>
  <c r="H46" i="6" s="1"/>
  <c r="I46" i="6" s="1"/>
  <c r="C47" i="6" s="1"/>
  <c r="D191" i="6"/>
  <c r="D48" i="6"/>
  <c r="A49" i="6"/>
  <c r="B49" i="6"/>
  <c r="G47" i="6" l="1"/>
  <c r="H47" i="6" s="1"/>
  <c r="I47" i="6" s="1"/>
  <c r="C48" i="6" s="1"/>
  <c r="A50" i="6"/>
  <c r="D49" i="6"/>
  <c r="B50" i="6"/>
  <c r="F48" i="6"/>
  <c r="G48" i="6" l="1"/>
  <c r="H48" i="6" s="1"/>
  <c r="F49" i="6"/>
  <c r="A51" i="6"/>
  <c r="B51" i="6"/>
  <c r="D50" i="6"/>
  <c r="A52" i="6" l="1"/>
  <c r="B52" i="6"/>
  <c r="D51" i="6"/>
  <c r="F50" i="6"/>
  <c r="I48" i="6"/>
  <c r="C49" i="6" s="1"/>
  <c r="F51" i="6" l="1"/>
  <c r="B53" i="6"/>
  <c r="A53" i="6"/>
  <c r="D52" i="6"/>
  <c r="G49" i="6"/>
  <c r="H49" i="6" s="1"/>
  <c r="I49" i="6" s="1"/>
  <c r="C50" i="6" s="1"/>
  <c r="F52" i="6" l="1"/>
  <c r="G50" i="6"/>
  <c r="H50" i="6" s="1"/>
  <c r="I50" i="6" s="1"/>
  <c r="C51" i="6" s="1"/>
  <c r="B54" i="6"/>
  <c r="D53" i="6"/>
  <c r="A54" i="6"/>
  <c r="G51" i="6" l="1"/>
  <c r="H51" i="6" s="1"/>
  <c r="I51" i="6" s="1"/>
  <c r="C52" i="6" s="1"/>
  <c r="F53" i="6"/>
  <c r="A55" i="6"/>
  <c r="B55" i="6"/>
  <c r="D54" i="6"/>
  <c r="G52" i="6" l="1"/>
  <c r="H52" i="6" s="1"/>
  <c r="I52" i="6" s="1"/>
  <c r="C53" i="6" s="1"/>
  <c r="A56" i="6"/>
  <c r="B56" i="6"/>
  <c r="D55" i="6"/>
  <c r="F54" i="6"/>
  <c r="G53" i="6" l="1"/>
  <c r="H53" i="6" s="1"/>
  <c r="I53" i="6" s="1"/>
  <c r="C54" i="6" s="1"/>
  <c r="F55" i="6"/>
  <c r="B57" i="6"/>
  <c r="D56" i="6"/>
  <c r="A57" i="6"/>
  <c r="G54" i="6" l="1"/>
  <c r="H54" i="6" s="1"/>
  <c r="I54" i="6" s="1"/>
  <c r="C55" i="6" s="1"/>
  <c r="F56" i="6"/>
  <c r="B58" i="6"/>
  <c r="D57" i="6"/>
  <c r="A58" i="6"/>
  <c r="G55" i="6" l="1"/>
  <c r="H55" i="6" s="1"/>
  <c r="I55" i="6" s="1"/>
  <c r="C56" i="6" s="1"/>
  <c r="F57" i="6"/>
  <c r="B59" i="6"/>
  <c r="A59" i="6"/>
  <c r="D58" i="6"/>
  <c r="G56" i="6" l="1"/>
  <c r="H56" i="6" s="1"/>
  <c r="I56" i="6" s="1"/>
  <c r="C57" i="6" s="1"/>
  <c r="B60" i="6"/>
  <c r="D59" i="6"/>
  <c r="A60" i="6"/>
  <c r="F58" i="6"/>
  <c r="G57" i="6" l="1"/>
  <c r="H57" i="6" s="1"/>
  <c r="I57" i="6" s="1"/>
  <c r="C58" i="6" s="1"/>
  <c r="B61" i="6"/>
  <c r="D60" i="6"/>
  <c r="A61" i="6"/>
  <c r="F59" i="6"/>
  <c r="G58" i="6" l="1"/>
  <c r="H58" i="6" s="1"/>
  <c r="I58" i="6" s="1"/>
  <c r="C59" i="6" s="1"/>
  <c r="F60" i="6"/>
  <c r="B62" i="6"/>
  <c r="A62" i="6"/>
  <c r="D61" i="6"/>
  <c r="G59" i="6" l="1"/>
  <c r="H59" i="6" s="1"/>
  <c r="I59" i="6" s="1"/>
  <c r="C60" i="6" s="1"/>
  <c r="F61" i="6"/>
  <c r="B63" i="6"/>
  <c r="D62" i="6"/>
  <c r="A63" i="6"/>
  <c r="G60" i="6" l="1"/>
  <c r="H60" i="6" s="1"/>
  <c r="I60" i="6" s="1"/>
  <c r="C61" i="6" s="1"/>
  <c r="A64" i="6"/>
  <c r="B64" i="6"/>
  <c r="D63" i="6"/>
  <c r="F62" i="6"/>
  <c r="G61" i="6" l="1"/>
  <c r="H61" i="6" s="1"/>
  <c r="I61" i="6" s="1"/>
  <c r="C62" i="6" s="1"/>
  <c r="F63" i="6"/>
  <c r="A65" i="6"/>
  <c r="B65" i="6"/>
  <c r="D64" i="6"/>
  <c r="G62" i="6" l="1"/>
  <c r="H62" i="6" s="1"/>
  <c r="I62" i="6" s="1"/>
  <c r="C63" i="6" s="1"/>
  <c r="A66" i="6"/>
  <c r="B66" i="6"/>
  <c r="D65" i="6"/>
  <c r="F64" i="6"/>
  <c r="G63" i="6" l="1"/>
  <c r="H63" i="6" s="1"/>
  <c r="I63" i="6" s="1"/>
  <c r="C64" i="6" s="1"/>
  <c r="F65" i="6"/>
  <c r="A67" i="6"/>
  <c r="B67" i="6"/>
  <c r="D66" i="6"/>
  <c r="G64" i="6" l="1"/>
  <c r="H64" i="6" s="1"/>
  <c r="I64" i="6" s="1"/>
  <c r="C65" i="6" s="1"/>
  <c r="F66" i="6"/>
  <c r="B68" i="6"/>
  <c r="D67" i="6"/>
  <c r="A68" i="6"/>
  <c r="G65" i="6" l="1"/>
  <c r="H65" i="6" s="1"/>
  <c r="I65" i="6" s="1"/>
  <c r="C66" i="6" s="1"/>
  <c r="F67" i="6"/>
  <c r="B69" i="6"/>
  <c r="D68" i="6"/>
  <c r="A69" i="6"/>
  <c r="G66" i="6" l="1"/>
  <c r="H66" i="6" s="1"/>
  <c r="I66" i="6" s="1"/>
  <c r="C67" i="6" s="1"/>
  <c r="F68" i="6"/>
  <c r="B70" i="6"/>
  <c r="D69" i="6"/>
  <c r="A70" i="6"/>
  <c r="G67" i="6" l="1"/>
  <c r="H67" i="6" s="1"/>
  <c r="I67" i="6" s="1"/>
  <c r="C68" i="6" s="1"/>
  <c r="F69" i="6"/>
  <c r="A71" i="6"/>
  <c r="B71" i="6"/>
  <c r="D70" i="6"/>
  <c r="G68" i="6" l="1"/>
  <c r="H68" i="6" s="1"/>
  <c r="I68" i="6" s="1"/>
  <c r="C69" i="6" s="1"/>
  <c r="D71" i="6"/>
  <c r="A72" i="6"/>
  <c r="B72" i="6"/>
  <c r="F70" i="6"/>
  <c r="G69" i="6" l="1"/>
  <c r="H69" i="6" s="1"/>
  <c r="I69" i="6" s="1"/>
  <c r="C70" i="6" s="1"/>
  <c r="F71" i="6"/>
  <c r="A73" i="6"/>
  <c r="B73" i="6"/>
  <c r="D72" i="6"/>
  <c r="G70" i="6" l="1"/>
  <c r="H70" i="6" s="1"/>
  <c r="I70" i="6" s="1"/>
  <c r="C71" i="6" s="1"/>
  <c r="A74" i="6"/>
  <c r="D73" i="6"/>
  <c r="B74" i="6"/>
  <c r="F72" i="6"/>
  <c r="G71" i="6" l="1"/>
  <c r="H71" i="6" s="1"/>
  <c r="I71" i="6" s="1"/>
  <c r="C72" i="6" s="1"/>
  <c r="F73" i="6"/>
  <c r="D74" i="6"/>
  <c r="A75" i="6"/>
  <c r="B75" i="6"/>
  <c r="G72" i="6" l="1"/>
  <c r="H72" i="6" s="1"/>
  <c r="I72" i="6" s="1"/>
  <c r="C73" i="6" s="1"/>
  <c r="F74" i="6"/>
  <c r="A76" i="6"/>
  <c r="B76" i="6"/>
  <c r="D75" i="6"/>
  <c r="G73" i="6" l="1"/>
  <c r="H73" i="6" s="1"/>
  <c r="I73" i="6" s="1"/>
  <c r="C74" i="6" s="1"/>
  <c r="A77" i="6"/>
  <c r="B77" i="6"/>
  <c r="D76" i="6"/>
  <c r="F75" i="6"/>
  <c r="G74" i="6" l="1"/>
  <c r="H74" i="6" s="1"/>
  <c r="I74" i="6" s="1"/>
  <c r="C75" i="6" s="1"/>
  <c r="A78" i="6"/>
  <c r="B78" i="6"/>
  <c r="D77" i="6"/>
  <c r="F76" i="6"/>
  <c r="G75" i="6" l="1"/>
  <c r="H75" i="6" s="1"/>
  <c r="I75" i="6" s="1"/>
  <c r="C76" i="6" s="1"/>
  <c r="A79" i="6"/>
  <c r="B79" i="6"/>
  <c r="D78" i="6"/>
  <c r="F77" i="6"/>
  <c r="G76" i="6" l="1"/>
  <c r="H76" i="6" s="1"/>
  <c r="I76" i="6" s="1"/>
  <c r="C77" i="6" s="1"/>
  <c r="F78" i="6"/>
  <c r="A80" i="6"/>
  <c r="B80" i="6"/>
  <c r="D79" i="6"/>
  <c r="G77" i="6" l="1"/>
  <c r="H77" i="6" s="1"/>
  <c r="I77" i="6" s="1"/>
  <c r="C78" i="6" s="1"/>
  <c r="A81" i="6"/>
  <c r="B81" i="6"/>
  <c r="D80" i="6"/>
  <c r="F79" i="6"/>
  <c r="G78" i="6" l="1"/>
  <c r="H78" i="6" s="1"/>
  <c r="I78" i="6" s="1"/>
  <c r="C79" i="6" s="1"/>
  <c r="F80" i="6"/>
  <c r="A82" i="6"/>
  <c r="B82" i="6"/>
  <c r="D81" i="6"/>
  <c r="G79" i="6" l="1"/>
  <c r="H79" i="6" s="1"/>
  <c r="I79" i="6" s="1"/>
  <c r="C80" i="6" s="1"/>
  <c r="A83" i="6"/>
  <c r="AC17" i="8" s="1"/>
  <c r="B83" i="6"/>
  <c r="D82" i="6"/>
  <c r="F81" i="6"/>
  <c r="G80" i="6" l="1"/>
  <c r="H80" i="6" s="1"/>
  <c r="I80" i="6" s="1"/>
  <c r="C81" i="6" s="1"/>
  <c r="F82" i="6"/>
  <c r="A84" i="6"/>
  <c r="B84" i="6"/>
  <c r="D83" i="6"/>
  <c r="G81" i="6" l="1"/>
  <c r="H81" i="6" s="1"/>
  <c r="I81" i="6" s="1"/>
  <c r="C82" i="6" s="1"/>
  <c r="A85" i="6"/>
  <c r="B85" i="6"/>
  <c r="D84" i="6"/>
  <c r="F83" i="6"/>
  <c r="G82" i="6" l="1"/>
  <c r="H82" i="6" s="1"/>
  <c r="I82" i="6" s="1"/>
  <c r="C83" i="6" s="1"/>
  <c r="A86" i="6"/>
  <c r="B86" i="6"/>
  <c r="D85" i="6"/>
  <c r="F84" i="6"/>
  <c r="G83" i="6" l="1"/>
  <c r="H83" i="6" s="1"/>
  <c r="I83" i="6" s="1"/>
  <c r="C84" i="6" s="1"/>
  <c r="A87" i="6"/>
  <c r="B87" i="6"/>
  <c r="D86" i="6"/>
  <c r="F85" i="6"/>
  <c r="G84" i="6" l="1"/>
  <c r="H84" i="6" s="1"/>
  <c r="I84" i="6" s="1"/>
  <c r="C85" i="6" s="1"/>
  <c r="F86" i="6"/>
  <c r="A88" i="6"/>
  <c r="B88" i="6"/>
  <c r="D87" i="6"/>
  <c r="G85" i="6" l="1"/>
  <c r="H85" i="6" s="1"/>
  <c r="I85" i="6" s="1"/>
  <c r="C86" i="6" s="1"/>
  <c r="A89" i="6"/>
  <c r="B89" i="6"/>
  <c r="D88" i="6"/>
  <c r="F87" i="6"/>
  <c r="G86" i="6" l="1"/>
  <c r="H86" i="6" s="1"/>
  <c r="I86" i="6" s="1"/>
  <c r="C87" i="6" s="1"/>
  <c r="A90" i="6"/>
  <c r="B90" i="6"/>
  <c r="D89" i="6"/>
  <c r="F88" i="6"/>
  <c r="G87" i="6" l="1"/>
  <c r="H87" i="6" s="1"/>
  <c r="I87" i="6" s="1"/>
  <c r="C88" i="6" s="1"/>
  <c r="A91" i="6"/>
  <c r="B91" i="6"/>
  <c r="D90" i="6"/>
  <c r="F89" i="6"/>
  <c r="G88" i="6" l="1"/>
  <c r="H88" i="6" s="1"/>
  <c r="I88" i="6" s="1"/>
  <c r="C89" i="6" s="1"/>
  <c r="F90" i="6"/>
  <c r="A92" i="6"/>
  <c r="B92" i="6"/>
  <c r="D91" i="6"/>
  <c r="G89" i="6" l="1"/>
  <c r="H89" i="6" s="1"/>
  <c r="I89" i="6" s="1"/>
  <c r="C90" i="6" s="1"/>
  <c r="D92" i="6"/>
  <c r="B93" i="6"/>
  <c r="A93" i="6"/>
  <c r="F91" i="6"/>
  <c r="G90" i="6" l="1"/>
  <c r="H90" i="6" s="1"/>
  <c r="I90" i="6" s="1"/>
  <c r="C91" i="6" s="1"/>
  <c r="D93" i="6"/>
  <c r="G93" i="6"/>
  <c r="B94" i="6"/>
  <c r="A94" i="6"/>
  <c r="F92" i="6"/>
  <c r="G91" i="6" l="1"/>
  <c r="H91" i="6" s="1"/>
  <c r="I91" i="6" s="1"/>
  <c r="C92" i="6" s="1"/>
  <c r="G94" i="6"/>
  <c r="A95" i="6"/>
  <c r="D94" i="6"/>
  <c r="B95" i="6"/>
  <c r="F93" i="6"/>
  <c r="H93" i="6"/>
  <c r="G92" i="6" l="1"/>
  <c r="H92" i="6" s="1"/>
  <c r="I92" i="6" s="1"/>
  <c r="C93" i="6" s="1"/>
  <c r="I93" i="6" s="1"/>
  <c r="C94" i="6" s="1"/>
  <c r="I94" i="6" s="1"/>
  <c r="C95" i="6" s="1"/>
  <c r="F94" i="6"/>
  <c r="H94" i="6"/>
  <c r="G95" i="6"/>
  <c r="B96" i="6"/>
  <c r="D95" i="6"/>
  <c r="A96" i="6"/>
  <c r="H95" i="6" l="1"/>
  <c r="I95" i="6" s="1"/>
  <c r="C96" i="6" s="1"/>
  <c r="F95" i="6"/>
  <c r="G96" i="6"/>
  <c r="D96" i="6"/>
  <c r="A97" i="6"/>
  <c r="F96" i="6" l="1"/>
  <c r="H96" i="6"/>
  <c r="H97" i="6" s="1"/>
  <c r="D100" i="6" s="1"/>
  <c r="D101" i="6" s="1"/>
  <c r="B97" i="6"/>
  <c r="B109" i="6" s="1"/>
  <c r="A109" i="6"/>
  <c r="B110" i="6" l="1"/>
  <c r="A110" i="6"/>
  <c r="C109" i="6"/>
  <c r="I109" i="6" s="1"/>
  <c r="D106" i="6"/>
  <c r="I96" i="6"/>
  <c r="I97" i="6" s="1"/>
  <c r="A111" i="6" l="1"/>
  <c r="C110" i="6"/>
  <c r="D110" i="6"/>
  <c r="B111" i="6"/>
  <c r="D107" i="6"/>
  <c r="J20" i="6"/>
  <c r="AU14" i="8" s="1"/>
  <c r="F110" i="6" l="1"/>
  <c r="G110" i="6"/>
  <c r="H110" i="6" s="1"/>
  <c r="B112" i="6"/>
  <c r="D111" i="6"/>
  <c r="A112" i="6"/>
  <c r="I110" i="6" l="1"/>
  <c r="C111" i="6" s="1"/>
  <c r="F111" i="6"/>
  <c r="B113" i="6"/>
  <c r="D112" i="6"/>
  <c r="A113" i="6"/>
  <c r="F112" i="6" l="1"/>
  <c r="G111" i="6"/>
  <c r="H111" i="6" s="1"/>
  <c r="I111" i="6" s="1"/>
  <c r="C112" i="6" s="1"/>
  <c r="A114" i="6"/>
  <c r="B114" i="6"/>
  <c r="D113" i="6"/>
  <c r="G112" i="6" l="1"/>
  <c r="H112" i="6" s="1"/>
  <c r="I112" i="6" s="1"/>
  <c r="C113" i="6" s="1"/>
  <c r="A115" i="6"/>
  <c r="B115" i="6"/>
  <c r="D114" i="6"/>
  <c r="F113" i="6"/>
  <c r="G113" i="6" l="1"/>
  <c r="H113" i="6" s="1"/>
  <c r="F114" i="6"/>
  <c r="D115" i="6"/>
  <c r="A116" i="6"/>
  <c r="B116" i="6"/>
  <c r="A117" i="6" l="1"/>
  <c r="B117" i="6"/>
  <c r="D116" i="6"/>
  <c r="F115" i="6"/>
  <c r="I113" i="6"/>
  <c r="C114" i="6" s="1"/>
  <c r="F116" i="6" l="1"/>
  <c r="D117" i="6"/>
  <c r="A118" i="6"/>
  <c r="B118" i="6"/>
  <c r="G114" i="6"/>
  <c r="H114" i="6" s="1"/>
  <c r="I114" i="6" s="1"/>
  <c r="C115" i="6" s="1"/>
  <c r="G115" i="6" l="1"/>
  <c r="H115" i="6" s="1"/>
  <c r="I115" i="6" s="1"/>
  <c r="C116" i="6" s="1"/>
  <c r="F117" i="6"/>
  <c r="D118" i="6"/>
  <c r="A119" i="6"/>
  <c r="B119" i="6"/>
  <c r="G116" i="6" l="1"/>
  <c r="H116" i="6" s="1"/>
  <c r="I116" i="6" s="1"/>
  <c r="C117" i="6" s="1"/>
  <c r="D119" i="6"/>
  <c r="A120" i="6"/>
  <c r="B120" i="6"/>
  <c r="F118" i="6"/>
  <c r="G117" i="6" l="1"/>
  <c r="H117" i="6" s="1"/>
  <c r="I117" i="6" s="1"/>
  <c r="C118" i="6" s="1"/>
  <c r="F119" i="6"/>
  <c r="D120" i="6"/>
  <c r="A121" i="6"/>
  <c r="B121" i="6"/>
  <c r="G118" i="6" l="1"/>
  <c r="H118" i="6" s="1"/>
  <c r="I118" i="6" s="1"/>
  <c r="C119" i="6" s="1"/>
  <c r="F120" i="6"/>
  <c r="A122" i="6"/>
  <c r="B122" i="6"/>
  <c r="D121" i="6"/>
  <c r="G119" i="6" l="1"/>
  <c r="H119" i="6" s="1"/>
  <c r="I119" i="6" s="1"/>
  <c r="C120" i="6" s="1"/>
  <c r="D122" i="6"/>
  <c r="A123" i="6"/>
  <c r="B123" i="6"/>
  <c r="F121" i="6"/>
  <c r="A124" i="6" l="1"/>
  <c r="B124" i="6"/>
  <c r="D123" i="6"/>
  <c r="F122" i="6"/>
  <c r="G120" i="6"/>
  <c r="H120" i="6" s="1"/>
  <c r="I120" i="6" s="1"/>
  <c r="C121" i="6" s="1"/>
  <c r="G121" i="6" l="1"/>
  <c r="H121" i="6" s="1"/>
  <c r="I121" i="6" s="1"/>
  <c r="C122" i="6" s="1"/>
  <c r="F123" i="6"/>
  <c r="A125" i="6"/>
  <c r="B125" i="6"/>
  <c r="D124" i="6"/>
  <c r="G122" i="6" l="1"/>
  <c r="H122" i="6" s="1"/>
  <c r="I122" i="6" s="1"/>
  <c r="C123" i="6" s="1"/>
  <c r="D125" i="6"/>
  <c r="A126" i="6"/>
  <c r="B126" i="6"/>
  <c r="F124" i="6"/>
  <c r="G123" i="6" l="1"/>
  <c r="H123" i="6" s="1"/>
  <c r="I123" i="6" s="1"/>
  <c r="C124" i="6" s="1"/>
  <c r="A127" i="6"/>
  <c r="B127" i="6"/>
  <c r="D126" i="6"/>
  <c r="F125" i="6"/>
  <c r="G124" i="6" l="1"/>
  <c r="H124" i="6" s="1"/>
  <c r="I124" i="6" s="1"/>
  <c r="C125" i="6" s="1"/>
  <c r="F126" i="6"/>
  <c r="D127" i="6"/>
  <c r="A128" i="6"/>
  <c r="B128" i="6"/>
  <c r="G125" i="6" l="1"/>
  <c r="H125" i="6" s="1"/>
  <c r="I125" i="6" s="1"/>
  <c r="C126" i="6" s="1"/>
  <c r="F127" i="6"/>
  <c r="D128" i="6"/>
  <c r="A129" i="6"/>
  <c r="B129" i="6"/>
  <c r="G126" i="6" l="1"/>
  <c r="H126" i="6" s="1"/>
  <c r="I126" i="6" s="1"/>
  <c r="C127" i="6" s="1"/>
  <c r="F128" i="6"/>
  <c r="A130" i="6"/>
  <c r="B130" i="6"/>
  <c r="D129" i="6"/>
  <c r="G127" i="6" l="1"/>
  <c r="H127" i="6" s="1"/>
  <c r="I127" i="6" s="1"/>
  <c r="C128" i="6" s="1"/>
  <c r="A131" i="6"/>
  <c r="B131" i="6"/>
  <c r="D130" i="6"/>
  <c r="F129" i="6"/>
  <c r="G128" i="6" l="1"/>
  <c r="H128" i="6" s="1"/>
  <c r="I128" i="6" s="1"/>
  <c r="C129" i="6" s="1"/>
  <c r="A132" i="6"/>
  <c r="B132" i="6"/>
  <c r="D131" i="6"/>
  <c r="F130" i="6"/>
  <c r="G129" i="6" l="1"/>
  <c r="H129" i="6" s="1"/>
  <c r="I129" i="6" s="1"/>
  <c r="C130" i="6" s="1"/>
  <c r="F131" i="6"/>
  <c r="D132" i="6"/>
  <c r="A133" i="6"/>
  <c r="B133" i="6"/>
  <c r="G130" i="6" l="1"/>
  <c r="H130" i="6" s="1"/>
  <c r="I130" i="6" s="1"/>
  <c r="C131" i="6" s="1"/>
  <c r="D133" i="6"/>
  <c r="A134" i="6"/>
  <c r="B134" i="6"/>
  <c r="F132" i="6"/>
  <c r="G131" i="6" l="1"/>
  <c r="H131" i="6" s="1"/>
  <c r="I131" i="6" s="1"/>
  <c r="C132" i="6" s="1"/>
  <c r="D134" i="6"/>
  <c r="A135" i="6"/>
  <c r="B135" i="6"/>
  <c r="F133" i="6"/>
  <c r="G132" i="6" l="1"/>
  <c r="H132" i="6" s="1"/>
  <c r="I132" i="6" s="1"/>
  <c r="C133" i="6" s="1"/>
  <c r="D135" i="6"/>
  <c r="A136" i="6"/>
  <c r="B136" i="6"/>
  <c r="F134" i="6"/>
  <c r="G133" i="6" l="1"/>
  <c r="H133" i="6" s="1"/>
  <c r="I133" i="6" s="1"/>
  <c r="C134" i="6" s="1"/>
  <c r="D136" i="6"/>
  <c r="A137" i="6"/>
  <c r="B137" i="6"/>
  <c r="F135" i="6"/>
  <c r="G134" i="6" l="1"/>
  <c r="H134" i="6" s="1"/>
  <c r="I134" i="6" s="1"/>
  <c r="C135" i="6" s="1"/>
  <c r="D137" i="6"/>
  <c r="A138" i="6"/>
  <c r="B138" i="6"/>
  <c r="F136" i="6"/>
  <c r="G135" i="6" l="1"/>
  <c r="H135" i="6" s="1"/>
  <c r="I135" i="6" s="1"/>
  <c r="C136" i="6" s="1"/>
  <c r="D138" i="6"/>
  <c r="A139" i="6"/>
  <c r="B139" i="6"/>
  <c r="F137" i="6"/>
  <c r="G136" i="6" l="1"/>
  <c r="H136" i="6" s="1"/>
  <c r="I136" i="6" s="1"/>
  <c r="C137" i="6" s="1"/>
  <c r="A140" i="6"/>
  <c r="B140" i="6"/>
  <c r="D139" i="6"/>
  <c r="F138" i="6"/>
  <c r="G137" i="6" l="1"/>
  <c r="H137" i="6" s="1"/>
  <c r="I137" i="6" s="1"/>
  <c r="C138" i="6" s="1"/>
  <c r="D140" i="6"/>
  <c r="A141" i="6"/>
  <c r="B141" i="6"/>
  <c r="F139" i="6"/>
  <c r="G138" i="6" l="1"/>
  <c r="H138" i="6" s="1"/>
  <c r="I138" i="6" s="1"/>
  <c r="C139" i="6" s="1"/>
  <c r="D141" i="6"/>
  <c r="A142" i="6"/>
  <c r="B142" i="6"/>
  <c r="F140" i="6"/>
  <c r="G139" i="6" l="1"/>
  <c r="H139" i="6" s="1"/>
  <c r="I139" i="6" s="1"/>
  <c r="C140" i="6" s="1"/>
  <c r="A143" i="6"/>
  <c r="B143" i="6"/>
  <c r="D142" i="6"/>
  <c r="F141" i="6"/>
  <c r="G140" i="6" l="1"/>
  <c r="H140" i="6" s="1"/>
  <c r="I140" i="6" s="1"/>
  <c r="C141" i="6" s="1"/>
  <c r="F142" i="6"/>
  <c r="D143" i="6"/>
  <c r="A144" i="6"/>
  <c r="B144" i="6"/>
  <c r="G141" i="6" l="1"/>
  <c r="H141" i="6" s="1"/>
  <c r="I141" i="6" s="1"/>
  <c r="C142" i="6" s="1"/>
  <c r="D144" i="6"/>
  <c r="A145" i="6"/>
  <c r="B145" i="6"/>
  <c r="F143" i="6"/>
  <c r="G142" i="6" l="1"/>
  <c r="H142" i="6" s="1"/>
  <c r="I142" i="6" s="1"/>
  <c r="C143" i="6" s="1"/>
  <c r="F144" i="6"/>
  <c r="D145" i="6"/>
  <c r="A146" i="6"/>
  <c r="B146" i="6"/>
  <c r="G143" i="6" l="1"/>
  <c r="H143" i="6" s="1"/>
  <c r="I143" i="6" s="1"/>
  <c r="C144" i="6" s="1"/>
  <c r="F145" i="6"/>
  <c r="A147" i="6"/>
  <c r="B147" i="6"/>
  <c r="D146" i="6"/>
  <c r="G144" i="6" l="1"/>
  <c r="H144" i="6" s="1"/>
  <c r="I144" i="6" s="1"/>
  <c r="C145" i="6" s="1"/>
  <c r="D147" i="6"/>
  <c r="A148" i="6"/>
  <c r="B148" i="6"/>
  <c r="F146" i="6"/>
  <c r="G145" i="6" l="1"/>
  <c r="H145" i="6" s="1"/>
  <c r="I145" i="6" s="1"/>
  <c r="C146" i="6" s="1"/>
  <c r="D148" i="6"/>
  <c r="A149" i="6"/>
  <c r="B149" i="6"/>
  <c r="F147" i="6"/>
  <c r="G146" i="6" l="1"/>
  <c r="H146" i="6" s="1"/>
  <c r="I146" i="6" s="1"/>
  <c r="C147" i="6" s="1"/>
  <c r="F148" i="6"/>
  <c r="D149" i="6"/>
  <c r="A150" i="6"/>
  <c r="B150" i="6"/>
  <c r="G147" i="6" l="1"/>
  <c r="H147" i="6" s="1"/>
  <c r="I147" i="6" s="1"/>
  <c r="C148" i="6" s="1"/>
  <c r="D150" i="6"/>
  <c r="A151" i="6"/>
  <c r="B151" i="6"/>
  <c r="F149" i="6"/>
  <c r="G148" i="6" l="1"/>
  <c r="H148" i="6" s="1"/>
  <c r="I148" i="6" s="1"/>
  <c r="C149" i="6" s="1"/>
  <c r="D151" i="6"/>
  <c r="B152" i="6"/>
  <c r="A152" i="6"/>
  <c r="F150" i="6"/>
  <c r="G149" i="6" l="1"/>
  <c r="H149" i="6" s="1"/>
  <c r="I149" i="6" s="1"/>
  <c r="C150" i="6" s="1"/>
  <c r="A153" i="6"/>
  <c r="B153" i="6"/>
  <c r="D152" i="6"/>
  <c r="F151" i="6"/>
  <c r="G150" i="6" l="1"/>
  <c r="H150" i="6" s="1"/>
  <c r="I150" i="6" s="1"/>
  <c r="C151" i="6" s="1"/>
  <c r="A154" i="6"/>
  <c r="D153" i="6"/>
  <c r="B154" i="6"/>
  <c r="F152" i="6"/>
  <c r="G151" i="6" l="1"/>
  <c r="H151" i="6" s="1"/>
  <c r="I151" i="6" s="1"/>
  <c r="C152" i="6" s="1"/>
  <c r="F153" i="6"/>
  <c r="A155" i="6"/>
  <c r="B155" i="6"/>
  <c r="D154" i="6"/>
  <c r="G152" i="6" l="1"/>
  <c r="H152" i="6" s="1"/>
  <c r="I152" i="6" s="1"/>
  <c r="C153" i="6" s="1"/>
  <c r="A156" i="6"/>
  <c r="B156" i="6"/>
  <c r="D155" i="6"/>
  <c r="F154" i="6"/>
  <c r="G153" i="6" l="1"/>
  <c r="H153" i="6" s="1"/>
  <c r="I153" i="6" s="1"/>
  <c r="C154" i="6" s="1"/>
  <c r="A157" i="6"/>
  <c r="B157" i="6"/>
  <c r="D156" i="6"/>
  <c r="F155" i="6"/>
  <c r="G154" i="6" l="1"/>
  <c r="H154" i="6" s="1"/>
  <c r="I154" i="6" s="1"/>
  <c r="C155" i="6" s="1"/>
  <c r="A158" i="6"/>
  <c r="B158" i="6"/>
  <c r="D157" i="6"/>
  <c r="F156" i="6"/>
  <c r="G155" i="6" l="1"/>
  <c r="H155" i="6" s="1"/>
  <c r="I155" i="6" s="1"/>
  <c r="C156" i="6" s="1"/>
  <c r="F157" i="6"/>
  <c r="A159" i="6"/>
  <c r="B159" i="6"/>
  <c r="D158" i="6"/>
  <c r="G156" i="6" l="1"/>
  <c r="H156" i="6" s="1"/>
  <c r="I156" i="6" s="1"/>
  <c r="C157" i="6" s="1"/>
  <c r="A160" i="6"/>
  <c r="B160" i="6"/>
  <c r="D159" i="6"/>
  <c r="F158" i="6"/>
  <c r="G157" i="6" l="1"/>
  <c r="H157" i="6" s="1"/>
  <c r="I157" i="6" s="1"/>
  <c r="C158" i="6" s="1"/>
  <c r="F159" i="6"/>
  <c r="A161" i="6"/>
  <c r="B161" i="6"/>
  <c r="D160" i="6"/>
  <c r="G158" i="6" l="1"/>
  <c r="H158" i="6" s="1"/>
  <c r="I158" i="6" s="1"/>
  <c r="C159" i="6" s="1"/>
  <c r="A162" i="6"/>
  <c r="B162" i="6"/>
  <c r="D161" i="6"/>
  <c r="F160" i="6"/>
  <c r="G159" i="6" l="1"/>
  <c r="H159" i="6" s="1"/>
  <c r="I159" i="6" s="1"/>
  <c r="C160" i="6" s="1"/>
  <c r="A163" i="6"/>
  <c r="B163" i="6"/>
  <c r="D162" i="6"/>
  <c r="F161" i="6"/>
  <c r="G160" i="6" l="1"/>
  <c r="H160" i="6" s="1"/>
  <c r="I160" i="6" s="1"/>
  <c r="C161" i="6" s="1"/>
  <c r="F162" i="6"/>
  <c r="A164" i="6"/>
  <c r="B164" i="6"/>
  <c r="D163" i="6"/>
  <c r="G161" i="6" l="1"/>
  <c r="H161" i="6" s="1"/>
  <c r="I161" i="6" s="1"/>
  <c r="C162" i="6" s="1"/>
  <c r="A165" i="6"/>
  <c r="B165" i="6"/>
  <c r="D164" i="6"/>
  <c r="F163" i="6"/>
  <c r="G162" i="6" l="1"/>
  <c r="H162" i="6" s="1"/>
  <c r="I162" i="6" s="1"/>
  <c r="C163" i="6" s="1"/>
  <c r="A166" i="6"/>
  <c r="B166" i="6"/>
  <c r="D165" i="6"/>
  <c r="F164" i="6"/>
  <c r="G163" i="6" l="1"/>
  <c r="H163" i="6" s="1"/>
  <c r="I163" i="6" s="1"/>
  <c r="C164" i="6" s="1"/>
  <c r="F165" i="6"/>
  <c r="A167" i="6"/>
  <c r="B167" i="6"/>
  <c r="D166" i="6"/>
  <c r="G164" i="6" l="1"/>
  <c r="H164" i="6" s="1"/>
  <c r="I164" i="6" s="1"/>
  <c r="C165" i="6" s="1"/>
  <c r="A168" i="6"/>
  <c r="B168" i="6"/>
  <c r="D167" i="6"/>
  <c r="F166" i="6"/>
  <c r="G165" i="6" l="1"/>
  <c r="H165" i="6" s="1"/>
  <c r="I165" i="6" s="1"/>
  <c r="C166" i="6" s="1"/>
  <c r="A169" i="6"/>
  <c r="B169" i="6"/>
  <c r="D168" i="6"/>
  <c r="F167" i="6"/>
  <c r="G166" i="6" l="1"/>
  <c r="H166" i="6" s="1"/>
  <c r="I166" i="6" s="1"/>
  <c r="C167" i="6" s="1"/>
  <c r="F168" i="6"/>
  <c r="A170" i="6"/>
  <c r="B170" i="6"/>
  <c r="D169" i="6"/>
  <c r="G167" i="6" l="1"/>
  <c r="H167" i="6" s="1"/>
  <c r="I167" i="6" s="1"/>
  <c r="C168" i="6" s="1"/>
  <c r="A171" i="6"/>
  <c r="B171" i="6"/>
  <c r="D170" i="6"/>
  <c r="F169" i="6"/>
  <c r="G168" i="6" l="1"/>
  <c r="H168" i="6" s="1"/>
  <c r="I168" i="6" s="1"/>
  <c r="C169" i="6" s="1"/>
  <c r="A172" i="6"/>
  <c r="B172" i="6"/>
  <c r="D171" i="6"/>
  <c r="F170" i="6"/>
  <c r="G169" i="6" l="1"/>
  <c r="H169" i="6" s="1"/>
  <c r="I169" i="6" s="1"/>
  <c r="C170" i="6" s="1"/>
  <c r="A173" i="6"/>
  <c r="B173" i="6"/>
  <c r="D172" i="6"/>
  <c r="F171" i="6"/>
  <c r="G170" i="6" l="1"/>
  <c r="H170" i="6" s="1"/>
  <c r="I170" i="6" s="1"/>
  <c r="C171" i="6" s="1"/>
  <c r="F172" i="6"/>
  <c r="A174" i="6"/>
  <c r="B174" i="6"/>
  <c r="D173" i="6"/>
  <c r="G171" i="6" l="1"/>
  <c r="H171" i="6" s="1"/>
  <c r="I171" i="6" s="1"/>
  <c r="C172" i="6" s="1"/>
  <c r="A175" i="6"/>
  <c r="B175" i="6"/>
  <c r="D174" i="6"/>
  <c r="F173" i="6"/>
  <c r="G172" i="6" l="1"/>
  <c r="H172" i="6" s="1"/>
  <c r="I172" i="6" s="1"/>
  <c r="C173" i="6" s="1"/>
  <c r="F174" i="6"/>
  <c r="A176" i="6"/>
  <c r="B176" i="6"/>
  <c r="D175" i="6"/>
  <c r="G173" i="6" l="1"/>
  <c r="H173" i="6" s="1"/>
  <c r="I173" i="6" s="1"/>
  <c r="C174" i="6" s="1"/>
  <c r="A177" i="6"/>
  <c r="B177" i="6"/>
  <c r="D176" i="6"/>
  <c r="F175" i="6"/>
  <c r="G174" i="6" l="1"/>
  <c r="H174" i="6" s="1"/>
  <c r="I174" i="6" s="1"/>
  <c r="C175" i="6" s="1"/>
  <c r="F176" i="6"/>
  <c r="A178" i="6"/>
  <c r="B178" i="6"/>
  <c r="D177" i="6"/>
  <c r="G175" i="6" l="1"/>
  <c r="H175" i="6" s="1"/>
  <c r="I175" i="6" s="1"/>
  <c r="C176" i="6" s="1"/>
  <c r="A179" i="6"/>
  <c r="B179" i="6"/>
  <c r="D178" i="6"/>
  <c r="F177" i="6"/>
  <c r="G176" i="6" l="1"/>
  <c r="H176" i="6" s="1"/>
  <c r="I176" i="6" s="1"/>
  <c r="C177" i="6" s="1"/>
  <c r="F178" i="6"/>
  <c r="D179" i="6"/>
  <c r="B180" i="6"/>
  <c r="A180" i="6"/>
  <c r="B181" i="6" l="1"/>
  <c r="D180" i="6"/>
  <c r="A181" i="6"/>
  <c r="F179" i="6"/>
  <c r="G177" i="6"/>
  <c r="H177" i="6" s="1"/>
  <c r="I177" i="6" s="1"/>
  <c r="C178" i="6" s="1"/>
  <c r="G178" i="6" s="1"/>
  <c r="H178" i="6" s="1"/>
  <c r="I178" i="6" s="1"/>
  <c r="C179" i="6" s="1"/>
  <c r="G179" i="6" s="1"/>
  <c r="H179" i="6" s="1"/>
  <c r="I179" i="6" s="1"/>
  <c r="C180" i="6" s="1"/>
  <c r="G180" i="6" s="1"/>
  <c r="D181" i="6" l="1"/>
  <c r="H180" i="6"/>
  <c r="I180" i="6" s="1"/>
  <c r="C181" i="6" s="1"/>
  <c r="G181" i="6" s="1"/>
  <c r="F180" i="6"/>
  <c r="F181" i="6" l="1"/>
  <c r="H181" i="6"/>
  <c r="H182" i="6" s="1"/>
  <c r="D188" i="6" s="1"/>
  <c r="D189" i="6" s="1"/>
  <c r="C197" i="6" l="1"/>
  <c r="I197" i="6" s="1"/>
  <c r="C198" i="6" s="1"/>
  <c r="D194" i="6"/>
  <c r="I181" i="6"/>
  <c r="D195" i="6" l="1"/>
  <c r="J21" i="6"/>
  <c r="AU15" i="8" s="1"/>
  <c r="B182" i="6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I182" i="6"/>
  <c r="D198" i="6"/>
  <c r="F198" i="6" s="1"/>
  <c r="G198" i="6"/>
  <c r="H198" i="6" l="1"/>
  <c r="I198" i="6" s="1"/>
  <c r="C199" i="6" s="1"/>
  <c r="G199" i="6" s="1"/>
  <c r="D199" i="6" l="1"/>
  <c r="F199" i="6" s="1"/>
  <c r="H199" i="6" s="1"/>
  <c r="I199" i="6" s="1"/>
  <c r="C200" i="6" s="1"/>
  <c r="G200" i="6" l="1"/>
  <c r="D200" i="6"/>
  <c r="F200" i="6" s="1"/>
  <c r="H200" i="6" l="1"/>
  <c r="I200" i="6" s="1"/>
  <c r="C201" i="6" s="1"/>
  <c r="G201" i="6" s="1"/>
  <c r="D201" i="6" l="1"/>
  <c r="F201" i="6" s="1"/>
  <c r="H201" i="6" s="1"/>
  <c r="I201" i="6" s="1"/>
  <c r="C202" i="6" s="1"/>
  <c r="D202" i="6" s="1"/>
  <c r="F202" i="6" s="1"/>
  <c r="G202" i="6" l="1"/>
  <c r="H202" i="6" s="1"/>
  <c r="I202" i="6" s="1"/>
  <c r="C203" i="6" s="1"/>
  <c r="G203" i="6" s="1"/>
  <c r="D203" i="6" l="1"/>
  <c r="F203" i="6" s="1"/>
  <c r="H203" i="6" s="1"/>
  <c r="I203" i="6" s="1"/>
  <c r="C204" i="6" s="1"/>
  <c r="G204" i="6" s="1"/>
  <c r="D204" i="6" l="1"/>
  <c r="F204" i="6" s="1"/>
  <c r="H204" i="6" s="1"/>
  <c r="I204" i="6" s="1"/>
  <c r="C205" i="6" s="1"/>
  <c r="D205" i="6" s="1"/>
  <c r="F205" i="6" s="1"/>
  <c r="G205" i="6" l="1"/>
  <c r="H205" i="6" s="1"/>
  <c r="I205" i="6" s="1"/>
  <c r="C206" i="6" s="1"/>
  <c r="D206" i="6" s="1"/>
  <c r="F206" i="6" s="1"/>
  <c r="G206" i="6" l="1"/>
  <c r="H206" i="6" s="1"/>
  <c r="I206" i="6" s="1"/>
  <c r="C207" i="6" s="1"/>
  <c r="G207" i="6" l="1"/>
  <c r="D207" i="6"/>
  <c r="F207" i="6" s="1"/>
  <c r="H207" i="6" l="1"/>
  <c r="I207" i="6" s="1"/>
  <c r="C208" i="6" s="1"/>
  <c r="G208" i="6" s="1"/>
  <c r="D208" i="6" l="1"/>
  <c r="F208" i="6" s="1"/>
  <c r="H208" i="6" s="1"/>
  <c r="I208" i="6" s="1"/>
  <c r="C209" i="6" s="1"/>
  <c r="D209" i="6" s="1"/>
  <c r="F209" i="6" s="1"/>
  <c r="G209" i="6" l="1"/>
  <c r="H209" i="6" s="1"/>
  <c r="I209" i="6" s="1"/>
  <c r="C210" i="6" s="1"/>
  <c r="D210" i="6" l="1"/>
  <c r="F210" i="6" s="1"/>
  <c r="G210" i="6"/>
  <c r="H210" i="6" l="1"/>
  <c r="I210" i="6" s="1"/>
  <c r="C211" i="6" s="1"/>
  <c r="G211" i="6" l="1"/>
  <c r="D211" i="6"/>
  <c r="F211" i="6" s="1"/>
  <c r="H211" i="6" l="1"/>
  <c r="I211" i="6" s="1"/>
  <c r="C212" i="6" s="1"/>
  <c r="G212" i="6" s="1"/>
  <c r="D212" i="6" l="1"/>
  <c r="F212" i="6" s="1"/>
  <c r="H212" i="6" s="1"/>
  <c r="I212" i="6" s="1"/>
  <c r="C213" i="6" s="1"/>
  <c r="D213" i="6" s="1"/>
  <c r="F213" i="6" s="1"/>
  <c r="G213" i="6" l="1"/>
  <c r="H213" i="6" s="1"/>
  <c r="I213" i="6" s="1"/>
  <c r="C214" i="6" s="1"/>
  <c r="D214" i="6" l="1"/>
  <c r="F214" i="6" s="1"/>
  <c r="G214" i="6"/>
  <c r="H214" i="6" l="1"/>
  <c r="I214" i="6" s="1"/>
  <c r="C215" i="6" s="1"/>
  <c r="G215" i="6" l="1"/>
  <c r="D215" i="6"/>
  <c r="F215" i="6" s="1"/>
  <c r="H215" i="6" l="1"/>
  <c r="I215" i="6" s="1"/>
  <c r="C216" i="6" s="1"/>
  <c r="G216" i="6" s="1"/>
  <c r="D216" i="6" l="1"/>
  <c r="F216" i="6" s="1"/>
  <c r="H216" i="6" s="1"/>
  <c r="I216" i="6" s="1"/>
  <c r="C217" i="6" s="1"/>
  <c r="D217" i="6" s="1"/>
  <c r="F217" i="6" s="1"/>
  <c r="G217" i="6" l="1"/>
  <c r="H217" i="6" s="1"/>
  <c r="I217" i="6" s="1"/>
  <c r="C218" i="6" s="1"/>
  <c r="D218" i="6" l="1"/>
  <c r="F218" i="6" s="1"/>
  <c r="G218" i="6"/>
  <c r="H218" i="6" l="1"/>
  <c r="I218" i="6" s="1"/>
  <c r="C219" i="6" s="1"/>
  <c r="G219" i="6" l="1"/>
  <c r="D219" i="6"/>
  <c r="F219" i="6" s="1"/>
  <c r="H219" i="6" l="1"/>
  <c r="I219" i="6" s="1"/>
  <c r="C220" i="6" s="1"/>
  <c r="G220" i="6" s="1"/>
  <c r="D220" i="6" l="1"/>
  <c r="F220" i="6" s="1"/>
  <c r="H220" i="6" s="1"/>
  <c r="I220" i="6" s="1"/>
  <c r="C221" i="6" s="1"/>
  <c r="D221" i="6" l="1"/>
  <c r="F221" i="6" s="1"/>
  <c r="G221" i="6"/>
  <c r="H221" i="6" l="1"/>
  <c r="I221" i="6" s="1"/>
  <c r="C222" i="6" s="1"/>
  <c r="D222" i="6" s="1"/>
  <c r="F222" i="6" s="1"/>
  <c r="G222" i="6" l="1"/>
  <c r="H222" i="6" s="1"/>
  <c r="I222" i="6" s="1"/>
  <c r="C223" i="6" s="1"/>
  <c r="G223" i="6" l="1"/>
  <c r="D223" i="6"/>
  <c r="F223" i="6" s="1"/>
  <c r="H223" i="6" l="1"/>
  <c r="I223" i="6" s="1"/>
  <c r="C224" i="6" s="1"/>
  <c r="G224" i="6" s="1"/>
  <c r="D224" i="6" l="1"/>
  <c r="F224" i="6" s="1"/>
  <c r="H224" i="6" s="1"/>
  <c r="I224" i="6" s="1"/>
  <c r="C225" i="6" s="1"/>
  <c r="D225" i="6" s="1"/>
  <c r="F225" i="6" s="1"/>
  <c r="G225" i="6" l="1"/>
  <c r="H225" i="6" s="1"/>
  <c r="I225" i="6" s="1"/>
  <c r="C226" i="6" s="1"/>
  <c r="G226" i="6" l="1"/>
  <c r="D226" i="6"/>
  <c r="F226" i="6" s="1"/>
  <c r="H226" i="6" l="1"/>
  <c r="I226" i="6" s="1"/>
  <c r="C227" i="6" s="1"/>
  <c r="G227" i="6" s="1"/>
  <c r="D227" i="6" l="1"/>
  <c r="F227" i="6" s="1"/>
  <c r="H227" i="6" s="1"/>
  <c r="I227" i="6" s="1"/>
  <c r="C228" i="6" s="1"/>
  <c r="G228" i="6" s="1"/>
  <c r="D228" i="6" l="1"/>
  <c r="F228" i="6" s="1"/>
  <c r="H228" i="6" s="1"/>
  <c r="I228" i="6" s="1"/>
  <c r="C229" i="6" s="1"/>
  <c r="G229" i="6" s="1"/>
  <c r="D229" i="6" l="1"/>
  <c r="F229" i="6" s="1"/>
  <c r="H229" i="6" s="1"/>
  <c r="I229" i="6" s="1"/>
  <c r="C230" i="6" s="1"/>
  <c r="D230" i="6" s="1"/>
  <c r="F230" i="6" s="1"/>
  <c r="G230" i="6" l="1"/>
  <c r="H230" i="6" s="1"/>
  <c r="I230" i="6" s="1"/>
  <c r="C231" i="6" s="1"/>
  <c r="G231" i="6" l="1"/>
  <c r="D231" i="6"/>
  <c r="F231" i="6" s="1"/>
  <c r="H231" i="6" l="1"/>
  <c r="I231" i="6" s="1"/>
  <c r="C232" i="6" s="1"/>
  <c r="G232" i="6" s="1"/>
  <c r="D232" i="6" l="1"/>
  <c r="F232" i="6" s="1"/>
  <c r="H232" i="6" s="1"/>
  <c r="I232" i="6" s="1"/>
  <c r="C233" i="6" s="1"/>
  <c r="G233" i="6" s="1"/>
  <c r="D233" i="6" l="1"/>
  <c r="F233" i="6" s="1"/>
  <c r="H233" i="6" s="1"/>
  <c r="I233" i="6" s="1"/>
  <c r="C234" i="6" s="1"/>
  <c r="D234" i="6" l="1"/>
  <c r="F234" i="6" s="1"/>
  <c r="G234" i="6"/>
  <c r="H234" i="6" l="1"/>
  <c r="I234" i="6" s="1"/>
  <c r="C235" i="6" s="1"/>
  <c r="G235" i="6" s="1"/>
  <c r="D235" i="6" l="1"/>
  <c r="F235" i="6" s="1"/>
  <c r="H235" i="6" s="1"/>
  <c r="I235" i="6" s="1"/>
  <c r="C236" i="6" s="1"/>
  <c r="G236" i="6" l="1"/>
  <c r="D236" i="6"/>
  <c r="F236" i="6" s="1"/>
  <c r="H236" i="6" l="1"/>
  <c r="I236" i="6" s="1"/>
  <c r="C237" i="6" s="1"/>
  <c r="D237" i="6" s="1"/>
  <c r="F237" i="6" s="1"/>
  <c r="G237" i="6" l="1"/>
  <c r="H237" i="6" s="1"/>
  <c r="I237" i="6" s="1"/>
  <c r="C238" i="6" s="1"/>
  <c r="G238" i="6" s="1"/>
  <c r="D238" i="6" l="1"/>
  <c r="F238" i="6" s="1"/>
  <c r="H238" i="6" s="1"/>
  <c r="I238" i="6" s="1"/>
  <c r="C239" i="6" s="1"/>
  <c r="G239" i="6" s="1"/>
  <c r="D239" i="6" l="1"/>
  <c r="F239" i="6" s="1"/>
  <c r="H239" i="6" s="1"/>
  <c r="I239" i="6" s="1"/>
  <c r="C240" i="6" s="1"/>
  <c r="G240" i="6" l="1"/>
  <c r="D240" i="6"/>
  <c r="F240" i="6" s="1"/>
  <c r="H240" i="6" l="1"/>
  <c r="I240" i="6" s="1"/>
  <c r="C241" i="6" s="1"/>
  <c r="D241" i="6" s="1"/>
  <c r="F241" i="6" s="1"/>
  <c r="G241" i="6" l="1"/>
  <c r="H241" i="6" s="1"/>
  <c r="I241" i="6" s="1"/>
  <c r="C242" i="6" s="1"/>
  <c r="D242" i="6" s="1"/>
  <c r="F242" i="6" s="1"/>
  <c r="G242" i="6" l="1"/>
  <c r="H242" i="6" s="1"/>
  <c r="I242" i="6" s="1"/>
  <c r="C243" i="6" s="1"/>
  <c r="G243" i="6" l="1"/>
  <c r="D243" i="6"/>
  <c r="F243" i="6" s="1"/>
  <c r="H243" i="6" l="1"/>
  <c r="I243" i="6" s="1"/>
  <c r="C244" i="6" s="1"/>
  <c r="G244" i="6" s="1"/>
  <c r="D244" i="6" l="1"/>
  <c r="F244" i="6" s="1"/>
  <c r="H244" i="6" s="1"/>
  <c r="I244" i="6" s="1"/>
  <c r="C245" i="6" s="1"/>
  <c r="D245" i="6" s="1"/>
  <c r="F245" i="6" s="1"/>
  <c r="G245" i="6" l="1"/>
  <c r="H245" i="6" s="1"/>
  <c r="I245" i="6" s="1"/>
  <c r="C246" i="6" s="1"/>
  <c r="D246" i="6" l="1"/>
  <c r="F246" i="6" s="1"/>
  <c r="G246" i="6"/>
  <c r="H246" i="6" l="1"/>
  <c r="I246" i="6" s="1"/>
  <c r="C247" i="6" s="1"/>
  <c r="G247" i="6" l="1"/>
  <c r="D247" i="6"/>
  <c r="F247" i="6" s="1"/>
  <c r="H247" i="6" l="1"/>
  <c r="I247" i="6" s="1"/>
  <c r="C248" i="6" s="1"/>
  <c r="G248" i="6" s="1"/>
  <c r="D248" i="6" l="1"/>
  <c r="F248" i="6" s="1"/>
  <c r="H248" i="6" s="1"/>
  <c r="I248" i="6" s="1"/>
  <c r="C249" i="6" s="1"/>
  <c r="D249" i="6" s="1"/>
  <c r="F249" i="6" s="1"/>
  <c r="G249" i="6" l="1"/>
  <c r="H249" i="6" s="1"/>
  <c r="I249" i="6" s="1"/>
  <c r="C250" i="6" s="1"/>
  <c r="D250" i="6" l="1"/>
  <c r="F250" i="6" s="1"/>
  <c r="G250" i="6"/>
  <c r="H250" i="6" l="1"/>
  <c r="I250" i="6" s="1"/>
  <c r="C251" i="6" s="1"/>
  <c r="G251" i="6" l="1"/>
  <c r="D251" i="6"/>
  <c r="F251" i="6" s="1"/>
  <c r="H251" i="6" l="1"/>
  <c r="I251" i="6" s="1"/>
  <c r="C252" i="6" s="1"/>
  <c r="G252" i="6" s="1"/>
  <c r="D252" i="6" l="1"/>
  <c r="F252" i="6" s="1"/>
  <c r="H252" i="6" s="1"/>
  <c r="I252" i="6" s="1"/>
  <c r="C253" i="6" s="1"/>
  <c r="D253" i="6" s="1"/>
  <c r="F253" i="6" s="1"/>
  <c r="G253" i="6" l="1"/>
  <c r="H253" i="6" s="1"/>
  <c r="I253" i="6" s="1"/>
  <c r="C254" i="6" s="1"/>
  <c r="D254" i="6" l="1"/>
  <c r="F254" i="6" s="1"/>
  <c r="G254" i="6"/>
  <c r="H254" i="6" l="1"/>
  <c r="I254" i="6" s="1"/>
  <c r="C255" i="6" s="1"/>
  <c r="G255" i="6" s="1"/>
  <c r="D255" i="6" l="1"/>
  <c r="F255" i="6" s="1"/>
  <c r="H255" i="6" s="1"/>
  <c r="I255" i="6" s="1"/>
  <c r="C256" i="6" s="1"/>
  <c r="G256" i="6" s="1"/>
  <c r="D256" i="6" l="1"/>
  <c r="F256" i="6" s="1"/>
  <c r="H256" i="6" s="1"/>
  <c r="I256" i="6" s="1"/>
  <c r="C257" i="6" s="1"/>
  <c r="D257" i="6" l="1"/>
  <c r="F257" i="6" s="1"/>
  <c r="G257" i="6"/>
  <c r="H257" i="6" l="1"/>
  <c r="H258" i="6" s="1"/>
  <c r="I257" i="6" l="1"/>
  <c r="I25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Control y Medición</author>
  </authors>
  <commentList>
    <comment ref="B3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Control y Medición:</t>
        </r>
        <r>
          <rPr>
            <sz val="9"/>
            <color indexed="81"/>
            <rFont val="Tahoma"/>
            <family val="2"/>
          </rPr>
          <t xml:space="preserve">
En caso de aplicar.
</t>
        </r>
      </text>
    </comment>
    <comment ref="B4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Control y Medición:</t>
        </r>
        <r>
          <rPr>
            <sz val="9"/>
            <color indexed="81"/>
            <rFont val="Tahoma"/>
            <family val="2"/>
          </rPr>
          <t xml:space="preserve">
En caso de aplicar.
</t>
        </r>
      </text>
    </comment>
    <comment ref="B5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Control y Medición:</t>
        </r>
        <r>
          <rPr>
            <sz val="9"/>
            <color indexed="81"/>
            <rFont val="Tahoma"/>
            <family val="2"/>
          </rPr>
          <t xml:space="preserve">
En caso de aplicar.
</t>
        </r>
      </text>
    </comment>
    <comment ref="B6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Control y Medición:</t>
        </r>
        <r>
          <rPr>
            <sz val="9"/>
            <color indexed="81"/>
            <rFont val="Tahoma"/>
            <family val="2"/>
          </rPr>
          <t xml:space="preserve">
En caso de aplicar.
</t>
        </r>
      </text>
    </comment>
    <comment ref="B72" authorId="0" shapeId="0" xr:uid="{7C766937-BF34-4FCC-90AC-02EC59278232}">
      <text>
        <r>
          <rPr>
            <b/>
            <sz val="9"/>
            <color indexed="81"/>
            <rFont val="Tahoma"/>
            <family val="2"/>
          </rPr>
          <t>Control y Medición:</t>
        </r>
        <r>
          <rPr>
            <sz val="9"/>
            <color indexed="81"/>
            <rFont val="Tahoma"/>
            <family val="2"/>
          </rPr>
          <t xml:space="preserve">
En caso de aplicar.
</t>
        </r>
      </text>
    </comment>
    <comment ref="B8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Control y Medición:</t>
        </r>
        <r>
          <rPr>
            <sz val="9"/>
            <color indexed="81"/>
            <rFont val="Tahoma"/>
            <family val="2"/>
          </rPr>
          <t xml:space="preserve">
Giro de la Empresa.</t>
        </r>
      </text>
    </comment>
    <comment ref="AE8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Control y Medición:</t>
        </r>
        <r>
          <rPr>
            <sz val="9"/>
            <color indexed="81"/>
            <rFont val="Tahoma"/>
            <family val="2"/>
          </rPr>
          <t xml:space="preserve">
Actividad a realizar dentro de las instalaciones</t>
        </r>
      </text>
    </comment>
  </commentList>
</comments>
</file>

<file path=xl/sharedStrings.xml><?xml version="1.0" encoding="utf-8"?>
<sst xmlns="http://schemas.openxmlformats.org/spreadsheetml/2006/main" count="420" uniqueCount="243">
  <si>
    <t>RESUMEN GENERAL</t>
  </si>
  <si>
    <t>m2</t>
  </si>
  <si>
    <t>MONTO</t>
  </si>
  <si>
    <t>ENGANCHE %</t>
  </si>
  <si>
    <t>FINANCIAR</t>
  </si>
  <si>
    <t>AÑOS</t>
  </si>
  <si>
    <t>MESES</t>
  </si>
  <si>
    <t>PRIMEROS 4 AÑOS</t>
  </si>
  <si>
    <t>MESES S/INT</t>
  </si>
  <si>
    <t>Interés:</t>
  </si>
  <si>
    <t>Mensualidad</t>
  </si>
  <si>
    <t>PERIODO</t>
  </si>
  <si>
    <t>FECHA</t>
  </si>
  <si>
    <t>SALDO INICIAL</t>
  </si>
  <si>
    <t>MENSUALUDAD</t>
  </si>
  <si>
    <t>ABONOS</t>
  </si>
  <si>
    <t>PAGADO</t>
  </si>
  <si>
    <t>INTERÉS</t>
  </si>
  <si>
    <t>ABONO A CAPITAL</t>
  </si>
  <si>
    <t>SALDO FINAL</t>
  </si>
  <si>
    <t>POR PAGAR</t>
  </si>
  <si>
    <t>MESES RESTANTES</t>
  </si>
  <si>
    <t>CRÉDITO A 10 AÑOS</t>
  </si>
  <si>
    <t>MESES C/INT</t>
  </si>
  <si>
    <t>Mensualidad:</t>
  </si>
  <si>
    <t>MENSUALIDAD</t>
  </si>
  <si>
    <t xml:space="preserve">MESES C/INT </t>
  </si>
  <si>
    <t xml:space="preserve">Descuento: </t>
  </si>
  <si>
    <t>Documentación Requerida:</t>
  </si>
  <si>
    <t>*Comprobante de Domicilio.</t>
  </si>
  <si>
    <t>*Acta de matrimonio.</t>
  </si>
  <si>
    <t>*INE (Ambos).</t>
  </si>
  <si>
    <t>*RFC (Ambos).</t>
  </si>
  <si>
    <t>*CURP (Ambos).</t>
  </si>
  <si>
    <t>*Acta de Nacimiento (Ambos).</t>
  </si>
  <si>
    <t>Física.</t>
  </si>
  <si>
    <t>Moral:</t>
  </si>
  <si>
    <t>*Acta Constitutiva.</t>
  </si>
  <si>
    <t>*INE Represante Legal.</t>
  </si>
  <si>
    <t>*RFC (Empresa y Representante Legal).</t>
  </si>
  <si>
    <t>*Comprobante de Domicilio (Empresa y Representante legal).</t>
  </si>
  <si>
    <t>Referencia:</t>
  </si>
  <si>
    <t>Precio de Lista:</t>
  </si>
  <si>
    <t>INFORMACION  DE REGISTRO</t>
  </si>
  <si>
    <t>CONDOMINIO:</t>
  </si>
  <si>
    <t>CRÉDITO</t>
  </si>
  <si>
    <t>M2:</t>
  </si>
  <si>
    <t>$ FINANCIAR:</t>
  </si>
  <si>
    <t>CLÚSTER:</t>
  </si>
  <si>
    <t>P.U  DESCUENTO:</t>
  </si>
  <si>
    <t>TEMPORALIDAD:</t>
  </si>
  <si>
    <r>
      <t xml:space="preserve">TASA DE INTERÉS </t>
    </r>
    <r>
      <rPr>
        <sz val="9"/>
        <color rgb="FF000000"/>
        <rFont val="Century Gothic"/>
        <family val="2"/>
      </rPr>
      <t xml:space="preserve"> (10 años)</t>
    </r>
    <r>
      <rPr>
        <sz val="11"/>
        <color theme="1"/>
        <rFont val="Century Gothic"/>
        <family val="2"/>
        <scheme val="minor"/>
      </rPr>
      <t xml:space="preserve">:  </t>
    </r>
  </si>
  <si>
    <t>LOTE:</t>
  </si>
  <si>
    <r>
      <t>ENGANCHE</t>
    </r>
    <r>
      <rPr>
        <b/>
        <sz val="9"/>
        <color theme="1"/>
        <rFont val="Century Gothic"/>
        <family val="2"/>
        <scheme val="minor"/>
      </rPr>
      <t>(10%)</t>
    </r>
    <r>
      <rPr>
        <b/>
        <sz val="11"/>
        <color theme="1"/>
        <rFont val="Century Gothic"/>
        <family val="2"/>
        <scheme val="minor"/>
      </rPr>
      <t xml:space="preserve">: </t>
    </r>
  </si>
  <si>
    <r>
      <t xml:space="preserve">TASA DE INTERÉS </t>
    </r>
    <r>
      <rPr>
        <sz val="9"/>
        <color rgb="FF000000"/>
        <rFont val="Century Gothic"/>
        <family val="2"/>
      </rPr>
      <t xml:space="preserve"> (15 años)</t>
    </r>
    <r>
      <rPr>
        <sz val="11"/>
        <color theme="1"/>
        <rFont val="Century Gothic"/>
        <family val="2"/>
        <scheme val="minor"/>
      </rPr>
      <t xml:space="preserve">:  </t>
    </r>
  </si>
  <si>
    <t>Promción Pronto Pago  Desc. 10 % Enganche</t>
  </si>
  <si>
    <t xml:space="preserve">ENGANCHE REAL: </t>
  </si>
  <si>
    <t>MENSUALIDAD SIN INTERÉS (48 MESES):</t>
  </si>
  <si>
    <t>MENSUALIDAD CON INTERÉS (72 MESES):</t>
  </si>
  <si>
    <t>MENSUALIDAD CON INTERÉS (60 MESES):</t>
  </si>
  <si>
    <t>NOMBRE:</t>
  </si>
  <si>
    <t>CEL:</t>
  </si>
  <si>
    <t>DOMILICIO:</t>
  </si>
  <si>
    <t>VIVES EN CASA:</t>
  </si>
  <si>
    <t>CORREO:</t>
  </si>
  <si>
    <t>ESTADO CIVIL:</t>
  </si>
  <si>
    <t>NOMBRE DEL CONYUGE:</t>
  </si>
  <si>
    <t>LUGAR DE NACIMIENTO:</t>
  </si>
  <si>
    <t>NACIONALIDAD:</t>
  </si>
  <si>
    <t>ESTUDIOS:</t>
  </si>
  <si>
    <t>EMPRESA LABORA:</t>
  </si>
  <si>
    <t>ANTIGÜEDAD:</t>
  </si>
  <si>
    <t>TELÉFONO:</t>
  </si>
  <si>
    <t>PUESTO:</t>
  </si>
  <si>
    <t>DOCUMENTACIÓN A ENTREGAR</t>
  </si>
  <si>
    <t>ESCRITURACIÓN</t>
  </si>
  <si>
    <t>PERSONA FÍSICA</t>
  </si>
  <si>
    <t>PERSONA MORAL</t>
  </si>
  <si>
    <t>Comprobante de Domicilio.</t>
  </si>
  <si>
    <t>Acta Constitutiva.</t>
  </si>
  <si>
    <t>Acta de Nacimiento</t>
  </si>
  <si>
    <t>INE Representante Legal.</t>
  </si>
  <si>
    <t>Identificación Oficial</t>
  </si>
  <si>
    <t>Constancia de situación fiscal (RFC).</t>
  </si>
  <si>
    <t>Curp</t>
  </si>
  <si>
    <t>Asesor:</t>
  </si>
  <si>
    <t>ACUERDOS GENERALES</t>
  </si>
  <si>
    <t>REFERENCIA 1</t>
  </si>
  <si>
    <t>NOMBRE</t>
  </si>
  <si>
    <t>CORREO ELECTRONICO</t>
  </si>
  <si>
    <t>TELEFONO</t>
  </si>
  <si>
    <t>REFERENCIA 2</t>
  </si>
  <si>
    <t>Vo Bo. Gerente:</t>
  </si>
  <si>
    <t>Vo Bo. Directora Hábitta</t>
  </si>
  <si>
    <t>Vo Bo. Jurídico</t>
  </si>
  <si>
    <t>Total a Pagar:</t>
  </si>
  <si>
    <t>TOTAL A PAGAR:</t>
  </si>
  <si>
    <t>PRECIOS</t>
  </si>
  <si>
    <t>PÁRAMO 1</t>
  </si>
  <si>
    <t>Vigencia al</t>
  </si>
  <si>
    <t>ESTEPA 1</t>
  </si>
  <si>
    <t>ESTEPA 2</t>
  </si>
  <si>
    <t>ESTEPA 3</t>
  </si>
  <si>
    <t>DESIERTO 1</t>
  </si>
  <si>
    <t>DESIERTO 2</t>
  </si>
  <si>
    <t>DESIERTO 3</t>
  </si>
  <si>
    <t>DESIERTO 4</t>
  </si>
  <si>
    <t>TAIGA 1</t>
  </si>
  <si>
    <t>TAIGA 2</t>
  </si>
  <si>
    <t>TAIGA 3</t>
  </si>
  <si>
    <t>PÁRAMO 2</t>
  </si>
  <si>
    <t>PÁRAMO 3</t>
  </si>
  <si>
    <t>SELVA 1</t>
  </si>
  <si>
    <t>SELVA 2</t>
  </si>
  <si>
    <t>SELVA 3</t>
  </si>
  <si>
    <t>SELVA 4</t>
  </si>
  <si>
    <t>RFC Empresa y Representante Legal</t>
  </si>
  <si>
    <t>SI</t>
  </si>
  <si>
    <t>NO</t>
  </si>
  <si>
    <t>FISICA</t>
  </si>
  <si>
    <t>MORAL</t>
  </si>
  <si>
    <t>CONPROPIEDAD</t>
  </si>
  <si>
    <t>OTRA ESPECIFIQUE</t>
  </si>
  <si>
    <t>Comprobante de Domicilio</t>
  </si>
  <si>
    <t>Precios Sujetos a cambio  sin previo  aviso.</t>
  </si>
  <si>
    <t>Acta de Matrimonio (En caso de Aplicar).</t>
  </si>
  <si>
    <t>Adjuntar en ambos casos</t>
  </si>
  <si>
    <t>Simulador y hoja de Registro</t>
  </si>
  <si>
    <t>Evidencia de Envio de Proceso de Facturación y Pago.</t>
  </si>
  <si>
    <t xml:space="preserve">Evidencia de Envio de Reglamento de Administración y Contrucción. </t>
  </si>
  <si>
    <t>Anexar Check-lis Firmado por cliente (Despues de firmar contrato anexar).</t>
  </si>
  <si>
    <t>En caso de ser por bienes mancomunados solo anexar identificación oficial de conyugue.</t>
  </si>
  <si>
    <t>En caso de ser por conpropiedad anexar documentación de ambos.</t>
  </si>
  <si>
    <t>FECHA DE NACIMIENTO:</t>
  </si>
  <si>
    <t>RFC:</t>
  </si>
  <si>
    <t>GIRO:</t>
  </si>
  <si>
    <t>ACTIVIDAD:</t>
  </si>
  <si>
    <t>ACTA CONSTITUTIVA</t>
  </si>
  <si>
    <t>FOLIO:</t>
  </si>
  <si>
    <t>CIUDAD DE REGISTRO:</t>
  </si>
  <si>
    <t>FECHA DE REGISTRO:</t>
  </si>
  <si>
    <t>OBJETO SOCIAL:</t>
  </si>
  <si>
    <t xml:space="preserve">No NOTARIA: </t>
  </si>
  <si>
    <t>FOLIO MERCANTIL:</t>
  </si>
  <si>
    <t>NOMBRE NOTARIO:</t>
  </si>
  <si>
    <t>DATOS DE PERSONA FISICA</t>
  </si>
  <si>
    <t>DATOS DE PERSONA MORAL</t>
  </si>
  <si>
    <t>LICENCIATURA</t>
  </si>
  <si>
    <t>ESPECIFICAR:</t>
  </si>
  <si>
    <t>XXXXXXXXXXXXXXXXXXXXXXXXXXXX</t>
  </si>
  <si>
    <t>XXXXXXXXXXXXXXXXXXXXXXXXXX</t>
  </si>
  <si>
    <t>XXXXXXXXXXXXXXXXXXXXXXXXXXXXXXX</t>
  </si>
  <si>
    <t>XXXXXXXXXXXXXXXXXXXXXXXX</t>
  </si>
  <si>
    <t>PROPIA</t>
  </si>
  <si>
    <t>USO DE PROPIEDAD:</t>
  </si>
  <si>
    <t>XXXXXXXXXXXXXXXXX</t>
  </si>
  <si>
    <t>NOMBRE DEL CONTACTO:</t>
  </si>
  <si>
    <t>NIVEL DE ESTUDIOS:</t>
  </si>
  <si>
    <t>Recibo y Voucher, de Apartado y/o enganche.</t>
  </si>
  <si>
    <t>HOJA DE REGISTRO (VENTA LOTE).</t>
  </si>
  <si>
    <t>TIPO CONTRATO:</t>
  </si>
  <si>
    <t>DATOS COPROPIEDAD</t>
  </si>
  <si>
    <t>NOMBRE 1:</t>
  </si>
  <si>
    <t>NOMBRE 2:</t>
  </si>
  <si>
    <t>BOSQUE 1</t>
  </si>
  <si>
    <t>BOSQUE 2</t>
  </si>
  <si>
    <t>BOSQUE 3</t>
  </si>
  <si>
    <t>PLUSVALÍA:</t>
  </si>
  <si>
    <t>FECHA DE APARTADO:</t>
  </si>
  <si>
    <t>BOSQUE 4</t>
  </si>
  <si>
    <t>Lomas Etapa 1y 2 Premium</t>
  </si>
  <si>
    <t>Lomas Etapa 1y 2 Estándar</t>
  </si>
  <si>
    <t>PARQUE</t>
  </si>
  <si>
    <t>LOMAS DE PORTTO BLANCO CIMATARIO</t>
  </si>
  <si>
    <t>PORTTO BLANCO CIMATARIO</t>
  </si>
  <si>
    <t>LOGO</t>
  </si>
  <si>
    <t>CONDOMINIO</t>
  </si>
  <si>
    <t>Importe de Operación:</t>
  </si>
  <si>
    <t xml:space="preserve">Enganche: </t>
  </si>
  <si>
    <t>Descuento en el Enganche:</t>
  </si>
  <si>
    <t>Enganche extra</t>
  </si>
  <si>
    <t>Enganche a Pagar:</t>
  </si>
  <si>
    <t>Importe a Financiar:</t>
  </si>
  <si>
    <t>IMPORTES:</t>
  </si>
  <si>
    <t>SUBTOTAL</t>
  </si>
  <si>
    <t>TIPO:</t>
  </si>
  <si>
    <t>P.U LISTA:</t>
  </si>
  <si>
    <t>P.U DESCUENTO:</t>
  </si>
  <si>
    <t>MENSUALIDADES:</t>
  </si>
  <si>
    <t>FINANCIAMIENTO:</t>
  </si>
  <si>
    <t>NOMBRE CLIENTE:</t>
  </si>
  <si>
    <t>LOTE</t>
  </si>
  <si>
    <t>LOMAS ETAPA 1</t>
  </si>
  <si>
    <t>LOMAS ETAPA 2</t>
  </si>
  <si>
    <t>LAGO 1</t>
  </si>
  <si>
    <t>Desarrollo:</t>
  </si>
  <si>
    <t>TIPO CONTRATO</t>
  </si>
  <si>
    <t xml:space="preserve">FISICA </t>
  </si>
  <si>
    <t xml:space="preserve">COPROPIEDAD </t>
  </si>
  <si>
    <t>ESTADO CIVIL</t>
  </si>
  <si>
    <t>CASAD@</t>
  </si>
  <si>
    <t>SOLTER@</t>
  </si>
  <si>
    <t>DIVORCIAD@</t>
  </si>
  <si>
    <t>VIUD@</t>
  </si>
  <si>
    <t xml:space="preserve">ESTUDIOS </t>
  </si>
  <si>
    <t>INGENIERÍA</t>
  </si>
  <si>
    <t>TSU</t>
  </si>
  <si>
    <t>PREPARATORIA</t>
  </si>
  <si>
    <t xml:space="preserve">SECUNDARIA </t>
  </si>
  <si>
    <t xml:space="preserve">PRIMARIA </t>
  </si>
  <si>
    <t>OTRO</t>
  </si>
  <si>
    <t>MAESTRIA</t>
  </si>
  <si>
    <t xml:space="preserve">VIVE EN CASA </t>
  </si>
  <si>
    <t xml:space="preserve">RENTA </t>
  </si>
  <si>
    <t xml:space="preserve">FAMILIAR </t>
  </si>
  <si>
    <t>DOCTORADO</t>
  </si>
  <si>
    <t xml:space="preserve">USO DE PROPIEDAD </t>
  </si>
  <si>
    <t xml:space="preserve">PATRIMONIO </t>
  </si>
  <si>
    <t>INVERSIÓN</t>
  </si>
  <si>
    <t>DESGLOSE DE FINANCIAMIENTO A MESES SIN INTERESES</t>
  </si>
  <si>
    <t>DESGLOSE DE FINANCIAMIENTO A MESES CON INTERESES (1%)</t>
  </si>
  <si>
    <t>DESGLOSE DE FINANCIAMIENTO A MESES CON INTERESES (1.25%)</t>
  </si>
  <si>
    <t>XXXXXXXXXXXXXXXXXXXXXXXXXXXXXXXX</t>
  </si>
  <si>
    <t>PBC_Estándar</t>
  </si>
  <si>
    <t>PBC_Premium</t>
  </si>
  <si>
    <t>MANGLAR 1</t>
  </si>
  <si>
    <t>NOMBRE 3:</t>
  </si>
  <si>
    <t>MES ENTREGA:</t>
  </si>
  <si>
    <t>FECHA DE ENTREGA</t>
  </si>
  <si>
    <t>FECHA  MENSUALIDAD:</t>
  </si>
  <si>
    <t>Lomas Etapa 3 Estándar</t>
  </si>
  <si>
    <t>Lomas Etapa 3 Premium</t>
  </si>
  <si>
    <t>LOMAS ETAPA 3</t>
  </si>
  <si>
    <t>CURP:</t>
  </si>
  <si>
    <t>XXXXXXXXXXXX</t>
  </si>
  <si>
    <t>XXXXXXXXXXX</t>
  </si>
  <si>
    <t>XXXXXXXXXXXXXXXXXX</t>
  </si>
  <si>
    <t>XXXXXXXXXXXXXXXXXXXXXXXXX</t>
  </si>
  <si>
    <t>APLICA BIENES:</t>
  </si>
  <si>
    <t>XXXXXXXXXX</t>
  </si>
  <si>
    <t>XXXXXXX</t>
  </si>
  <si>
    <t>PROMOCION DE:</t>
  </si>
  <si>
    <t>MANGLAR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</si>
</sst>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0.0\ &quot;Meses&quot;"/>
    <numFmt numFmtId="166" formatCode="0.0\ &quot;Años&quot;"/>
    <numFmt numFmtId="167" formatCode="0\ &quot;Meses&quot;"/>
    <numFmt numFmtId="168" formatCode="0.0%"/>
    <numFmt numFmtId="169" formatCode="0\ &quot;Años&quot;"/>
    <numFmt numFmtId="170" formatCode="&quot;$&quot;#,##0.000;[Red]\-&quot;$&quot;#,##0.000"/>
    <numFmt numFmtId="171" formatCode="0.00\ &quot;m2&quot;"/>
    <numFmt numFmtId="172" formatCode="[$-F800]dddd\,\ mmmm\ dd\,\ yyyy"/>
    <numFmt numFmtId="173" formatCode="&quot;Enganche mayor a &quot;\ 0.0%"/>
    <numFmt numFmtId="174" formatCode="&quot;Mensualidad  &quot;0&quot;  a&quot;"/>
    <numFmt numFmtId="175" formatCode="0\ &quot;a&quot;"/>
  </numFmts>
  <fonts count="5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u/>
      <sz val="11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sz val="11"/>
      <name val="Century Gothic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8"/>
      <color theme="1"/>
      <name val="Century Gothic"/>
      <family val="2"/>
      <scheme val="minor"/>
    </font>
    <font>
      <b/>
      <sz val="14"/>
      <color theme="0"/>
      <name val="Calibri"/>
      <family val="2"/>
    </font>
    <font>
      <b/>
      <i/>
      <sz val="11"/>
      <color theme="1"/>
      <name val="Century Gothic"/>
      <family val="2"/>
      <scheme val="minor"/>
    </font>
    <font>
      <b/>
      <i/>
      <u/>
      <sz val="11"/>
      <color theme="1"/>
      <name val="Century Gothic"/>
      <family val="2"/>
      <scheme val="minor"/>
    </font>
    <font>
      <i/>
      <sz val="9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8"/>
      <color theme="1"/>
      <name val="Century Gothic"/>
      <family val="2"/>
      <scheme val="minor"/>
    </font>
    <font>
      <b/>
      <sz val="16"/>
      <color theme="1"/>
      <name val="Arial"/>
      <family val="2"/>
    </font>
    <font>
      <b/>
      <sz val="11"/>
      <color rgb="FF000000"/>
      <name val="Century Gothic"/>
      <family val="2"/>
    </font>
    <font>
      <b/>
      <sz val="11"/>
      <color rgb="FF000000"/>
      <name val="Arial"/>
      <family val="2"/>
    </font>
    <font>
      <b/>
      <u/>
      <sz val="2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20"/>
      <color theme="0"/>
      <name val="Century Gothic"/>
      <family val="2"/>
      <scheme val="minor"/>
    </font>
    <font>
      <b/>
      <sz val="14"/>
      <color theme="4" tint="-0.499984740745262"/>
      <name val="Century Gothic"/>
      <family val="2"/>
      <scheme val="minor"/>
    </font>
    <font>
      <u/>
      <sz val="12"/>
      <color theme="1"/>
      <name val="Century Gothic"/>
      <family val="2"/>
      <scheme val="minor"/>
    </font>
    <font>
      <b/>
      <u/>
      <sz val="12"/>
      <color theme="1"/>
      <name val="Century Gothic"/>
      <family val="2"/>
      <scheme val="minor"/>
    </font>
    <font>
      <sz val="11"/>
      <color theme="4" tint="-0.499984740745262"/>
      <name val="Century Gothic"/>
      <family val="2"/>
      <scheme val="minor"/>
    </font>
    <font>
      <sz val="9"/>
      <color rgb="FF000000"/>
      <name val="Century Gothic"/>
      <family val="2"/>
    </font>
    <font>
      <b/>
      <sz val="9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sz val="11"/>
      <color theme="1"/>
      <name val="Calibri"/>
      <family val="2"/>
    </font>
    <font>
      <b/>
      <sz val="8"/>
      <color theme="1"/>
      <name val="Century Gothic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i/>
      <sz val="9"/>
      <color theme="1"/>
      <name val="Century Gothic"/>
      <family val="2"/>
    </font>
    <font>
      <b/>
      <i/>
      <sz val="10"/>
      <color theme="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4"/>
      <color rgb="FF000000"/>
      <name val="Calibri"/>
      <family val="2"/>
    </font>
    <font>
      <b/>
      <u/>
      <sz val="14"/>
      <color theme="1"/>
      <name val="Century Gothic"/>
      <family val="2"/>
      <scheme val="minor"/>
    </font>
    <font>
      <u/>
      <sz val="14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theme="1"/>
      <name val="Century Gothic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entury Gothic"/>
      <family val="2"/>
      <scheme val="minor"/>
    </font>
    <font>
      <b/>
      <u/>
      <sz val="16"/>
      <color theme="1"/>
      <name val="Arial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5" fillId="0" borderId="0" applyNumberFormat="0" applyFill="0" applyBorder="0" applyAlignment="0" applyProtection="0"/>
  </cellStyleXfs>
  <cellXfs count="323">
    <xf numFmtId="0" fontId="0" fillId="0" borderId="0" xfId="0"/>
    <xf numFmtId="0" fontId="0" fillId="2" borderId="0" xfId="0" applyFont="1" applyFill="1"/>
    <xf numFmtId="0" fontId="0" fillId="2" borderId="0" xfId="0" applyFill="1"/>
    <xf numFmtId="8" fontId="0" fillId="0" borderId="0" xfId="0" applyNumberFormat="1"/>
    <xf numFmtId="0" fontId="0" fillId="2" borderId="0" xfId="0" applyFill="1" applyAlignment="1">
      <alignment horizontal="center" vertical="top"/>
    </xf>
    <xf numFmtId="0" fontId="5" fillId="2" borderId="0" xfId="0" applyFont="1" applyFill="1" applyAlignment="1">
      <alignment horizontal="right"/>
    </xf>
    <xf numFmtId="9" fontId="2" fillId="2" borderId="0" xfId="0" applyNumberFormat="1" applyFont="1" applyFill="1" applyBorder="1" applyAlignment="1">
      <alignment horizontal="center"/>
    </xf>
    <xf numFmtId="167" fontId="0" fillId="2" borderId="0" xfId="0" applyNumberFormat="1" applyFill="1" applyAlignment="1">
      <alignment horizontal="left"/>
    </xf>
    <xf numFmtId="164" fontId="4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8" fontId="4" fillId="2" borderId="0" xfId="0" applyNumberFormat="1" applyFont="1" applyFill="1" applyBorder="1"/>
    <xf numFmtId="0" fontId="3" fillId="0" borderId="0" xfId="0" applyFont="1" applyBorder="1" applyAlignment="1">
      <alignment horizontal="right"/>
    </xf>
    <xf numFmtId="16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6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9" fontId="2" fillId="3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165" fontId="10" fillId="2" borderId="0" xfId="0" applyNumberFormat="1" applyFont="1" applyFill="1" applyBorder="1" applyAlignment="1">
      <alignment horizontal="center"/>
    </xf>
    <xf numFmtId="10" fontId="4" fillId="3" borderId="0" xfId="0" applyNumberFormat="1" applyFont="1" applyFill="1" applyBorder="1" applyAlignment="1">
      <alignment horizontal="center"/>
    </xf>
    <xf numFmtId="8" fontId="3" fillId="4" borderId="0" xfId="0" applyNumberFormat="1" applyFont="1" applyFill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164" fontId="0" fillId="2" borderId="11" xfId="0" applyNumberFormat="1" applyFont="1" applyFill="1" applyBorder="1" applyAlignment="1">
      <alignment horizontal="center"/>
    </xf>
    <xf numFmtId="170" fontId="0" fillId="2" borderId="11" xfId="0" applyNumberFormat="1" applyFont="1" applyFill="1" applyBorder="1" applyAlignment="1">
      <alignment horizontal="center"/>
    </xf>
    <xf numFmtId="8" fontId="0" fillId="2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8" fontId="2" fillId="3" borderId="11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15" fontId="10" fillId="2" borderId="11" xfId="0" applyNumberFormat="1" applyFont="1" applyFill="1" applyBorder="1" applyAlignment="1">
      <alignment horizontal="center"/>
    </xf>
    <xf numFmtId="164" fontId="10" fillId="2" borderId="11" xfId="0" applyNumberFormat="1" applyFont="1" applyFill="1" applyBorder="1" applyAlignment="1">
      <alignment horizontal="center"/>
    </xf>
    <xf numFmtId="8" fontId="10" fillId="2" borderId="11" xfId="0" applyNumberFormat="1" applyFont="1" applyFill="1" applyBorder="1" applyAlignment="1">
      <alignment horizontal="center"/>
    </xf>
    <xf numFmtId="164" fontId="0" fillId="2" borderId="12" xfId="0" applyNumberFormat="1" applyFont="1" applyFill="1" applyBorder="1" applyAlignment="1">
      <alignment horizontal="center"/>
    </xf>
    <xf numFmtId="8" fontId="0" fillId="2" borderId="12" xfId="0" applyNumberFormat="1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8" fontId="3" fillId="4" borderId="0" xfId="0" applyNumberFormat="1" applyFont="1" applyFill="1" applyBorder="1" applyAlignment="1">
      <alignment horizontal="center"/>
    </xf>
    <xf numFmtId="8" fontId="0" fillId="0" borderId="0" xfId="0" applyNumberFormat="1" applyBorder="1"/>
    <xf numFmtId="0" fontId="2" fillId="3" borderId="13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/>
    <xf numFmtId="8" fontId="2" fillId="3" borderId="13" xfId="0" applyNumberFormat="1" applyFont="1" applyFill="1" applyBorder="1"/>
    <xf numFmtId="8" fontId="2" fillId="3" borderId="11" xfId="0" applyNumberFormat="1" applyFont="1" applyFill="1" applyBorder="1" applyAlignment="1">
      <alignment horizontal="center"/>
    </xf>
    <xf numFmtId="0" fontId="8" fillId="2" borderId="0" xfId="0" applyFont="1" applyFill="1" applyAlignment="1" applyProtection="1">
      <alignment horizontal="center"/>
      <protection locked="0"/>
    </xf>
    <xf numFmtId="164" fontId="0" fillId="2" borderId="0" xfId="0" applyNumberFormat="1" applyFill="1" applyAlignment="1">
      <alignment horizontal="center" vertical="top"/>
    </xf>
    <xf numFmtId="0" fontId="0" fillId="2" borderId="0" xfId="0" applyFill="1" applyBorder="1" applyAlignment="1">
      <alignment horizontal="right"/>
    </xf>
    <xf numFmtId="164" fontId="3" fillId="2" borderId="0" xfId="0" applyNumberFormat="1" applyFont="1" applyFill="1" applyBorder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8" fillId="2" borderId="0" xfId="0" applyFont="1" applyFill="1" applyAlignment="1">
      <alignment horizontal="center"/>
    </xf>
    <xf numFmtId="8" fontId="0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1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 applyAlignment="1">
      <alignment horizontal="left"/>
    </xf>
    <xf numFmtId="0" fontId="17" fillId="2" borderId="0" xfId="0" applyFont="1" applyFill="1"/>
    <xf numFmtId="164" fontId="0" fillId="2" borderId="0" xfId="0" applyNumberFormat="1" applyFill="1"/>
    <xf numFmtId="0" fontId="3" fillId="2" borderId="15" xfId="0" applyFont="1" applyFill="1" applyBorder="1" applyAlignment="1">
      <alignment horizontal="right"/>
    </xf>
    <xf numFmtId="0" fontId="19" fillId="2" borderId="16" xfId="0" applyFont="1" applyFill="1" applyBorder="1" applyAlignment="1">
      <alignment horizontal="right" vertical="center"/>
    </xf>
    <xf numFmtId="0" fontId="21" fillId="2" borderId="0" xfId="0" applyFont="1" applyFill="1" applyBorder="1" applyAlignment="1" applyProtection="1">
      <alignment horizontal="right"/>
      <protection locked="0"/>
    </xf>
    <xf numFmtId="164" fontId="0" fillId="2" borderId="0" xfId="0" applyNumberFormat="1" applyFill="1" applyAlignment="1">
      <alignment horizontal="center"/>
    </xf>
    <xf numFmtId="0" fontId="20" fillId="2" borderId="0" xfId="0" applyFont="1" applyFill="1" applyBorder="1" applyAlignment="1">
      <alignment vertical="top"/>
    </xf>
    <xf numFmtId="8" fontId="0" fillId="2" borderId="11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8" fontId="10" fillId="2" borderId="11" xfId="0" applyNumberFormat="1" applyFont="1" applyFill="1" applyBorder="1" applyAlignment="1" applyProtection="1">
      <alignment horizontal="center"/>
      <protection locked="0"/>
    </xf>
    <xf numFmtId="8" fontId="0" fillId="2" borderId="12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164" fontId="0" fillId="0" borderId="0" xfId="0" applyNumberFormat="1" applyBorder="1" applyProtection="1">
      <protection locked="0"/>
    </xf>
    <xf numFmtId="8" fontId="0" fillId="0" borderId="0" xfId="0" applyNumberFormat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3" fillId="2" borderId="14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center" vertical="top"/>
    </xf>
    <xf numFmtId="0" fontId="22" fillId="6" borderId="3" xfId="0" applyFont="1" applyFill="1" applyBorder="1" applyAlignment="1" applyProtection="1">
      <alignment horizontal="center"/>
      <protection locked="0"/>
    </xf>
    <xf numFmtId="0" fontId="22" fillId="6" borderId="1" xfId="0" applyFont="1" applyFill="1" applyBorder="1" applyAlignment="1" applyProtection="1">
      <alignment horizontal="center"/>
      <protection locked="0"/>
    </xf>
    <xf numFmtId="0" fontId="3" fillId="2" borderId="15" xfId="0" applyFont="1" applyFill="1" applyBorder="1" applyAlignment="1">
      <alignment horizontal="right" vertical="center"/>
    </xf>
    <xf numFmtId="164" fontId="23" fillId="6" borderId="1" xfId="0" applyNumberFormat="1" applyFont="1" applyFill="1" applyBorder="1" applyAlignment="1" applyProtection="1">
      <alignment horizontal="center" vertical="center"/>
      <protection locked="0"/>
    </xf>
    <xf numFmtId="8" fontId="2" fillId="3" borderId="0" xfId="0" applyNumberFormat="1" applyFont="1" applyFill="1" applyBorder="1" applyAlignment="1">
      <alignment horizontal="center" vertical="center"/>
    </xf>
    <xf numFmtId="8" fontId="2" fillId="3" borderId="0" xfId="0" applyNumberFormat="1" applyFont="1" applyFill="1" applyAlignment="1">
      <alignment horizontal="center"/>
    </xf>
    <xf numFmtId="8" fontId="2" fillId="3" borderId="0" xfId="0" applyNumberFormat="1" applyFont="1" applyFill="1" applyBorder="1" applyAlignment="1">
      <alignment horizontal="center"/>
    </xf>
    <xf numFmtId="8" fontId="10" fillId="2" borderId="0" xfId="0" applyNumberFormat="1" applyFont="1" applyFill="1" applyBorder="1" applyAlignment="1">
      <alignment horizontal="center"/>
    </xf>
    <xf numFmtId="0" fontId="39" fillId="8" borderId="0" xfId="0" applyFont="1" applyFill="1" applyBorder="1" applyAlignment="1">
      <alignment horizontal="righ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173" fontId="47" fillId="12" borderId="0" xfId="0" applyNumberFormat="1" applyFont="1" applyFill="1"/>
    <xf numFmtId="0" fontId="5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center" vertical="top"/>
    </xf>
    <xf numFmtId="0" fontId="12" fillId="2" borderId="0" xfId="0" applyFont="1" applyFill="1" applyBorder="1" applyAlignment="1">
      <alignment horizontal="right" vertical="center"/>
    </xf>
    <xf numFmtId="0" fontId="45" fillId="0" borderId="0" xfId="0" applyFont="1" applyBorder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45" fillId="2" borderId="0" xfId="0" applyFont="1" applyFill="1" applyBorder="1" applyAlignment="1">
      <alignment horizontal="right"/>
    </xf>
    <xf numFmtId="0" fontId="46" fillId="2" borderId="0" xfId="0" applyFont="1" applyFill="1" applyBorder="1" applyAlignment="1" applyProtection="1">
      <alignment horizontal="right" vertical="center" wrapText="1"/>
      <protection locked="0"/>
    </xf>
    <xf numFmtId="0" fontId="48" fillId="14" borderId="17" xfId="0" applyFont="1" applyFill="1" applyBorder="1" applyAlignment="1">
      <alignment horizontal="center" vertical="center"/>
    </xf>
    <xf numFmtId="0" fontId="48" fillId="14" borderId="19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right"/>
    </xf>
    <xf numFmtId="164" fontId="20" fillId="2" borderId="0" xfId="0" applyNumberFormat="1" applyFont="1" applyFill="1" applyBorder="1" applyAlignment="1">
      <alignment vertical="top" wrapText="1"/>
    </xf>
    <xf numFmtId="0" fontId="20" fillId="2" borderId="0" xfId="0" applyFont="1" applyFill="1" applyBorder="1" applyAlignment="1">
      <alignment vertical="top" wrapText="1"/>
    </xf>
    <xf numFmtId="174" fontId="46" fillId="2" borderId="0" xfId="0" applyNumberFormat="1" applyFont="1" applyFill="1" applyAlignment="1" applyProtection="1">
      <alignment horizontal="center" vertical="center"/>
      <protection locked="0"/>
    </xf>
    <xf numFmtId="1" fontId="46" fillId="2" borderId="0" xfId="0" applyNumberFormat="1" applyFont="1" applyFill="1" applyAlignment="1">
      <alignment horizontal="left" vertical="center"/>
    </xf>
    <xf numFmtId="0" fontId="48" fillId="14" borderId="22" xfId="0" applyFont="1" applyFill="1" applyBorder="1" applyAlignment="1">
      <alignment horizontal="center" vertical="center"/>
    </xf>
    <xf numFmtId="0" fontId="48" fillId="14" borderId="0" xfId="0" applyFont="1" applyFill="1" applyAlignment="1">
      <alignment horizontal="left" vertical="center"/>
    </xf>
    <xf numFmtId="0" fontId="0" fillId="14" borderId="0" xfId="0" applyFill="1"/>
    <xf numFmtId="166" fontId="3" fillId="14" borderId="0" xfId="0" applyNumberFormat="1" applyFont="1" applyFill="1" applyAlignment="1" applyProtection="1">
      <alignment horizontal="right"/>
      <protection locked="0"/>
    </xf>
    <xf numFmtId="0" fontId="49" fillId="15" borderId="1" xfId="0" applyFont="1" applyFill="1" applyBorder="1" applyAlignment="1" applyProtection="1">
      <alignment horizontal="center"/>
    </xf>
    <xf numFmtId="164" fontId="3" fillId="16" borderId="6" xfId="0" applyNumberFormat="1" applyFont="1" applyFill="1" applyBorder="1" applyAlignment="1">
      <alignment horizontal="center" vertical="center"/>
    </xf>
    <xf numFmtId="8" fontId="14" fillId="3" borderId="0" xfId="0" applyNumberFormat="1" applyFont="1" applyFill="1" applyBorder="1" applyAlignment="1">
      <alignment horizontal="center"/>
    </xf>
    <xf numFmtId="171" fontId="22" fillId="6" borderId="1" xfId="0" applyNumberFormat="1" applyFont="1" applyFill="1" applyBorder="1" applyAlignment="1" applyProtection="1">
      <alignment horizontal="center"/>
      <protection locked="0"/>
    </xf>
    <xf numFmtId="0" fontId="54" fillId="2" borderId="0" xfId="0" applyFont="1" applyFill="1" applyAlignment="1">
      <alignment horizontal="right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16" borderId="0" xfId="0" applyFill="1"/>
    <xf numFmtId="0" fontId="3" fillId="2" borderId="0" xfId="0" applyFont="1" applyFill="1" applyAlignment="1" applyProtection="1">
      <alignment horizontal="center"/>
    </xf>
    <xf numFmtId="164" fontId="4" fillId="2" borderId="11" xfId="0" applyNumberFormat="1" applyFont="1" applyFill="1" applyBorder="1" applyAlignment="1">
      <alignment horizontal="center"/>
    </xf>
    <xf numFmtId="10" fontId="4" fillId="3" borderId="0" xfId="1" applyNumberFormat="1" applyFont="1" applyFill="1" applyBorder="1" applyAlignment="1">
      <alignment horizontal="center"/>
    </xf>
    <xf numFmtId="0" fontId="55" fillId="2" borderId="0" xfId="2" applyFill="1"/>
    <xf numFmtId="164" fontId="0" fillId="2" borderId="0" xfId="0" applyNumberFormat="1" applyFont="1" applyFill="1" applyBorder="1" applyAlignment="1">
      <alignment horizontal="center"/>
    </xf>
    <xf numFmtId="8" fontId="0" fillId="2" borderId="0" xfId="0" applyNumberFormat="1" applyFont="1" applyFill="1" applyBorder="1" applyAlignment="1" applyProtection="1">
      <alignment horizontal="center"/>
      <protection locked="0"/>
    </xf>
    <xf numFmtId="0" fontId="0" fillId="9" borderId="0" xfId="0" applyFont="1" applyFill="1" applyAlignment="1">
      <alignment horizontal="center"/>
    </xf>
    <xf numFmtId="15" fontId="0" fillId="9" borderId="0" xfId="0" applyNumberFormat="1" applyFont="1" applyFill="1" applyAlignment="1">
      <alignment horizontal="center"/>
    </xf>
    <xf numFmtId="164" fontId="0" fillId="9" borderId="0" xfId="0" applyNumberFormat="1" applyFont="1" applyFill="1" applyAlignment="1">
      <alignment horizontal="center"/>
    </xf>
    <xf numFmtId="8" fontId="0" fillId="9" borderId="0" xfId="0" applyNumberFormat="1" applyFont="1" applyFill="1" applyAlignment="1">
      <alignment horizontal="center"/>
    </xf>
    <xf numFmtId="8" fontId="0" fillId="9" borderId="0" xfId="0" applyNumberFormat="1" applyFont="1" applyFill="1" applyAlignment="1" applyProtection="1">
      <alignment horizontal="center"/>
      <protection locked="0"/>
    </xf>
    <xf numFmtId="2" fontId="2" fillId="3" borderId="0" xfId="0" applyNumberFormat="1" applyFont="1" applyFill="1" applyBorder="1" applyAlignment="1">
      <alignment horizontal="center"/>
    </xf>
    <xf numFmtId="15" fontId="3" fillId="2" borderId="11" xfId="0" applyNumberFormat="1" applyFont="1" applyFill="1" applyBorder="1" applyAlignment="1">
      <alignment horizontal="center"/>
    </xf>
    <xf numFmtId="0" fontId="10" fillId="2" borderId="12" xfId="0" applyNumberFormat="1" applyFont="1" applyFill="1" applyBorder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9" fontId="4" fillId="3" borderId="0" xfId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horizontal="center"/>
    </xf>
    <xf numFmtId="44" fontId="37" fillId="5" borderId="0" xfId="0" applyNumberFormat="1" applyFont="1" applyFill="1" applyAlignment="1" applyProtection="1">
      <alignment horizontal="center" vertical="center"/>
      <protection locked="0"/>
    </xf>
    <xf numFmtId="0" fontId="56" fillId="8" borderId="0" xfId="0" applyFont="1" applyFill="1" applyAlignment="1">
      <alignment vertical="center"/>
    </xf>
    <xf numFmtId="8" fontId="0" fillId="2" borderId="0" xfId="0" applyNumberFormat="1" applyFill="1" applyBorder="1"/>
    <xf numFmtId="0" fontId="0" fillId="2" borderId="0" xfId="0" applyFill="1" applyBorder="1" applyProtection="1">
      <protection locked="0"/>
    </xf>
    <xf numFmtId="8" fontId="0" fillId="2" borderId="0" xfId="0" applyNumberFormat="1" applyFill="1"/>
    <xf numFmtId="9" fontId="2" fillId="2" borderId="0" xfId="1" applyFont="1" applyFill="1" applyAlignment="1">
      <alignment horizontal="left"/>
    </xf>
    <xf numFmtId="0" fontId="0" fillId="2" borderId="11" xfId="0" applyFont="1" applyFill="1" applyBorder="1" applyAlignment="1" applyProtection="1">
      <alignment horizontal="center"/>
      <protection hidden="1"/>
    </xf>
    <xf numFmtId="15" fontId="0" fillId="2" borderId="11" xfId="0" applyNumberFormat="1" applyFont="1" applyFill="1" applyBorder="1" applyAlignment="1" applyProtection="1">
      <alignment horizontal="center"/>
      <protection hidden="1"/>
    </xf>
    <xf numFmtId="44" fontId="0" fillId="2" borderId="11" xfId="0" applyNumberFormat="1" applyFont="1" applyFill="1" applyBorder="1" applyAlignment="1" applyProtection="1">
      <alignment horizontal="center"/>
      <protection hidden="1"/>
    </xf>
    <xf numFmtId="44" fontId="10" fillId="2" borderId="11" xfId="0" applyNumberFormat="1" applyFont="1" applyFill="1" applyBorder="1" applyAlignment="1" applyProtection="1">
      <alignment horizontal="center"/>
      <protection locked="0" hidden="1"/>
    </xf>
    <xf numFmtId="44" fontId="0" fillId="2" borderId="11" xfId="0" applyNumberFormat="1" applyFont="1" applyFill="1" applyBorder="1" applyAlignment="1" applyProtection="1">
      <alignment horizontal="center"/>
      <protection locked="0" hidden="1"/>
    </xf>
    <xf numFmtId="15" fontId="3" fillId="5" borderId="11" xfId="0" applyNumberFormat="1" applyFont="1" applyFill="1" applyBorder="1" applyAlignment="1" applyProtection="1">
      <alignment horizontal="center"/>
      <protection locked="0" hidden="1"/>
    </xf>
    <xf numFmtId="44" fontId="0" fillId="2" borderId="12" xfId="0" applyNumberFormat="1" applyFont="1" applyFill="1" applyBorder="1" applyAlignment="1" applyProtection="1">
      <alignment horizontal="center"/>
      <protection locked="0" hidden="1"/>
    </xf>
    <xf numFmtId="44" fontId="0" fillId="2" borderId="12" xfId="0" applyNumberFormat="1" applyFont="1" applyFill="1" applyBorder="1" applyAlignment="1" applyProtection="1">
      <alignment horizontal="center"/>
      <protection hidden="1"/>
    </xf>
    <xf numFmtId="175" fontId="46" fillId="2" borderId="2" xfId="0" applyNumberFormat="1" applyFont="1" applyFill="1" applyBorder="1" applyAlignment="1" applyProtection="1">
      <alignment horizontal="right" vertical="center"/>
      <protection hidden="1"/>
    </xf>
    <xf numFmtId="165" fontId="46" fillId="2" borderId="7" xfId="0" applyNumberFormat="1" applyFont="1" applyFill="1" applyBorder="1" applyAlignment="1" applyProtection="1">
      <alignment horizontal="left" vertical="center"/>
      <protection hidden="1"/>
    </xf>
    <xf numFmtId="165" fontId="0" fillId="2" borderId="7" xfId="0" applyNumberFormat="1" applyFill="1" applyBorder="1" applyProtection="1">
      <protection hidden="1"/>
    </xf>
    <xf numFmtId="9" fontId="9" fillId="14" borderId="3" xfId="0" applyNumberFormat="1" applyFont="1" applyFill="1" applyBorder="1" applyAlignment="1" applyProtection="1">
      <alignment horizontal="center"/>
      <protection locked="0" hidden="1"/>
    </xf>
    <xf numFmtId="175" fontId="46" fillId="2" borderId="4" xfId="0" applyNumberFormat="1" applyFont="1" applyFill="1" applyBorder="1" applyAlignment="1" applyProtection="1">
      <alignment horizontal="right" vertical="center"/>
      <protection hidden="1"/>
    </xf>
    <xf numFmtId="165" fontId="46" fillId="2" borderId="0" xfId="0" applyNumberFormat="1" applyFont="1" applyFill="1" applyBorder="1" applyAlignment="1" applyProtection="1">
      <alignment horizontal="left" vertical="center"/>
      <protection hidden="1"/>
    </xf>
    <xf numFmtId="165" fontId="0" fillId="2" borderId="0" xfId="0" applyNumberFormat="1" applyFont="1" applyFill="1" applyBorder="1" applyProtection="1">
      <protection hidden="1"/>
    </xf>
    <xf numFmtId="168" fontId="9" fillId="14" borderId="1" xfId="0" applyNumberFormat="1" applyFont="1" applyFill="1" applyBorder="1" applyAlignment="1" applyProtection="1">
      <alignment horizontal="center"/>
      <protection locked="0" hidden="1"/>
    </xf>
    <xf numFmtId="175" fontId="46" fillId="2" borderId="5" xfId="0" applyNumberFormat="1" applyFont="1" applyFill="1" applyBorder="1" applyAlignment="1" applyProtection="1">
      <alignment horizontal="right" vertical="center"/>
      <protection hidden="1"/>
    </xf>
    <xf numFmtId="165" fontId="46" fillId="2" borderId="8" xfId="0" applyNumberFormat="1" applyFont="1" applyFill="1" applyBorder="1" applyAlignment="1" applyProtection="1">
      <alignment horizontal="left" vertical="center"/>
      <protection hidden="1"/>
    </xf>
    <xf numFmtId="165" fontId="0" fillId="2" borderId="8" xfId="0" applyNumberFormat="1" applyFont="1" applyFill="1" applyBorder="1" applyProtection="1">
      <protection hidden="1"/>
    </xf>
    <xf numFmtId="10" fontId="9" fillId="14" borderId="6" xfId="0" applyNumberFormat="1" applyFont="1" applyFill="1" applyBorder="1" applyAlignment="1" applyProtection="1">
      <alignment horizontal="center"/>
      <protection locked="0" hidden="1"/>
    </xf>
    <xf numFmtId="44" fontId="51" fillId="3" borderId="0" xfId="0" applyNumberFormat="1" applyFont="1" applyFill="1" applyBorder="1" applyAlignment="1" applyProtection="1">
      <alignment horizontal="center" vertical="center"/>
      <protection hidden="1"/>
    </xf>
    <xf numFmtId="0" fontId="46" fillId="3" borderId="0" xfId="0" applyFont="1" applyFill="1" applyBorder="1" applyAlignment="1" applyProtection="1">
      <alignment horizontal="center" vertical="top"/>
      <protection hidden="1"/>
    </xf>
    <xf numFmtId="44" fontId="50" fillId="5" borderId="0" xfId="0" applyNumberFormat="1" applyFont="1" applyFill="1" applyBorder="1" applyAlignment="1" applyProtection="1">
      <alignment horizontal="center"/>
      <protection hidden="1"/>
    </xf>
    <xf numFmtId="168" fontId="50" fillId="5" borderId="0" xfId="0" applyNumberFormat="1" applyFont="1" applyFill="1" applyBorder="1" applyAlignment="1" applyProtection="1">
      <alignment horizontal="center" vertical="top"/>
      <protection locked="0" hidden="1"/>
    </xf>
    <xf numFmtId="44" fontId="51" fillId="3" borderId="0" xfId="0" applyNumberFormat="1" applyFont="1" applyFill="1" applyBorder="1" applyAlignment="1" applyProtection="1">
      <alignment horizontal="center"/>
      <protection locked="0" hidden="1"/>
    </xf>
    <xf numFmtId="8" fontId="52" fillId="3" borderId="0" xfId="0" applyNumberFormat="1" applyFont="1" applyFill="1" applyBorder="1" applyProtection="1">
      <protection hidden="1"/>
    </xf>
    <xf numFmtId="44" fontId="50" fillId="13" borderId="0" xfId="0" applyNumberFormat="1" applyFont="1" applyFill="1" applyAlignment="1" applyProtection="1">
      <alignment horizontal="right" vertical="center"/>
      <protection hidden="1"/>
    </xf>
    <xf numFmtId="168" fontId="50" fillId="13" borderId="0" xfId="0" applyNumberFormat="1" applyFont="1" applyFill="1" applyAlignment="1" applyProtection="1">
      <alignment horizontal="center" vertical="center"/>
      <protection hidden="1"/>
    </xf>
    <xf numFmtId="44" fontId="50" fillId="5" borderId="0" xfId="0" applyNumberFormat="1" applyFont="1" applyFill="1" applyBorder="1" applyAlignment="1" applyProtection="1">
      <alignment horizontal="right" vertical="center"/>
      <protection hidden="1"/>
    </xf>
    <xf numFmtId="9" fontId="50" fillId="5" borderId="0" xfId="0" applyNumberFormat="1" applyFont="1" applyFill="1" applyBorder="1" applyAlignment="1" applyProtection="1">
      <alignment horizontal="center" vertical="center"/>
      <protection locked="0" hidden="1"/>
    </xf>
    <xf numFmtId="9" fontId="50" fillId="13" borderId="0" xfId="1" applyFont="1" applyFill="1" applyBorder="1" applyAlignment="1" applyProtection="1">
      <alignment horizontal="center"/>
      <protection hidden="1"/>
    </xf>
    <xf numFmtId="44" fontId="51" fillId="3" borderId="0" xfId="0" applyNumberFormat="1" applyFont="1" applyFill="1" applyAlignment="1" applyProtection="1">
      <alignment horizontal="right" vertical="center"/>
      <protection hidden="1"/>
    </xf>
    <xf numFmtId="168" fontId="51" fillId="3" borderId="0" xfId="0" applyNumberFormat="1" applyFont="1" applyFill="1" applyAlignment="1" applyProtection="1">
      <alignment horizontal="center" vertical="center"/>
      <protection locked="0" hidden="1"/>
    </xf>
    <xf numFmtId="164" fontId="51" fillId="3" borderId="0" xfId="0" applyNumberFormat="1" applyFont="1" applyFill="1" applyBorder="1" applyAlignment="1" applyProtection="1">
      <alignment horizontal="center"/>
      <protection hidden="1"/>
    </xf>
    <xf numFmtId="8" fontId="53" fillId="3" borderId="0" xfId="0" applyNumberFormat="1" applyFont="1" applyFill="1" applyBorder="1" applyProtection="1">
      <protection hidden="1"/>
    </xf>
    <xf numFmtId="0" fontId="20" fillId="2" borderId="0" xfId="0" applyFont="1" applyFill="1" applyAlignment="1" applyProtection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0" fillId="2" borderId="0" xfId="0" applyFont="1" applyFill="1" applyAlignment="1" applyProtection="1">
      <alignment horizontal="right"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Border="1" applyAlignment="1" applyProtection="1">
      <alignment vertical="center"/>
      <protection locked="0"/>
    </xf>
    <xf numFmtId="0" fontId="29" fillId="0" borderId="0" xfId="0" applyFont="1" applyAlignment="1" applyProtection="1">
      <alignment horizontal="right" vertical="center"/>
      <protection locked="0"/>
    </xf>
    <xf numFmtId="0" fontId="19" fillId="0" borderId="0" xfId="0" applyFont="1" applyAlignment="1" applyProtection="1">
      <alignment horizontal="right" vertical="center"/>
      <protection locked="0"/>
    </xf>
    <xf numFmtId="0" fontId="5" fillId="0" borderId="0" xfId="0" applyFont="1" applyFill="1" applyBorder="1" applyAlignment="1" applyProtection="1">
      <alignment horizontal="right" vertical="center"/>
      <protection locked="0"/>
    </xf>
    <xf numFmtId="0" fontId="44" fillId="0" borderId="0" xfId="0" applyFont="1" applyAlignment="1" applyProtection="1">
      <alignment horizontal="right" vertical="center"/>
      <protection locked="0"/>
    </xf>
    <xf numFmtId="0" fontId="29" fillId="0" borderId="0" xfId="0" applyFont="1" applyFill="1" applyBorder="1" applyAlignment="1" applyProtection="1">
      <alignment vertical="center"/>
      <protection locked="0"/>
    </xf>
    <xf numFmtId="0" fontId="34" fillId="0" borderId="0" xfId="0" applyFont="1" applyAlignment="1" applyProtection="1">
      <alignment vertical="center"/>
      <protection locked="0"/>
    </xf>
    <xf numFmtId="0" fontId="7" fillId="2" borderId="0" xfId="0" applyFont="1" applyFill="1" applyBorder="1" applyAlignment="1" applyProtection="1">
      <alignment vertical="center"/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6" fillId="2" borderId="0" xfId="0" applyFont="1" applyFill="1" applyBorder="1" applyAlignment="1" applyProtection="1">
      <alignment horizontal="right" vertical="center"/>
      <protection locked="0"/>
    </xf>
    <xf numFmtId="0" fontId="6" fillId="2" borderId="0" xfId="0" applyFont="1" applyFill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 applyBorder="1" applyAlignment="1" applyProtection="1">
      <alignment vertical="center"/>
      <protection locked="0"/>
    </xf>
    <xf numFmtId="0" fontId="5" fillId="9" borderId="0" xfId="0" applyFont="1" applyFill="1" applyBorder="1" applyAlignment="1" applyProtection="1">
      <alignment vertical="center"/>
      <protection locked="0"/>
    </xf>
    <xf numFmtId="0" fontId="0" fillId="9" borderId="0" xfId="0" applyFont="1" applyFill="1" applyBorder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35" fillId="0" borderId="0" xfId="0" applyFont="1" applyAlignment="1" applyProtection="1">
      <alignment vertical="center"/>
      <protection locked="0"/>
    </xf>
    <xf numFmtId="0" fontId="0" fillId="2" borderId="27" xfId="0" applyFont="1" applyFill="1" applyBorder="1" applyAlignment="1" applyProtection="1">
      <alignment vertical="center"/>
      <protection locked="0"/>
    </xf>
    <xf numFmtId="0" fontId="1" fillId="2" borderId="28" xfId="0" applyFont="1" applyFill="1" applyBorder="1" applyAlignment="1" applyProtection="1">
      <alignment vertical="center"/>
      <protection locked="0"/>
    </xf>
    <xf numFmtId="0" fontId="0" fillId="2" borderId="28" xfId="0" applyFont="1" applyFill="1" applyBorder="1" applyAlignment="1" applyProtection="1">
      <alignment vertical="center"/>
      <protection locked="0"/>
    </xf>
    <xf numFmtId="0" fontId="7" fillId="2" borderId="30" xfId="0" applyFont="1" applyFill="1" applyBorder="1" applyAlignment="1" applyProtection="1">
      <alignment vertical="center" wrapText="1"/>
      <protection locked="0"/>
    </xf>
    <xf numFmtId="0" fontId="36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right" vertical="center"/>
      <protection locked="0"/>
    </xf>
    <xf numFmtId="0" fontId="1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" fillId="0" borderId="0" xfId="0" applyFont="1" applyBorder="1" applyAlignment="1" applyProtection="1">
      <alignment vertical="center"/>
      <protection hidden="1"/>
    </xf>
    <xf numFmtId="0" fontId="25" fillId="2" borderId="0" xfId="0" applyFont="1" applyFill="1" applyAlignment="1" applyProtection="1">
      <alignment vertical="center"/>
      <protection hidden="1"/>
    </xf>
    <xf numFmtId="0" fontId="25" fillId="2" borderId="0" xfId="0" applyFont="1" applyFill="1" applyAlignment="1" applyProtection="1">
      <alignment horizontal="right" vertical="center"/>
      <protection hidden="1"/>
    </xf>
    <xf numFmtId="0" fontId="25" fillId="2" borderId="0" xfId="0" applyFont="1" applyFill="1" applyBorder="1" applyAlignment="1" applyProtection="1">
      <alignment vertical="center"/>
      <protection hidden="1"/>
    </xf>
    <xf numFmtId="0" fontId="28" fillId="2" borderId="0" xfId="0" applyFont="1" applyFill="1" applyAlignment="1" applyProtection="1">
      <alignment horizontal="right" vertical="center"/>
      <protection hidden="1"/>
    </xf>
    <xf numFmtId="0" fontId="29" fillId="2" borderId="0" xfId="0" applyFont="1" applyFill="1" applyAlignment="1" applyProtection="1">
      <alignment horizontal="right" vertical="center"/>
      <protection hidden="1"/>
    </xf>
    <xf numFmtId="0" fontId="1" fillId="2" borderId="0" xfId="0" applyFont="1" applyFill="1" applyAlignment="1" applyProtection="1">
      <alignment horizontal="right" vertical="center"/>
      <protection hidden="1"/>
    </xf>
    <xf numFmtId="0" fontId="0" fillId="2" borderId="0" xfId="0" applyFont="1" applyFill="1" applyAlignment="1" applyProtection="1">
      <alignment horizontal="right" vertical="center"/>
      <protection hidden="1"/>
    </xf>
    <xf numFmtId="0" fontId="7" fillId="2" borderId="0" xfId="0" applyFont="1" applyFill="1" applyAlignment="1" applyProtection="1">
      <alignment horizontal="right" vertical="center"/>
      <protection hidden="1"/>
    </xf>
    <xf numFmtId="8" fontId="27" fillId="11" borderId="22" xfId="0" applyNumberFormat="1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vertical="center"/>
      <protection hidden="1"/>
    </xf>
    <xf numFmtId="0" fontId="6" fillId="2" borderId="0" xfId="0" applyFont="1" applyFill="1" applyAlignment="1" applyProtection="1">
      <alignment horizontal="right" vertical="center"/>
      <protection hidden="1"/>
    </xf>
    <xf numFmtId="166" fontId="27" fillId="2" borderId="20" xfId="0" applyNumberFormat="1" applyFont="1" applyFill="1" applyBorder="1" applyAlignment="1" applyProtection="1">
      <alignment horizontal="center" vertical="center"/>
      <protection hidden="1"/>
    </xf>
    <xf numFmtId="0" fontId="0" fillId="7" borderId="0" xfId="0" applyFont="1" applyFill="1" applyBorder="1" applyAlignment="1" applyProtection="1">
      <alignment horizontal="right" vertical="center"/>
      <protection hidden="1"/>
    </xf>
    <xf numFmtId="168" fontId="27" fillId="2" borderId="20" xfId="1" applyNumberFormat="1" applyFont="1" applyFill="1" applyBorder="1" applyAlignment="1" applyProtection="1">
      <alignment horizontal="center" vertical="center"/>
      <protection hidden="1"/>
    </xf>
    <xf numFmtId="10" fontId="27" fillId="2" borderId="20" xfId="1" applyNumberFormat="1" applyFont="1" applyFill="1" applyBorder="1" applyAlignment="1" applyProtection="1">
      <alignment horizontal="center" vertical="center"/>
      <protection hidden="1"/>
    </xf>
    <xf numFmtId="0" fontId="18" fillId="2" borderId="0" xfId="0" applyFont="1" applyFill="1" applyAlignment="1" applyProtection="1">
      <alignment horizontal="right" vertical="center"/>
      <protection hidden="1"/>
    </xf>
    <xf numFmtId="0" fontId="33" fillId="2" borderId="0" xfId="0" applyFont="1" applyFill="1" applyBorder="1" applyAlignment="1" applyProtection="1">
      <alignment vertical="center"/>
      <protection hidden="1"/>
    </xf>
    <xf numFmtId="0" fontId="6" fillId="2" borderId="0" xfId="0" applyFont="1" applyFill="1" applyBorder="1" applyAlignment="1" applyProtection="1">
      <alignment vertical="center"/>
      <protection hidden="1"/>
    </xf>
    <xf numFmtId="8" fontId="27" fillId="2" borderId="23" xfId="0" applyNumberFormat="1" applyFont="1" applyFill="1" applyBorder="1" applyAlignment="1" applyProtection="1">
      <alignment horizontal="center" vertical="center"/>
      <protection hidden="1"/>
    </xf>
    <xf numFmtId="8" fontId="27" fillId="2" borderId="24" xfId="0" applyNumberFormat="1" applyFont="1" applyFill="1" applyBorder="1" applyAlignment="1" applyProtection="1">
      <alignment horizontal="center" vertical="center"/>
      <protection hidden="1"/>
    </xf>
    <xf numFmtId="8" fontId="27" fillId="2" borderId="25" xfId="0" applyNumberFormat="1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vertic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56" fillId="8" borderId="0" xfId="0" applyFont="1" applyFill="1" applyAlignment="1">
      <alignment horizontal="left" vertical="center"/>
    </xf>
    <xf numFmtId="0" fontId="57" fillId="0" borderId="0" xfId="0" applyFont="1"/>
    <xf numFmtId="0" fontId="3" fillId="2" borderId="0" xfId="0" applyFont="1" applyFill="1" applyAlignment="1">
      <alignment horizontal="left" wrapText="1"/>
    </xf>
    <xf numFmtId="0" fontId="13" fillId="2" borderId="0" xfId="0" applyFont="1" applyFill="1" applyAlignment="1">
      <alignment horizontal="center"/>
    </xf>
    <xf numFmtId="15" fontId="38" fillId="2" borderId="0" xfId="0" applyNumberFormat="1" applyFont="1" applyFill="1" applyAlignment="1" applyProtection="1">
      <alignment horizontal="right"/>
      <protection locked="0"/>
    </xf>
    <xf numFmtId="0" fontId="38" fillId="2" borderId="0" xfId="0" applyNumberFormat="1" applyFont="1" applyFill="1" applyAlignment="1" applyProtection="1">
      <alignment horizontal="right"/>
      <protection locked="0"/>
    </xf>
    <xf numFmtId="0" fontId="37" fillId="2" borderId="17" xfId="0" applyFont="1" applyFill="1" applyBorder="1" applyAlignment="1" applyProtection="1">
      <alignment horizontal="center" vertical="center"/>
    </xf>
    <xf numFmtId="0" fontId="37" fillId="2" borderId="19" xfId="0" applyFont="1" applyFill="1" applyBorder="1" applyAlignment="1" applyProtection="1">
      <alignment horizontal="center" vertical="center"/>
    </xf>
    <xf numFmtId="0" fontId="39" fillId="8" borderId="0" xfId="0" applyFont="1" applyFill="1" applyBorder="1" applyAlignment="1">
      <alignment horizontal="center"/>
    </xf>
    <xf numFmtId="0" fontId="39" fillId="8" borderId="0" xfId="0" applyFont="1" applyFill="1" applyBorder="1" applyAlignment="1">
      <alignment horizontal="right"/>
    </xf>
    <xf numFmtId="172" fontId="40" fillId="10" borderId="0" xfId="0" applyNumberFormat="1" applyFont="1" applyFill="1" applyBorder="1" applyAlignment="1" applyProtection="1">
      <alignment horizontal="left"/>
      <protection locked="0"/>
    </xf>
    <xf numFmtId="0" fontId="0" fillId="2" borderId="0" xfId="0" applyFill="1" applyAlignment="1">
      <alignment horizontal="center"/>
    </xf>
    <xf numFmtId="0" fontId="0" fillId="5" borderId="0" xfId="0" applyFill="1" applyAlignment="1" applyProtection="1">
      <alignment horizontal="left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/>
      <protection locked="0"/>
    </xf>
    <xf numFmtId="15" fontId="8" fillId="5" borderId="17" xfId="0" applyNumberFormat="1" applyFont="1" applyFill="1" applyBorder="1" applyAlignment="1" applyProtection="1">
      <alignment horizontal="center" vertical="center"/>
      <protection locked="0"/>
    </xf>
    <xf numFmtId="15" fontId="8" fillId="5" borderId="18" xfId="0" applyNumberFormat="1" applyFont="1" applyFill="1" applyBorder="1" applyAlignment="1" applyProtection="1">
      <alignment horizontal="center" vertical="center"/>
      <protection locked="0"/>
    </xf>
    <xf numFmtId="15" fontId="8" fillId="5" borderId="19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vertical="center" wrapText="1"/>
      <protection locked="0"/>
    </xf>
    <xf numFmtId="0" fontId="7" fillId="2" borderId="38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Border="1" applyAlignment="1" applyProtection="1">
      <alignment horizontal="right" vertical="center" wrapText="1"/>
      <protection locked="0"/>
    </xf>
    <xf numFmtId="0" fontId="26" fillId="3" borderId="9" xfId="0" applyFont="1" applyFill="1" applyBorder="1" applyAlignment="1" applyProtection="1">
      <alignment horizontal="center" vertical="center"/>
      <protection locked="0"/>
    </xf>
    <xf numFmtId="0" fontId="26" fillId="3" borderId="31" xfId="0" applyFont="1" applyFill="1" applyBorder="1" applyAlignment="1" applyProtection="1">
      <alignment horizontal="center" vertical="center"/>
      <protection locked="0"/>
    </xf>
    <xf numFmtId="0" fontId="26" fillId="3" borderId="1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20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36" fillId="2" borderId="29" xfId="0" applyFont="1" applyFill="1" applyBorder="1" applyAlignment="1" applyProtection="1">
      <alignment horizontal="center" vertical="center" wrapText="1"/>
      <protection locked="0"/>
    </xf>
    <xf numFmtId="0" fontId="26" fillId="3" borderId="26" xfId="0" applyFont="1" applyFill="1" applyBorder="1" applyAlignment="1" applyProtection="1">
      <alignment horizontal="center" vertical="center"/>
      <protection locked="0"/>
    </xf>
    <xf numFmtId="0" fontId="26" fillId="3" borderId="0" xfId="0" applyFont="1" applyFill="1" applyBorder="1" applyAlignment="1" applyProtection="1">
      <alignment horizontal="center" vertical="center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29" xfId="0" applyFont="1" applyFill="1" applyBorder="1" applyAlignment="1" applyProtection="1">
      <alignment horizontal="center" vertical="center" wrapText="1"/>
      <protection locked="0"/>
    </xf>
    <xf numFmtId="0" fontId="36" fillId="2" borderId="35" xfId="0" applyFont="1" applyFill="1" applyBorder="1" applyAlignment="1" applyProtection="1">
      <alignment horizontal="center" vertical="center" wrapText="1"/>
      <protection locked="0"/>
    </xf>
    <xf numFmtId="0" fontId="36" fillId="2" borderId="36" xfId="0" applyFont="1" applyFill="1" applyBorder="1" applyAlignment="1" applyProtection="1">
      <alignment horizontal="center" vertical="center" wrapText="1"/>
      <protection locked="0"/>
    </xf>
    <xf numFmtId="0" fontId="36" fillId="2" borderId="37" xfId="0" applyFont="1" applyFill="1" applyBorder="1" applyAlignment="1" applyProtection="1">
      <alignment horizontal="center" vertical="center" wrapText="1"/>
      <protection locked="0"/>
    </xf>
    <xf numFmtId="0" fontId="27" fillId="2" borderId="20" xfId="0" applyFont="1" applyFill="1" applyBorder="1" applyAlignment="1" applyProtection="1">
      <alignment horizontal="center" vertical="center"/>
      <protection hidden="1"/>
    </xf>
    <xf numFmtId="0" fontId="30" fillId="2" borderId="21" xfId="0" applyFont="1" applyFill="1" applyBorder="1" applyAlignment="1" applyProtection="1">
      <alignment horizontal="right" vertical="center"/>
      <protection hidden="1"/>
    </xf>
    <xf numFmtId="171" fontId="27" fillId="2" borderId="20" xfId="0" applyNumberFormat="1" applyFont="1" applyFill="1" applyBorder="1" applyAlignment="1" applyProtection="1">
      <alignment horizontal="center" vertical="center"/>
      <protection hidden="1"/>
    </xf>
    <xf numFmtId="164" fontId="27" fillId="2" borderId="21" xfId="0" applyNumberFormat="1" applyFont="1" applyFill="1" applyBorder="1" applyAlignment="1" applyProtection="1">
      <alignment horizontal="center" vertical="center"/>
      <protection hidden="1"/>
    </xf>
    <xf numFmtId="164" fontId="27" fillId="11" borderId="32" xfId="0" applyNumberFormat="1" applyFont="1" applyFill="1" applyBorder="1" applyAlignment="1" applyProtection="1">
      <alignment horizontal="center" vertical="center"/>
      <protection hidden="1"/>
    </xf>
    <xf numFmtId="164" fontId="27" fillId="11" borderId="33" xfId="0" applyNumberFormat="1" applyFont="1" applyFill="1" applyBorder="1" applyAlignment="1" applyProtection="1">
      <alignment horizontal="center" vertical="center"/>
      <protection hidden="1"/>
    </xf>
    <xf numFmtId="164" fontId="27" fillId="11" borderId="34" xfId="0" applyNumberFormat="1" applyFont="1" applyFill="1" applyBorder="1" applyAlignment="1" applyProtection="1">
      <alignment horizontal="center" vertical="center"/>
      <protection hidden="1"/>
    </xf>
    <xf numFmtId="164" fontId="27" fillId="2" borderId="20" xfId="0" applyNumberFormat="1" applyFont="1" applyFill="1" applyBorder="1" applyAlignment="1" applyProtection="1">
      <alignment horizontal="center" vertical="center"/>
      <protection hidden="1"/>
    </xf>
    <xf numFmtId="0" fontId="6" fillId="2" borderId="21" xfId="0" applyFont="1" applyFill="1" applyBorder="1" applyAlignment="1" applyProtection="1">
      <alignment vertical="center"/>
      <protection hidden="1"/>
    </xf>
    <xf numFmtId="0" fontId="25" fillId="5" borderId="17" xfId="0" applyFont="1" applyFill="1" applyBorder="1" applyAlignment="1" applyProtection="1">
      <alignment horizontal="left" vertical="center"/>
      <protection locked="0"/>
    </xf>
    <xf numFmtId="0" fontId="25" fillId="5" borderId="18" xfId="0" applyFont="1" applyFill="1" applyBorder="1" applyAlignment="1" applyProtection="1">
      <alignment horizontal="left" vertical="center"/>
      <protection locked="0"/>
    </xf>
    <xf numFmtId="0" fontId="25" fillId="5" borderId="19" xfId="0" applyFont="1" applyFill="1" applyBorder="1" applyAlignment="1" applyProtection="1">
      <alignment horizontal="left" vertical="center"/>
      <protection locked="0"/>
    </xf>
    <xf numFmtId="0" fontId="29" fillId="0" borderId="0" xfId="0" applyFont="1" applyFill="1" applyBorder="1" applyAlignment="1" applyProtection="1">
      <alignment horizontal="right" vertical="center"/>
      <protection locked="0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164" fontId="27" fillId="2" borderId="40" xfId="0" applyNumberFormat="1" applyFont="1" applyFill="1" applyBorder="1" applyAlignment="1" applyProtection="1">
      <alignment horizontal="center" vertical="center"/>
      <protection hidden="1"/>
    </xf>
    <xf numFmtId="0" fontId="1" fillId="0" borderId="39" xfId="0" applyFont="1" applyBorder="1" applyAlignment="1" applyProtection="1">
      <alignment horizontal="center" vertical="center"/>
      <protection locked="0"/>
    </xf>
    <xf numFmtId="0" fontId="43" fillId="0" borderId="0" xfId="0" applyFont="1" applyBorder="1" applyAlignment="1" applyProtection="1">
      <alignment horizontal="center" vertical="center"/>
      <protection locked="0"/>
    </xf>
    <xf numFmtId="0" fontId="24" fillId="2" borderId="0" xfId="0" applyFont="1" applyFill="1" applyBorder="1" applyAlignment="1" applyProtection="1">
      <alignment horizontal="left" vertical="center"/>
      <protection hidden="1"/>
    </xf>
    <xf numFmtId="0" fontId="24" fillId="2" borderId="0" xfId="0" applyFont="1" applyFill="1" applyBorder="1" applyAlignment="1" applyProtection="1">
      <alignment vertical="center"/>
      <protection hidden="1"/>
    </xf>
    <xf numFmtId="0" fontId="1" fillId="2" borderId="0" xfId="0" applyFont="1" applyFill="1" applyBorder="1" applyAlignment="1" applyProtection="1">
      <alignment vertical="center"/>
      <protection hidden="1"/>
    </xf>
    <xf numFmtId="0" fontId="26" fillId="3" borderId="17" xfId="0" applyFont="1" applyFill="1" applyBorder="1" applyAlignment="1" applyProtection="1">
      <alignment horizontal="center" vertical="center"/>
      <protection hidden="1"/>
    </xf>
    <xf numFmtId="0" fontId="26" fillId="3" borderId="18" xfId="0" applyFont="1" applyFill="1" applyBorder="1" applyAlignment="1" applyProtection="1">
      <alignment horizontal="center" vertical="center"/>
      <protection hidden="1"/>
    </xf>
    <xf numFmtId="0" fontId="26" fillId="3" borderId="19" xfId="0" applyFont="1" applyFill="1" applyBorder="1" applyAlignment="1" applyProtection="1">
      <alignment horizontal="center" vertical="center"/>
      <protection hidden="1"/>
    </xf>
    <xf numFmtId="0" fontId="29" fillId="0" borderId="0" xfId="0" applyFont="1" applyAlignment="1" applyProtection="1">
      <alignment horizontal="right" vertical="center"/>
      <protection hidden="1"/>
    </xf>
    <xf numFmtId="8" fontId="27" fillId="2" borderId="0" xfId="0" applyNumberFormat="1" applyFont="1" applyFill="1" applyBorder="1" applyAlignment="1" applyProtection="1">
      <alignment horizontal="center" vertical="center"/>
      <protection hidden="1"/>
    </xf>
    <xf numFmtId="0" fontId="8" fillId="11" borderId="17" xfId="0" applyNumberFormat="1" applyFont="1" applyFill="1" applyBorder="1" applyAlignment="1" applyProtection="1">
      <alignment horizontal="center" vertical="center"/>
      <protection hidden="1"/>
    </xf>
    <xf numFmtId="0" fontId="8" fillId="11" borderId="18" xfId="0" applyNumberFormat="1" applyFont="1" applyFill="1" applyBorder="1" applyAlignment="1" applyProtection="1">
      <alignment horizontal="center" vertical="center"/>
      <protection hidden="1"/>
    </xf>
    <xf numFmtId="0" fontId="8" fillId="11" borderId="19" xfId="0" applyNumberFormat="1" applyFont="1" applyFill="1" applyBorder="1" applyAlignment="1" applyProtection="1">
      <alignment horizontal="center" vertical="center"/>
      <protection hidden="1"/>
    </xf>
    <xf numFmtId="9" fontId="13" fillId="11" borderId="17" xfId="0" applyNumberFormat="1" applyFont="1" applyFill="1" applyBorder="1" applyAlignment="1" applyProtection="1">
      <alignment horizontal="center" vertical="center"/>
      <protection hidden="1"/>
    </xf>
    <xf numFmtId="9" fontId="13" fillId="11" borderId="18" xfId="0" applyNumberFormat="1" applyFont="1" applyFill="1" applyBorder="1" applyAlignment="1" applyProtection="1">
      <alignment horizontal="center" vertical="center"/>
      <protection hidden="1"/>
    </xf>
    <xf numFmtId="9" fontId="13" fillId="11" borderId="19" xfId="0" applyNumberFormat="1" applyFont="1" applyFill="1" applyBorder="1" applyAlignment="1" applyProtection="1">
      <alignment horizontal="center" vertical="center"/>
      <protection hidden="1"/>
    </xf>
    <xf numFmtId="15" fontId="8" fillId="11" borderId="17" xfId="0" applyNumberFormat="1" applyFont="1" applyFill="1" applyBorder="1" applyAlignment="1" applyProtection="1">
      <alignment horizontal="center" vertical="center"/>
      <protection hidden="1"/>
    </xf>
    <xf numFmtId="15" fontId="8" fillId="11" borderId="18" xfId="0" applyNumberFormat="1" applyFont="1" applyFill="1" applyBorder="1" applyAlignment="1" applyProtection="1">
      <alignment horizontal="center" vertical="center"/>
      <protection hidden="1"/>
    </xf>
    <xf numFmtId="15" fontId="8" fillId="11" borderId="19" xfId="0" applyNumberFormat="1" applyFont="1" applyFill="1" applyBorder="1" applyAlignment="1" applyProtection="1">
      <alignment horizontal="center" vertical="center"/>
      <protection hidden="1"/>
    </xf>
  </cellXfs>
  <cellStyles count="3">
    <cellStyle name="Hipervínculo" xfId="2" builtinId="8"/>
    <cellStyle name="Normal" xfId="0" builtinId="0"/>
    <cellStyle name="Porcentaje" xfId="1" builtinId="5"/>
  </cellStyles>
  <dxfs count="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20" formatCode="dd\-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rgb="FFFFFFFF"/>
        </left>
        <right style="thin">
          <color rgb="FFFFFFFF"/>
        </right>
        <top/>
        <bottom/>
        <vertical style="thin">
          <color rgb="FFFFFFFF"/>
        </vertical>
        <horizontal style="thin">
          <color rgb="FFFFFFF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rgb="FF002060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2" formatCode="&quot;$&quot;#,##0.00;[Red]\-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20" formatCode="dd\-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20" formatCode="dd\-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34" formatCode="_-&quot;$&quot;* #,##0.00_-;\-&quot;$&quot;* #,##0.00_-;_-&quot;$&quot;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34" formatCode="_-&quot;$&quot;* #,##0.00_-;\-&quot;$&quot;* #,##0.00_-;_-&quot;$&quot;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34" formatCode="_-&quot;$&quot;* #,##0.00_-;\-&quot;$&quot;* #,##0.00_-;_-&quot;$&quot;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34" formatCode="_-&quot;$&quot;* #,##0.00_-;\-&quot;$&quot;* #,##0.00_-;_-&quot;$&quot;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34" formatCode="_-&quot;$&quot;* #,##0.00_-;\-&quot;$&quot;* #,##0.00_-;_-&quot;$&quot;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2" formatCode="&quot;$&quot;#,##0.00;[Red]\-&quot;$&quot;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34" formatCode="_-&quot;$&quot;* #,##0.00_-;\-&quot;$&quot;* #,##0.00_-;_-&quot;$&quot;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34" formatCode="_-&quot;$&quot;* #,##0.00_-;\-&quot;$&quot;* #,##0.00_-;_-&quot;$&quot;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20" formatCode="dd\-mmm\-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20" formatCode="dd\-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hidden="1"/>
    </dxf>
    <dxf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  <protection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b/>
        <i val="0"/>
        <color rgb="FFFFFF00"/>
      </font>
    </dxf>
    <dxf>
      <font>
        <color rgb="FFFFFF00"/>
      </font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rgb="FFFFFF00"/>
      </font>
    </dxf>
    <dxf>
      <font>
        <color rgb="FFFFFF00"/>
      </font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rgb="FFFFFF00"/>
      </font>
    </dxf>
    <dxf>
      <font>
        <color rgb="FFFFFF00"/>
      </font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rgb="FFFFFF00"/>
      </font>
    </dxf>
    <dxf>
      <font>
        <color rgb="FFFFFF00"/>
      </font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rgb="FFFFFF00"/>
      </font>
    </dxf>
    <dxf>
      <font>
        <color rgb="FFFFFF00"/>
      </font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25093</xdr:colOff>
      <xdr:row>3</xdr:row>
      <xdr:rowOff>234462</xdr:rowOff>
    </xdr:from>
    <xdr:to>
      <xdr:col>4</xdr:col>
      <xdr:colOff>36014</xdr:colOff>
      <xdr:row>4</xdr:row>
      <xdr:rowOff>69607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71" t="16350" r="14368" b="12009"/>
        <a:stretch/>
      </xdr:blipFill>
      <xdr:spPr>
        <a:xfrm>
          <a:off x="4573281" y="1937056"/>
          <a:ext cx="1165827" cy="1025770"/>
        </a:xfrm>
        <a:prstGeom prst="rect">
          <a:avLst/>
        </a:prstGeom>
      </xdr:spPr>
    </xdr:pic>
    <xdr:clientData/>
  </xdr:twoCellAnchor>
  <xdr:twoCellAnchor editAs="oneCell">
    <xdr:from>
      <xdr:col>3</xdr:col>
      <xdr:colOff>38767</xdr:colOff>
      <xdr:row>2</xdr:row>
      <xdr:rowOff>71990</xdr:rowOff>
    </xdr:from>
    <xdr:to>
      <xdr:col>4</xdr:col>
      <xdr:colOff>27690</xdr:colOff>
      <xdr:row>2</xdr:row>
      <xdr:rowOff>1079868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31" t="19063" r="12220" b="15522"/>
        <a:stretch/>
      </xdr:blipFill>
      <xdr:spPr>
        <a:xfrm>
          <a:off x="4424697" y="492862"/>
          <a:ext cx="1140784" cy="10078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6909</xdr:colOff>
          <xdr:row>0</xdr:row>
          <xdr:rowOff>45904</xdr:rowOff>
        </xdr:from>
        <xdr:to>
          <xdr:col>1</xdr:col>
          <xdr:colOff>382607</xdr:colOff>
          <xdr:row>4</xdr:row>
          <xdr:rowOff>203353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OTOS" spid="_x0000_s2288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909" y="45904"/>
              <a:ext cx="1450531" cy="127635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70457</xdr:colOff>
          <xdr:row>95</xdr:row>
          <xdr:rowOff>1616</xdr:rowOff>
        </xdr:from>
        <xdr:to>
          <xdr:col>29</xdr:col>
          <xdr:colOff>305583</xdr:colOff>
          <xdr:row>99</xdr:row>
          <xdr:rowOff>26096</xdr:rowOff>
        </xdr:to>
        <xdr:grpSp>
          <xdr:nvGrpSpPr>
            <xdr:cNvPr id="17" name="Grupo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pSpPr/>
          </xdr:nvGrpSpPr>
          <xdr:grpSpPr>
            <a:xfrm>
              <a:off x="8473334" y="13036513"/>
              <a:ext cx="704852" cy="1224891"/>
              <a:chOff x="5236306" y="23468951"/>
              <a:chExt cx="710075" cy="1806300"/>
            </a:xfrm>
          </xdr:grpSpPr>
          <xdr:sp macro="" textlink="">
            <xdr:nvSpPr>
              <xdr:cNvPr id="3093" name="Check Box 21" hidden="1">
                <a:extLst>
                  <a:ext uri="{63B3BB69-23CF-44E3-9099-C40C66FF867C}">
                    <a14:compatExt spid="_x0000_s3093"/>
                  </a:ext>
                  <a:ext uri="{FF2B5EF4-FFF2-40B4-BE49-F238E27FC236}">
                    <a16:creationId xmlns:a16="http://schemas.microsoft.com/office/drawing/2014/main" id="{00000000-0008-0000-0200-0000150C0000}"/>
                  </a:ext>
                </a:extLst>
              </xdr:cNvPr>
              <xdr:cNvSpPr/>
            </xdr:nvSpPr>
            <xdr:spPr bwMode="auto">
              <a:xfrm>
                <a:off x="5236306" y="23468951"/>
                <a:ext cx="614117" cy="34173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94" name="Check Box 22" hidden="1">
                <a:extLst>
                  <a:ext uri="{63B3BB69-23CF-44E3-9099-C40C66FF867C}">
                    <a14:compatExt spid="_x0000_s3094"/>
                  </a:ext>
                  <a:ext uri="{FF2B5EF4-FFF2-40B4-BE49-F238E27FC236}">
                    <a16:creationId xmlns:a16="http://schemas.microsoft.com/office/drawing/2014/main" id="{00000000-0008-0000-0200-0000160C0000}"/>
                  </a:ext>
                </a:extLst>
              </xdr:cNvPr>
              <xdr:cNvSpPr/>
            </xdr:nvSpPr>
            <xdr:spPr bwMode="auto">
              <a:xfrm>
                <a:off x="5245903" y="23927799"/>
                <a:ext cx="700477" cy="41984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95" name="Check Box 23" hidden="1">
                <a:extLst>
                  <a:ext uri="{63B3BB69-23CF-44E3-9099-C40C66FF867C}">
                    <a14:compatExt spid="_x0000_s3095"/>
                  </a:ext>
                  <a:ext uri="{FF2B5EF4-FFF2-40B4-BE49-F238E27FC236}">
                    <a16:creationId xmlns:a16="http://schemas.microsoft.com/office/drawing/2014/main" id="{00000000-0008-0000-0200-0000170C0000}"/>
                  </a:ext>
                </a:extLst>
              </xdr:cNvPr>
              <xdr:cNvSpPr/>
            </xdr:nvSpPr>
            <xdr:spPr bwMode="auto">
              <a:xfrm>
                <a:off x="5236307" y="24376940"/>
                <a:ext cx="710073" cy="39055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97" name="Check Box 25" hidden="1">
                <a:extLst>
                  <a:ext uri="{63B3BB69-23CF-44E3-9099-C40C66FF867C}">
                    <a14:compatExt spid="_x0000_s3097"/>
                  </a:ext>
                  <a:ext uri="{FF2B5EF4-FFF2-40B4-BE49-F238E27FC236}">
                    <a16:creationId xmlns:a16="http://schemas.microsoft.com/office/drawing/2014/main" id="{00000000-0008-0000-0200-0000190C0000}"/>
                  </a:ext>
                </a:extLst>
              </xdr:cNvPr>
              <xdr:cNvSpPr/>
            </xdr:nvSpPr>
            <xdr:spPr bwMode="auto">
              <a:xfrm>
                <a:off x="5236308" y="24855400"/>
                <a:ext cx="710073" cy="41985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18137</xdr:colOff>
          <xdr:row>155</xdr:row>
          <xdr:rowOff>112860</xdr:rowOff>
        </xdr:from>
        <xdr:to>
          <xdr:col>4</xdr:col>
          <xdr:colOff>227948</xdr:colOff>
          <xdr:row>165</xdr:row>
          <xdr:rowOff>101644</xdr:rowOff>
        </xdr:to>
        <xdr:grpSp>
          <xdr:nvGrpSpPr>
            <xdr:cNvPr id="5" name="Grupo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pSpPr/>
          </xdr:nvGrpSpPr>
          <xdr:grpSpPr>
            <a:xfrm>
              <a:off x="318240" y="30971250"/>
              <a:ext cx="1188407" cy="2076456"/>
              <a:chOff x="410556" y="26396391"/>
              <a:chExt cx="924880" cy="2109160"/>
            </a:xfrm>
          </xdr:grpSpPr>
          <xdr:sp macro="" textlink="">
            <xdr:nvSpPr>
              <xdr:cNvPr id="3103" name="Check Box 31" hidden="1">
                <a:extLst>
                  <a:ext uri="{63B3BB69-23CF-44E3-9099-C40C66FF867C}">
                    <a14:compatExt spid="_x0000_s3103"/>
                  </a:ext>
                  <a:ext uri="{FF2B5EF4-FFF2-40B4-BE49-F238E27FC236}">
                    <a16:creationId xmlns:a16="http://schemas.microsoft.com/office/drawing/2014/main" id="{00000000-0008-0000-0200-00001F0C0000}"/>
                  </a:ext>
                </a:extLst>
              </xdr:cNvPr>
              <xdr:cNvSpPr/>
            </xdr:nvSpPr>
            <xdr:spPr bwMode="auto">
              <a:xfrm>
                <a:off x="410556" y="26396391"/>
                <a:ext cx="375733" cy="29024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04" name="Check Box 32" hidden="1">
                <a:extLst>
                  <a:ext uri="{63B3BB69-23CF-44E3-9099-C40C66FF867C}">
                    <a14:compatExt spid="_x0000_s3104"/>
                  </a:ext>
                  <a:ext uri="{FF2B5EF4-FFF2-40B4-BE49-F238E27FC236}">
                    <a16:creationId xmlns:a16="http://schemas.microsoft.com/office/drawing/2014/main" id="{00000000-0008-0000-0200-0000200C0000}"/>
                  </a:ext>
                </a:extLst>
              </xdr:cNvPr>
              <xdr:cNvSpPr/>
            </xdr:nvSpPr>
            <xdr:spPr bwMode="auto">
              <a:xfrm>
                <a:off x="420190" y="26860806"/>
                <a:ext cx="433538" cy="34830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06" name="Check Box 34" hidden="1">
                <a:extLst>
                  <a:ext uri="{63B3BB69-23CF-44E3-9099-C40C66FF867C}">
                    <a14:compatExt spid="_x0000_s3106"/>
                  </a:ext>
                  <a:ext uri="{FF2B5EF4-FFF2-40B4-BE49-F238E27FC236}">
                    <a16:creationId xmlns:a16="http://schemas.microsoft.com/office/drawing/2014/main" id="{00000000-0008-0000-0200-0000220C0000}"/>
                  </a:ext>
                </a:extLst>
              </xdr:cNvPr>
              <xdr:cNvSpPr/>
            </xdr:nvSpPr>
            <xdr:spPr bwMode="auto">
              <a:xfrm>
                <a:off x="420190" y="27692858"/>
                <a:ext cx="915246" cy="36765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11" name="Check Box 39" hidden="1">
                <a:extLst>
                  <a:ext uri="{63B3BB69-23CF-44E3-9099-C40C66FF867C}">
                    <a14:compatExt spid="_x0000_s3111"/>
                  </a:ext>
                  <a:ext uri="{FF2B5EF4-FFF2-40B4-BE49-F238E27FC236}">
                    <a16:creationId xmlns:a16="http://schemas.microsoft.com/office/drawing/2014/main" id="{00000000-0008-0000-0200-0000270C0000}"/>
                  </a:ext>
                </a:extLst>
              </xdr:cNvPr>
              <xdr:cNvSpPr/>
            </xdr:nvSpPr>
            <xdr:spPr bwMode="auto">
              <a:xfrm>
                <a:off x="420190" y="28128224"/>
                <a:ext cx="915246" cy="3773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12" name="Check Box 40" hidden="1">
                <a:extLst>
                  <a:ext uri="{63B3BB69-23CF-44E3-9099-C40C66FF867C}">
                    <a14:compatExt spid="_x0000_s3112"/>
                  </a:ext>
                  <a:ext uri="{FF2B5EF4-FFF2-40B4-BE49-F238E27FC236}">
                    <a16:creationId xmlns:a16="http://schemas.microsoft.com/office/drawing/2014/main" id="{00000000-0008-0000-0200-0000280C0000}"/>
                  </a:ext>
                </a:extLst>
              </xdr:cNvPr>
              <xdr:cNvSpPr/>
            </xdr:nvSpPr>
            <xdr:spPr bwMode="auto">
              <a:xfrm>
                <a:off x="429824" y="27286513"/>
                <a:ext cx="433538" cy="3483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14614</xdr:colOff>
          <xdr:row>94</xdr:row>
          <xdr:rowOff>109601</xdr:rowOff>
        </xdr:from>
        <xdr:to>
          <xdr:col>4</xdr:col>
          <xdr:colOff>214900</xdr:colOff>
          <xdr:row>100</xdr:row>
          <xdr:rowOff>135669</xdr:rowOff>
        </xdr:to>
        <xdr:grpSp>
          <xdr:nvGrpSpPr>
            <xdr:cNvPr id="2" name="Grup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pSpPr/>
          </xdr:nvGrpSpPr>
          <xdr:grpSpPr>
            <a:xfrm>
              <a:off x="314717" y="12935731"/>
              <a:ext cx="1178882" cy="1735349"/>
              <a:chOff x="419100" y="29317981"/>
              <a:chExt cx="904877" cy="2619326"/>
            </a:xfrm>
          </xdr:grpSpPr>
          <xdr:grpSp>
            <xdr:nvGrpSpPr>
              <xdr:cNvPr id="6" name="Grupo 5">
                <a:extLst>
                  <a:ext uri="{FF2B5EF4-FFF2-40B4-BE49-F238E27FC236}">
                    <a16:creationId xmlns:a16="http://schemas.microsoft.com/office/drawing/2014/main" id="{00000000-0008-0000-0200-000006000000}"/>
                  </a:ext>
                </a:extLst>
              </xdr:cNvPr>
              <xdr:cNvGrpSpPr/>
            </xdr:nvGrpSpPr>
            <xdr:grpSpPr>
              <a:xfrm>
                <a:off x="419100" y="29317981"/>
                <a:ext cx="904877" cy="2190710"/>
                <a:chOff x="420110" y="23204617"/>
                <a:chExt cx="915333" cy="2219862"/>
              </a:xfrm>
            </xdr:grpSpPr>
            <xdr:sp macro="" textlink="">
              <xdr:nvSpPr>
                <xdr:cNvPr id="3083" name="Check Box 11" hidden="1">
                  <a:extLst>
                    <a:ext uri="{63B3BB69-23CF-44E3-9099-C40C66FF867C}">
                      <a14:compatExt spid="_x0000_s3083"/>
                    </a:ext>
                    <a:ext uri="{FF2B5EF4-FFF2-40B4-BE49-F238E27FC236}">
                      <a16:creationId xmlns:a16="http://schemas.microsoft.com/office/drawing/2014/main" id="{00000000-0008-0000-0200-00000B0C0000}"/>
                    </a:ext>
                  </a:extLst>
                </xdr:cNvPr>
                <xdr:cNvSpPr/>
              </xdr:nvSpPr>
              <xdr:spPr bwMode="auto">
                <a:xfrm>
                  <a:off x="420110" y="23204617"/>
                  <a:ext cx="375767" cy="33781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3084" name="Check Box 12" hidden="1">
                  <a:extLst>
                    <a:ext uri="{63B3BB69-23CF-44E3-9099-C40C66FF867C}">
                      <a14:compatExt spid="_x0000_s3084"/>
                    </a:ext>
                    <a:ext uri="{FF2B5EF4-FFF2-40B4-BE49-F238E27FC236}">
                      <a16:creationId xmlns:a16="http://schemas.microsoft.com/office/drawing/2014/main" id="{00000000-0008-0000-0200-00000C0C0000}"/>
                    </a:ext>
                  </a:extLst>
                </xdr:cNvPr>
                <xdr:cNvSpPr/>
              </xdr:nvSpPr>
              <xdr:spPr bwMode="auto">
                <a:xfrm>
                  <a:off x="420110" y="23658241"/>
                  <a:ext cx="443213" cy="41502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3085" name="Check Box 13" hidden="1">
                  <a:extLst>
                    <a:ext uri="{63B3BB69-23CF-44E3-9099-C40C66FF867C}">
                      <a14:compatExt spid="_x0000_s3085"/>
                    </a:ext>
                    <a:ext uri="{FF2B5EF4-FFF2-40B4-BE49-F238E27FC236}">
                      <a16:creationId xmlns:a16="http://schemas.microsoft.com/office/drawing/2014/main" id="{00000000-0008-0000-0200-00000D0C0000}"/>
                    </a:ext>
                  </a:extLst>
                </xdr:cNvPr>
                <xdr:cNvSpPr/>
              </xdr:nvSpPr>
              <xdr:spPr bwMode="auto">
                <a:xfrm>
                  <a:off x="420110" y="24121523"/>
                  <a:ext cx="443213" cy="36677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3086" name="Check Box 14" hidden="1">
                  <a:extLst>
                    <a:ext uri="{63B3BB69-23CF-44E3-9099-C40C66FF867C}">
                      <a14:compatExt spid="_x0000_s3086"/>
                    </a:ext>
                    <a:ext uri="{FF2B5EF4-FFF2-40B4-BE49-F238E27FC236}">
                      <a16:creationId xmlns:a16="http://schemas.microsoft.com/office/drawing/2014/main" id="{00000000-0008-0000-0200-00000E0C0000}"/>
                    </a:ext>
                  </a:extLst>
                </xdr:cNvPr>
                <xdr:cNvSpPr/>
              </xdr:nvSpPr>
              <xdr:spPr bwMode="auto">
                <a:xfrm>
                  <a:off x="429745" y="25048058"/>
                  <a:ext cx="905698" cy="3764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3087" name="Check Box 15" hidden="1">
                  <a:extLst>
                    <a:ext uri="{63B3BB69-23CF-44E3-9099-C40C66FF867C}">
                      <a14:compatExt spid="_x0000_s3087"/>
                    </a:ext>
                    <a:ext uri="{FF2B5EF4-FFF2-40B4-BE49-F238E27FC236}">
                      <a16:creationId xmlns:a16="http://schemas.microsoft.com/office/drawing/2014/main" id="{00000000-0008-0000-0200-00000F0C0000}"/>
                    </a:ext>
                  </a:extLst>
                </xdr:cNvPr>
                <xdr:cNvSpPr/>
              </xdr:nvSpPr>
              <xdr:spPr bwMode="auto">
                <a:xfrm>
                  <a:off x="420110" y="24575155"/>
                  <a:ext cx="443213" cy="41503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  <xdr:sp macro="" textlink="">
            <xdr:nvSpPr>
              <xdr:cNvPr id="3126" name="Check Box 54" hidden="1">
                <a:extLst>
                  <a:ext uri="{63B3BB69-23CF-44E3-9099-C40C66FF867C}">
                    <a14:compatExt spid="_x0000_s3126"/>
                  </a:ext>
                  <a:ext uri="{FF2B5EF4-FFF2-40B4-BE49-F238E27FC236}">
                    <a16:creationId xmlns:a16="http://schemas.microsoft.com/office/drawing/2014/main" id="{00000000-0008-0000-0200-0000360C0000}"/>
                  </a:ext>
                </a:extLst>
              </xdr:cNvPr>
              <xdr:cNvSpPr/>
            </xdr:nvSpPr>
            <xdr:spPr bwMode="auto">
              <a:xfrm>
                <a:off x="419100" y="31565833"/>
                <a:ext cx="438150" cy="37147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-4488494</xdr:rowOff>
        </xdr:from>
        <xdr:to>
          <xdr:col>0</xdr:col>
          <xdr:colOff>0</xdr:colOff>
          <xdr:row>0</xdr:row>
          <xdr:rowOff>-4488494</xdr:rowOff>
        </xdr:to>
        <xdr:grpSp>
          <xdr:nvGrpSpPr>
            <xdr:cNvPr id="3" name="Grupo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pSpPr/>
          </xdr:nvGrpSpPr>
          <xdr:grpSpPr>
            <a:xfrm>
              <a:off x="0" y="-4488494"/>
              <a:ext cx="0" cy="0"/>
              <a:chOff x="0" y="-4488494"/>
              <a:chExt cx="0" cy="0"/>
            </a:xfrm>
          </xdr:grpSpPr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102</xdr:row>
          <xdr:rowOff>38100</xdr:rowOff>
        </xdr:from>
        <xdr:to>
          <xdr:col>3</xdr:col>
          <xdr:colOff>9525</xdr:colOff>
          <xdr:row>106</xdr:row>
          <xdr:rowOff>266700</xdr:rowOff>
        </xdr:to>
        <xdr:grpSp>
          <xdr:nvGrpSpPr>
            <xdr:cNvPr id="3143" name="Grupo 2">
              <a:extLs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19153" y="15173716"/>
              <a:ext cx="734208" cy="1429011"/>
              <a:chOff x="4063" y="182238"/>
              <a:chExt cx="4686" cy="14286"/>
            </a:xfrm>
          </xdr:grpSpPr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365343</xdr:colOff>
          <xdr:row>102</xdr:row>
          <xdr:rowOff>65240</xdr:rowOff>
        </xdr:from>
        <xdr:to>
          <xdr:col>5</xdr:col>
          <xdr:colOff>60674</xdr:colOff>
          <xdr:row>107</xdr:row>
          <xdr:rowOff>65105</xdr:rowOff>
        </xdr:to>
        <xdr:grpSp>
          <xdr:nvGrpSpPr>
            <xdr:cNvPr id="23" name="Grupo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GrpSpPr/>
          </xdr:nvGrpSpPr>
          <xdr:grpSpPr>
            <a:xfrm>
              <a:off x="298668" y="15200856"/>
              <a:ext cx="1275568" cy="1500379"/>
              <a:chOff x="390808" y="27902631"/>
              <a:chExt cx="1038082" cy="2294825"/>
            </a:xfrm>
          </xdr:grpSpPr>
          <xdr:sp macro="" textlink="">
            <xdr:nvSpPr>
              <xdr:cNvPr id="3140" name="Check Box 68" hidden="1">
                <a:extLst>
                  <a:ext uri="{63B3BB69-23CF-44E3-9099-C40C66FF867C}">
                    <a14:compatExt spid="_x0000_s3140"/>
                  </a:ext>
                  <a:ext uri="{FF2B5EF4-FFF2-40B4-BE49-F238E27FC236}">
                    <a16:creationId xmlns:a16="http://schemas.microsoft.com/office/drawing/2014/main" id="{00000000-0008-0000-0200-0000440C0000}"/>
                  </a:ext>
                </a:extLst>
              </xdr:cNvPr>
              <xdr:cNvSpPr/>
            </xdr:nvSpPr>
            <xdr:spPr bwMode="auto">
              <a:xfrm>
                <a:off x="404007" y="27902631"/>
                <a:ext cx="385402" cy="3496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41" name="Check Box 69" hidden="1">
                <a:extLst>
                  <a:ext uri="{63B3BB69-23CF-44E3-9099-C40C66FF867C}">
                    <a14:compatExt spid="_x0000_s3141"/>
                  </a:ext>
                  <a:ext uri="{FF2B5EF4-FFF2-40B4-BE49-F238E27FC236}">
                    <a16:creationId xmlns:a16="http://schemas.microsoft.com/office/drawing/2014/main" id="{00000000-0008-0000-0200-0000450C0000}"/>
                  </a:ext>
                </a:extLst>
              </xdr:cNvPr>
              <xdr:cNvSpPr/>
            </xdr:nvSpPr>
            <xdr:spPr bwMode="auto">
              <a:xfrm>
                <a:off x="417206" y="28338097"/>
                <a:ext cx="529928" cy="43705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42" name="Check Box 70" hidden="1">
                <a:extLst>
                  <a:ext uri="{63B3BB69-23CF-44E3-9099-C40C66FF867C}">
                    <a14:compatExt spid="_x0000_s3142"/>
                  </a:ext>
                  <a:ext uri="{FF2B5EF4-FFF2-40B4-BE49-F238E27FC236}">
                    <a16:creationId xmlns:a16="http://schemas.microsoft.com/office/drawing/2014/main" id="{00000000-0008-0000-0200-0000460C0000}"/>
                  </a:ext>
                </a:extLst>
              </xdr:cNvPr>
              <xdr:cNvSpPr/>
            </xdr:nvSpPr>
            <xdr:spPr bwMode="auto">
              <a:xfrm>
                <a:off x="404007" y="28833423"/>
                <a:ext cx="529928" cy="3787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" name="Check Box 71" hidden="1">
                <a:extLst>
                  <a:ext uri="{63B3BB69-23CF-44E3-9099-C40C66FF867C}">
                    <a14:compatExt spid="_x0000_s3143"/>
                  </a:ext>
                  <a:ext uri="{FF2B5EF4-FFF2-40B4-BE49-F238E27FC236}">
                    <a16:creationId xmlns:a16="http://schemas.microsoft.com/office/drawing/2014/main" id="{00000000-0008-0000-0200-000004000000}"/>
                  </a:ext>
                </a:extLst>
              </xdr:cNvPr>
              <xdr:cNvSpPr/>
            </xdr:nvSpPr>
            <xdr:spPr bwMode="auto">
              <a:xfrm>
                <a:off x="426841" y="29804110"/>
                <a:ext cx="1002049" cy="39334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144" name="Check Box 72" hidden="1">
                <a:extLst>
                  <a:ext uri="{63B3BB69-23CF-44E3-9099-C40C66FF867C}">
                    <a14:compatExt spid="_x0000_s3144"/>
                  </a:ext>
                  <a:ext uri="{FF2B5EF4-FFF2-40B4-BE49-F238E27FC236}">
                    <a16:creationId xmlns:a16="http://schemas.microsoft.com/office/drawing/2014/main" id="{00000000-0008-0000-0200-0000480C0000}"/>
                  </a:ext>
                </a:extLst>
              </xdr:cNvPr>
              <xdr:cNvSpPr/>
            </xdr:nvSpPr>
            <xdr:spPr bwMode="auto">
              <a:xfrm>
                <a:off x="390808" y="29254295"/>
                <a:ext cx="529916" cy="43704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gamacair/Downloads/Presupuesto%20Marketing%20CCIM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rol%20y%20Medici&#243;n/Downloads/X%20%20%20SIMULADOR%20ASESOR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upuesto Mensua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URA"/>
      <sheetName val="Cotizador (PORTTO BLANCO)"/>
      <sheetName val="ASESOR"/>
      <sheetName val="CALENDARIO"/>
    </sheetNames>
    <sheetDataSet>
      <sheetData sheetId="0">
        <row r="6">
          <cell r="D6" t="str">
            <v/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Tabla1141634817" displayName="Tabla1141634817" ref="A44:I97" totalsRowCount="1" headerRowDxfId="61" dataDxfId="60" totalsRowDxfId="59">
  <autoFilter ref="A44:I96" xr:uid="{00000000-0009-0000-0100-000010000000}"/>
  <tableColumns count="9">
    <tableColumn id="1" xr3:uid="{00000000-0010-0000-0000-000001000000}" name="PERIODO" totalsRowFunction="custom" dataDxfId="58" totalsRowDxfId="57">
      <calculatedColumnFormula>IF(A44&lt;$D$38,A44+1,"")</calculatedColumnFormula>
      <totalsRowFormula>_xlfn.AGGREGATE(2,6,Tabla1141634817[PERIODO])</totalsRowFormula>
    </tableColumn>
    <tableColumn id="9" xr3:uid="{00000000-0010-0000-0000-000009000000}" name="FECHA" totalsRowFunction="custom" dataDxfId="56" totalsRowDxfId="55">
      <calculatedColumnFormula>#REF!+30.5</calculatedColumnFormula>
      <totalsRowFormula>VLOOKUP(Tabla1141634817[[#Totals],[PERIODO]],Tabla1141634817[[#Headers],[#Data]],2)</totalsRowFormula>
    </tableColumn>
    <tableColumn id="2" xr3:uid="{00000000-0010-0000-0000-000002000000}" name="SALDO INICIAL" dataDxfId="54" totalsRowDxfId="53">
      <calculatedColumnFormula>I44</calculatedColumnFormula>
    </tableColumn>
    <tableColumn id="3" xr3:uid="{00000000-0010-0000-0000-000003000000}" name="MENSUALUDAD" dataDxfId="52" totalsRowDxfId="51">
      <calculatedColumnFormula>IF(A45&lt;=$D$19,(-PMT($D$41,$D$38,$D$36)))</calculatedColumnFormula>
    </tableColumn>
    <tableColumn id="4" xr3:uid="{00000000-0010-0000-0000-000004000000}" name="ABONOS" totalsRowFunction="custom" dataDxfId="50" totalsRowDxfId="49">
      <totalsRowFormula>SUM(E45:E96)</totalsRowFormula>
    </tableColumn>
    <tableColumn id="5" xr3:uid="{00000000-0010-0000-0000-000005000000}" name="PAGADO" dataDxfId="48" totalsRowDxfId="47">
      <calculatedColumnFormula>SUM(D45:E45)</calculatedColumnFormula>
    </tableColumn>
    <tableColumn id="6" xr3:uid="{00000000-0010-0000-0000-000006000000}" name="INTERÉS" dataDxfId="46" totalsRowDxfId="45">
      <calculatedColumnFormula>IF(A45&lt;=48,(C45*$D$41),0)</calculatedColumnFormula>
    </tableColumn>
    <tableColumn id="7" xr3:uid="{00000000-0010-0000-0000-000007000000}" name="ABONO A CAPITAL" totalsRowFunction="sum" dataDxfId="44" totalsRowDxfId="43">
      <calculatedColumnFormula>D45-G45</calculatedColumnFormula>
    </tableColumn>
    <tableColumn id="8" xr3:uid="{00000000-0010-0000-0000-000008000000}" name="SALDO FINAL" totalsRowFunction="custom" dataDxfId="42" totalsRowDxfId="41">
      <calculatedColumnFormula>C45-H45</calculatedColumnFormula>
      <totalsRowFormula>VLOOKUP(Tabla1141634817[[#Totals],[PERIODO]],Tabla1141634817[[#Headers],[#Data]],9)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a12111735918" displayName="Tabla12111735918" ref="A108:I182" totalsRowCount="1" headerRowDxfId="40" dataDxfId="39">
  <autoFilter ref="A108:I181" xr:uid="{00000000-0009-0000-0100-000011000000}"/>
  <tableColumns count="9">
    <tableColumn id="1" xr3:uid="{00000000-0010-0000-0100-000001000000}" name="PERIODO" totalsRowFunction="custom" dataDxfId="38" totalsRowDxfId="37">
      <calculatedColumnFormula>IF(A108&lt;$D$38,A108+1,"")</calculatedColumnFormula>
      <totalsRowFormula>D40+D104</totalsRowFormula>
    </tableColumn>
    <tableColumn id="9" xr3:uid="{00000000-0010-0000-0100-000009000000}" name="FECHA" totalsRowFunction="custom" dataDxfId="36" totalsRowDxfId="35">
      <totalsRowFormula>VLOOKUP(Tabla12111735918[[#Totals],[PERIODO]],Tabla12111735918[[#Headers],[#Data]],2)</totalsRowFormula>
    </tableColumn>
    <tableColumn id="2" xr3:uid="{00000000-0010-0000-0100-000002000000}" name="SALDO INICIAL" dataDxfId="34" totalsRowDxfId="33">
      <calculatedColumnFormula>I108</calculatedColumnFormula>
    </tableColumn>
    <tableColumn id="3" xr3:uid="{00000000-0010-0000-0100-000003000000}" name="MENSUALIDAD" dataDxfId="32" totalsRowDxfId="31">
      <calculatedColumnFormula>IF(A109&lt;121,(-PMT($D$105,$D$102,$D$101)))</calculatedColumnFormula>
    </tableColumn>
    <tableColumn id="4" xr3:uid="{00000000-0010-0000-0100-000004000000}" name="ABONOS" totalsRowFunction="custom" dataDxfId="30" totalsRowDxfId="29">
      <totalsRowFormula>SUM(E109:E181)</totalsRowFormula>
    </tableColumn>
    <tableColumn id="5" xr3:uid="{00000000-0010-0000-0100-000005000000}" name="PAGADO" dataDxfId="28" totalsRowDxfId="27">
      <calculatedColumnFormula>SUM(D109:E109)</calculatedColumnFormula>
    </tableColumn>
    <tableColumn id="6" xr3:uid="{00000000-0010-0000-0100-000006000000}" name="INTERÉS" dataDxfId="26" totalsRowDxfId="25">
      <calculatedColumnFormula>IF(A109&gt;48,(C109*$D$105),0)</calculatedColumnFormula>
    </tableColumn>
    <tableColumn id="7" xr3:uid="{00000000-0010-0000-0100-000007000000}" name="ABONO A CAPITAL" totalsRowFunction="sum" dataDxfId="24" totalsRowDxfId="23">
      <calculatedColumnFormula>D109-G109</calculatedColumnFormula>
    </tableColumn>
    <tableColumn id="8" xr3:uid="{00000000-0010-0000-0100-000008000000}" name="SALDO FINAL" totalsRowFunction="custom" dataDxfId="22" totalsRowDxfId="21">
      <calculatedColumnFormula>C109-H109</calculatedColumnFormula>
      <totalsRowFormula>VLOOKUP(Tabla12111735918[[#Totals],[PERIODO]],Tabla12111735918[[#Headers],[#Data]],9)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la131524361019" displayName="Tabla131524361019" ref="A196:I258" totalsRowCount="1" headerRowDxfId="20" dataDxfId="19" totalsRowDxfId="18">
  <autoFilter ref="A196:I257" xr:uid="{00000000-0009-0000-0100-000012000000}"/>
  <tableColumns count="9">
    <tableColumn id="1" xr3:uid="{00000000-0010-0000-0200-000001000000}" name="PERIODO" dataDxfId="17" totalsRowDxfId="16">
      <calculatedColumnFormula>IF(A196&lt;$D$38,A196+1,"")</calculatedColumnFormula>
    </tableColumn>
    <tableColumn id="9" xr3:uid="{00000000-0010-0000-0200-000009000000}" name="FECHA" dataDxfId="15" totalsRowDxfId="14"/>
    <tableColumn id="2" xr3:uid="{00000000-0010-0000-0200-000002000000}" name="SALDO INICIAL" dataDxfId="13" totalsRowDxfId="12">
      <calculatedColumnFormula>I196</calculatedColumnFormula>
    </tableColumn>
    <tableColumn id="3" xr3:uid="{00000000-0010-0000-0200-000003000000}" name="MENSUALIDAD" dataDxfId="11" totalsRowDxfId="10">
      <calculatedColumnFormula>IF(C197&gt;0,(-PMT($D$193,$D$190,$D$189)))</calculatedColumnFormula>
    </tableColumn>
    <tableColumn id="4" xr3:uid="{00000000-0010-0000-0200-000004000000}" name="ABONOS" dataDxfId="9" totalsRowDxfId="8"/>
    <tableColumn id="5" xr3:uid="{00000000-0010-0000-0200-000005000000}" name="PAGADO" dataDxfId="7" totalsRowDxfId="6">
      <calculatedColumnFormula>SUM(D197:E197)</calculatedColumnFormula>
    </tableColumn>
    <tableColumn id="6" xr3:uid="{00000000-0010-0000-0200-000006000000}" name="INTERÉS" dataDxfId="5" totalsRowDxfId="4">
      <calculatedColumnFormula>IF(A197&gt;=121,(C197*$D$193),0)</calculatedColumnFormula>
    </tableColumn>
    <tableColumn id="7" xr3:uid="{00000000-0010-0000-0200-000007000000}" name="ABONO A CAPITAL" totalsRowFunction="sum" dataDxfId="3" totalsRowDxfId="2">
      <calculatedColumnFormula>F197-G197</calculatedColumnFormula>
    </tableColumn>
    <tableColumn id="8" xr3:uid="{00000000-0010-0000-0200-000008000000}" name="SALDO FINAL" totalsRowFunction="custom" dataDxfId="1" totalsRowDxfId="0">
      <calculatedColumnFormula>C197-H197</calculatedColumnFormula>
      <totalsRowFormula>I257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ORCIAD@" TargetMode="External"/><Relationship Id="rId2" Type="http://schemas.openxmlformats.org/officeDocument/2006/relationships/hyperlink" Target="mailto:SOLTER@" TargetMode="External"/><Relationship Id="rId1" Type="http://schemas.openxmlformats.org/officeDocument/2006/relationships/hyperlink" Target="mailto:CASAD@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VIUD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omments" Target="../comments1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4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53"/>
  <sheetViews>
    <sheetView zoomScale="80" zoomScaleNormal="80" workbookViewId="0">
      <selection activeCell="E8" sqref="E8"/>
    </sheetView>
  </sheetViews>
  <sheetFormatPr baseColWidth="10" defaultColWidth="11" defaultRowHeight="16.5" x14ac:dyDescent="0.3"/>
  <cols>
    <col min="1" max="2" width="11" style="2"/>
    <col min="3" max="3" width="37.75" style="2" customWidth="1"/>
    <col min="4" max="4" width="15.125" style="2" customWidth="1"/>
    <col min="5" max="5" width="25.125" style="2" bestFit="1" customWidth="1"/>
    <col min="6" max="16384" width="11" style="2"/>
  </cols>
  <sheetData>
    <row r="2" spans="3:7" x14ac:dyDescent="0.3">
      <c r="C2" s="114" t="s">
        <v>172</v>
      </c>
      <c r="D2" s="9" t="s">
        <v>175</v>
      </c>
      <c r="E2" s="86" t="s">
        <v>97</v>
      </c>
      <c r="F2" s="86" t="s">
        <v>176</v>
      </c>
      <c r="G2" s="86" t="s">
        <v>5</v>
      </c>
    </row>
    <row r="3" spans="3:7" ht="100.5" customHeight="1" x14ac:dyDescent="0.3">
      <c r="C3" s="113" t="s">
        <v>174</v>
      </c>
      <c r="E3" s="84" t="s">
        <v>171</v>
      </c>
      <c r="F3" s="2" t="s">
        <v>100</v>
      </c>
      <c r="G3" s="2">
        <v>15</v>
      </c>
    </row>
    <row r="4" spans="3:7" ht="93.75" customHeight="1" x14ac:dyDescent="0.3">
      <c r="C4" s="113" t="s">
        <v>173</v>
      </c>
      <c r="E4" s="85">
        <v>4500</v>
      </c>
      <c r="F4" s="2" t="s">
        <v>101</v>
      </c>
      <c r="G4" s="2">
        <v>14</v>
      </c>
    </row>
    <row r="5" spans="3:7" x14ac:dyDescent="0.3">
      <c r="E5" s="84" t="s">
        <v>170</v>
      </c>
      <c r="F5" s="2" t="s">
        <v>102</v>
      </c>
      <c r="G5" s="2">
        <v>13</v>
      </c>
    </row>
    <row r="6" spans="3:7" x14ac:dyDescent="0.3">
      <c r="C6" s="115"/>
      <c r="E6" s="85">
        <v>4725</v>
      </c>
      <c r="F6" s="2" t="s">
        <v>103</v>
      </c>
      <c r="G6" s="2">
        <v>12</v>
      </c>
    </row>
    <row r="7" spans="3:7" x14ac:dyDescent="0.3">
      <c r="E7" s="85" t="s">
        <v>223</v>
      </c>
      <c r="F7" s="2" t="s">
        <v>104</v>
      </c>
      <c r="G7" s="2">
        <v>11</v>
      </c>
    </row>
    <row r="8" spans="3:7" x14ac:dyDescent="0.3">
      <c r="E8" s="85">
        <v>5770.3</v>
      </c>
      <c r="F8" s="2" t="s">
        <v>105</v>
      </c>
      <c r="G8" s="2">
        <v>10</v>
      </c>
    </row>
    <row r="9" spans="3:7" x14ac:dyDescent="0.3">
      <c r="E9" s="85" t="s">
        <v>224</v>
      </c>
      <c r="F9" s="2" t="s">
        <v>106</v>
      </c>
      <c r="G9" s="2">
        <v>9</v>
      </c>
    </row>
    <row r="10" spans="3:7" x14ac:dyDescent="0.3">
      <c r="E10" s="85">
        <v>6200</v>
      </c>
      <c r="F10" s="2" t="s">
        <v>107</v>
      </c>
      <c r="G10" s="2">
        <v>8</v>
      </c>
    </row>
    <row r="11" spans="3:7" x14ac:dyDescent="0.3">
      <c r="E11" s="84" t="s">
        <v>230</v>
      </c>
      <c r="F11" s="2" t="s">
        <v>108</v>
      </c>
      <c r="G11" s="2">
        <v>7</v>
      </c>
    </row>
    <row r="12" spans="3:7" x14ac:dyDescent="0.3">
      <c r="E12" s="85">
        <v>4800</v>
      </c>
      <c r="F12" s="2" t="s">
        <v>109</v>
      </c>
      <c r="G12" s="2">
        <v>6</v>
      </c>
    </row>
    <row r="13" spans="3:7" x14ac:dyDescent="0.3">
      <c r="E13" s="84" t="s">
        <v>231</v>
      </c>
      <c r="F13" s="2" t="s">
        <v>98</v>
      </c>
      <c r="G13" s="2">
        <v>5</v>
      </c>
    </row>
    <row r="14" spans="3:7" x14ac:dyDescent="0.3">
      <c r="E14" s="85">
        <v>5040</v>
      </c>
      <c r="F14" s="2" t="s">
        <v>110</v>
      </c>
      <c r="G14" s="2">
        <v>4</v>
      </c>
    </row>
    <row r="15" spans="3:7" x14ac:dyDescent="0.3">
      <c r="F15" s="2" t="s">
        <v>111</v>
      </c>
      <c r="G15" s="2">
        <v>3</v>
      </c>
    </row>
    <row r="16" spans="3:7" x14ac:dyDescent="0.3">
      <c r="F16" s="2" t="s">
        <v>112</v>
      </c>
      <c r="G16" s="2">
        <v>2</v>
      </c>
    </row>
    <row r="17" spans="3:7" x14ac:dyDescent="0.3">
      <c r="F17" s="2" t="s">
        <v>113</v>
      </c>
      <c r="G17" s="2">
        <v>1</v>
      </c>
    </row>
    <row r="18" spans="3:7" x14ac:dyDescent="0.3">
      <c r="F18" s="2" t="s">
        <v>114</v>
      </c>
    </row>
    <row r="19" spans="3:7" x14ac:dyDescent="0.3">
      <c r="F19" s="2" t="s">
        <v>115</v>
      </c>
    </row>
    <row r="20" spans="3:7" x14ac:dyDescent="0.3">
      <c r="F20" s="2" t="s">
        <v>164</v>
      </c>
    </row>
    <row r="21" spans="3:7" x14ac:dyDescent="0.3">
      <c r="F21" s="2" t="s">
        <v>165</v>
      </c>
    </row>
    <row r="22" spans="3:7" x14ac:dyDescent="0.3">
      <c r="C22" s="2" t="s">
        <v>196</v>
      </c>
      <c r="F22" s="2" t="s">
        <v>166</v>
      </c>
    </row>
    <row r="23" spans="3:7" x14ac:dyDescent="0.3">
      <c r="C23" s="2" t="s">
        <v>197</v>
      </c>
      <c r="F23" s="2" t="s">
        <v>169</v>
      </c>
    </row>
    <row r="24" spans="3:7" x14ac:dyDescent="0.3">
      <c r="C24" s="2" t="s">
        <v>120</v>
      </c>
      <c r="F24" s="2" t="s">
        <v>194</v>
      </c>
    </row>
    <row r="25" spans="3:7" x14ac:dyDescent="0.3">
      <c r="C25" s="2" t="s">
        <v>198</v>
      </c>
      <c r="F25" s="2" t="s">
        <v>225</v>
      </c>
    </row>
    <row r="26" spans="3:7" x14ac:dyDescent="0.3">
      <c r="F26" s="2" t="s">
        <v>242</v>
      </c>
    </row>
    <row r="27" spans="3:7" x14ac:dyDescent="0.3">
      <c r="F27" s="2" t="s">
        <v>192</v>
      </c>
    </row>
    <row r="28" spans="3:7" x14ac:dyDescent="0.3">
      <c r="C28" s="2" t="s">
        <v>199</v>
      </c>
      <c r="F28" s="2" t="s">
        <v>193</v>
      </c>
    </row>
    <row r="29" spans="3:7" x14ac:dyDescent="0.3">
      <c r="C29" s="119" t="s">
        <v>200</v>
      </c>
      <c r="F29" s="2" t="s">
        <v>232</v>
      </c>
    </row>
    <row r="30" spans="3:7" x14ac:dyDescent="0.3">
      <c r="C30" s="119" t="s">
        <v>201</v>
      </c>
    </row>
    <row r="31" spans="3:7" x14ac:dyDescent="0.3">
      <c r="C31" s="119" t="s">
        <v>202</v>
      </c>
    </row>
    <row r="32" spans="3:7" x14ac:dyDescent="0.3">
      <c r="C32" s="119" t="s">
        <v>203</v>
      </c>
    </row>
    <row r="34" spans="3:3" x14ac:dyDescent="0.3">
      <c r="C34" s="2" t="s">
        <v>204</v>
      </c>
    </row>
    <row r="35" spans="3:3" x14ac:dyDescent="0.3">
      <c r="C35" s="2" t="s">
        <v>215</v>
      </c>
    </row>
    <row r="36" spans="3:3" x14ac:dyDescent="0.3">
      <c r="C36" s="2" t="s">
        <v>211</v>
      </c>
    </row>
    <row r="37" spans="3:3" x14ac:dyDescent="0.3">
      <c r="C37" s="2" t="s">
        <v>147</v>
      </c>
    </row>
    <row r="38" spans="3:3" x14ac:dyDescent="0.3">
      <c r="C38" s="2" t="s">
        <v>205</v>
      </c>
    </row>
    <row r="39" spans="3:3" x14ac:dyDescent="0.3">
      <c r="C39" s="2" t="s">
        <v>206</v>
      </c>
    </row>
    <row r="40" spans="3:3" x14ac:dyDescent="0.3">
      <c r="C40" s="2" t="s">
        <v>207</v>
      </c>
    </row>
    <row r="41" spans="3:3" x14ac:dyDescent="0.3">
      <c r="C41" s="2" t="s">
        <v>208</v>
      </c>
    </row>
    <row r="42" spans="3:3" x14ac:dyDescent="0.3">
      <c r="C42" s="2" t="s">
        <v>209</v>
      </c>
    </row>
    <row r="43" spans="3:3" x14ac:dyDescent="0.3">
      <c r="C43" s="2" t="s">
        <v>210</v>
      </c>
    </row>
    <row r="45" spans="3:3" x14ac:dyDescent="0.3">
      <c r="C45" s="2" t="s">
        <v>212</v>
      </c>
    </row>
    <row r="46" spans="3:3" x14ac:dyDescent="0.3">
      <c r="C46" s="2" t="s">
        <v>153</v>
      </c>
    </row>
    <row r="47" spans="3:3" x14ac:dyDescent="0.3">
      <c r="C47" s="2" t="s">
        <v>213</v>
      </c>
    </row>
    <row r="48" spans="3:3" x14ac:dyDescent="0.3">
      <c r="C48" s="2" t="s">
        <v>214</v>
      </c>
    </row>
    <row r="49" spans="3:3" x14ac:dyDescent="0.3">
      <c r="C49" s="2" t="s">
        <v>210</v>
      </c>
    </row>
    <row r="51" spans="3:3" x14ac:dyDescent="0.3">
      <c r="C51" s="2" t="s">
        <v>216</v>
      </c>
    </row>
    <row r="52" spans="3:3" x14ac:dyDescent="0.3">
      <c r="C52" s="2" t="s">
        <v>217</v>
      </c>
    </row>
    <row r="53" spans="3:3" x14ac:dyDescent="0.3">
      <c r="C53" s="2" t="s">
        <v>218</v>
      </c>
    </row>
  </sheetData>
  <hyperlinks>
    <hyperlink ref="C29" r:id="rId1" xr:uid="{00000000-0004-0000-0000-000000000000}"/>
    <hyperlink ref="C30" r:id="rId2" xr:uid="{00000000-0004-0000-0000-000001000000}"/>
    <hyperlink ref="C31" r:id="rId3" xr:uid="{00000000-0004-0000-0000-000002000000}"/>
    <hyperlink ref="C32" r:id="rId4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R311"/>
  <sheetViews>
    <sheetView tabSelected="1" zoomScaleNormal="100" zoomScaleSheetLayoutView="35" zoomScalePageLayoutView="70" workbookViewId="0">
      <selection activeCell="E8" sqref="E8"/>
    </sheetView>
  </sheetViews>
  <sheetFormatPr baseColWidth="10" defaultColWidth="14.125" defaultRowHeight="16.5" x14ac:dyDescent="0.3"/>
  <cols>
    <col min="3" max="3" width="19.125" customWidth="1"/>
    <col min="4" max="4" width="30" customWidth="1"/>
    <col min="8" max="8" width="22.75" customWidth="1"/>
    <col min="9" max="9" width="16" style="3" customWidth="1"/>
    <col min="10" max="10" width="14.125" style="3"/>
    <col min="11" max="11" width="14.125" style="4"/>
    <col min="12" max="12" width="20" style="2" customWidth="1"/>
    <col min="13" max="16384" width="14.125" style="2"/>
  </cols>
  <sheetData>
    <row r="1" spans="1:14" ht="22.5" x14ac:dyDescent="0.3">
      <c r="A1" s="254"/>
      <c r="B1" s="254"/>
      <c r="C1" s="246" t="s">
        <v>0</v>
      </c>
      <c r="D1" s="246"/>
      <c r="E1" s="246"/>
      <c r="F1" s="246"/>
      <c r="G1" s="246"/>
      <c r="H1" s="246"/>
      <c r="I1" s="4"/>
      <c r="J1" s="4"/>
    </row>
    <row r="2" spans="1:14" ht="24" thickBot="1" x14ac:dyDescent="0.4">
      <c r="A2" s="254"/>
      <c r="B2" s="254"/>
      <c r="C2" s="112" t="s">
        <v>190</v>
      </c>
      <c r="D2" s="255" t="s">
        <v>222</v>
      </c>
      <c r="E2" s="255"/>
      <c r="F2" s="255"/>
      <c r="G2" s="2"/>
      <c r="H2" s="51"/>
      <c r="I2" s="247">
        <f ca="1">TODAY()</f>
        <v>44740</v>
      </c>
      <c r="J2" s="248"/>
    </row>
    <row r="3" spans="1:14" ht="21" thickBot="1" x14ac:dyDescent="0.35">
      <c r="A3" s="254"/>
      <c r="B3" s="254"/>
      <c r="C3" s="52" t="s">
        <v>195</v>
      </c>
      <c r="D3" s="176" t="str">
        <f>IF(COUNTIF(E3,"*"&amp;"PORTTO BLANCO CIMATARIO"&amp;"*")=1,"PORTTO BLANCO CIMATARIO",IF(COUNTIF(E3,"*"&amp;"ESTEPA"&amp;"*")=1,"PORTTO BLANCO CIMATARIO",IF(COUNTIF(E3,"*"&amp;"DESIERTO"&amp;"*")=1,"PORTTO BLANCO CIMATARIO",IF(COUNTIF(E3,"*"&amp;"TAIGA"&amp;"*")=1,"PORTTO BLANCO CIMATARIO",IF(COUNTIF(E3,"*"&amp;"SABINO"&amp;"*")=1,"PORTTO BLANCO CIMATARIO",IF(COUNTIF(E3,"*"&amp;"CEDRO"&amp;"*")=1,"PORTTO BLANCO CIMATARIO",IF(COUNTIF(E3,"*"&amp;"PÁRAMO"&amp;"*")=1,"PORTTO BLANCO CIMATARIO",IF(COUNTIF(E3,"*"&amp;"SELVA"&amp;"*")=1,"PORTTO BLANCO CIMATARIO",IF(COUNTIF(E3,"*"&amp;"TAMUL"&amp;"*")=1,"PORTTO BLANCO SLP",IF(COUNTIF(E3,"*"&amp;"BOSQUE"&amp;"*")=1,"PORTTO BLANCO CIMATARIO",IF(COUNTIF(E3,"*"&amp;"LOMAS"&amp;"*")=1,"LOMAS DE PORTTO BLANCO CIMATARIO",IF(COUNTIF(E3,"*"&amp;"LOMAS"&amp;"*")=1,"LOMAS DE PORTTO BLANCO CIMATARIO",IF(COUNTIF(E3,"*"&amp;"LAGO"&amp;"*")=1,"PORTTO BLANCO CIMATARIO",IF(COUNTIF(E3,"*"&amp;"MANGLAR"&amp;"*")=1,"PORTTO BLANCO CIMATARIO",""))))))))))))))</f>
        <v>PORTTO BLANCO CIMATARIO</v>
      </c>
      <c r="E3" s="116" t="str">
        <f>IF(COUNTIF(D7,"*"&amp;"HÁBITTA"&amp;"*")=1,"HÁBITTA",IF(COUNTIF(D7,"*"&amp;"ESTEPA"&amp;"*")=1,"ESTEPA",IF(COUNTIF(D7,"*"&amp;"DESIERTO"&amp;"*")=1,"DESIERTO",IF(COUNTIF(D7,"*"&amp;"TAIGA"&amp;"*")=1,"TAIGA",IF(COUNTIF(D7,"*"&amp;"SABINO"&amp;"*")=1,"SABINO",IF(COUNTIF(D7,"*"&amp;"CEDRO"&amp;"*")=1,"CEDRO",IF(COUNTIF(D7,"*"&amp;"PÁRAMO"&amp;"*")=1,"PÁRAMO",IF(COUNTIF(D7,"*"&amp;"SELVA"&amp;"*")=1,"SELVA",IF(COUNTIF(D7,"*"&amp;"LOMAS ETAPA 1"&amp;"*")=1,"LOMAS",IF(COUNTIF(D7,"*"&amp;"BOSQUE"&amp;"*")=1,"BOSQUE",IF(COUNTIF(D7,"*"&amp;"LOMAS ETAPA 2"&amp;"*")=1,"LOMAS",IF(COUNTIF(D7,"*"&amp;"LOMAS ETAPA 3"&amp;"*")=1,"LOMAS",IF(COUNTIF(D7,"*"&amp;"LAGO"&amp;"*")=1,"LAGO",IF(COUNTIF(D7,"*"&amp;"MANGLAR"&amp;"*")=1,"MANGLAR",""))))))))))))))</f>
        <v>MANGLAR</v>
      </c>
      <c r="F3" s="44"/>
      <c r="G3" s="48"/>
      <c r="H3" s="60" t="s">
        <v>41</v>
      </c>
      <c r="I3" s="249" t="str">
        <f>CONCATENATE($D$10,"  | ",MID($D$7,1,1),RIGHT($D$7,1)," | ","L-",$D$8," | ", $D$9,"m2")</f>
        <v>ESTÁNDAR  | M2 | L-45 | 128m2</v>
      </c>
      <c r="J3" s="250"/>
    </row>
    <row r="4" spans="1:14" ht="21" thickBot="1" x14ac:dyDescent="0.35">
      <c r="A4" s="254"/>
      <c r="B4" s="254"/>
      <c r="D4" s="2"/>
      <c r="E4" s="2"/>
      <c r="F4" s="44"/>
      <c r="G4" s="48"/>
      <c r="H4" s="2"/>
      <c r="I4" s="2"/>
      <c r="J4" s="4"/>
      <c r="L4" s="4"/>
    </row>
    <row r="5" spans="1:14" ht="21" thickBot="1" x14ac:dyDescent="0.35">
      <c r="A5" s="254"/>
      <c r="B5" s="254"/>
      <c r="C5" s="98" t="s">
        <v>191</v>
      </c>
      <c r="D5" s="2"/>
      <c r="E5" s="2"/>
      <c r="F5" s="49"/>
      <c r="G5" s="2"/>
      <c r="H5" s="96" t="s">
        <v>183</v>
      </c>
      <c r="I5" s="97" t="s">
        <v>184</v>
      </c>
      <c r="J5" s="4"/>
      <c r="L5" s="4"/>
    </row>
    <row r="6" spans="1:14" ht="17.25" thickBot="1" x14ac:dyDescent="0.35">
      <c r="A6" s="2"/>
      <c r="B6" s="5"/>
      <c r="D6" s="2"/>
      <c r="E6" s="2"/>
      <c r="F6" s="2"/>
      <c r="G6" s="2"/>
      <c r="H6" s="88"/>
      <c r="I6" s="89"/>
      <c r="J6" s="90"/>
      <c r="L6" s="4"/>
    </row>
    <row r="7" spans="1:14" ht="18" x14ac:dyDescent="0.3">
      <c r="A7" s="2"/>
      <c r="B7" s="2"/>
      <c r="C7" s="73" t="s">
        <v>44</v>
      </c>
      <c r="D7" s="75" t="s">
        <v>242</v>
      </c>
      <c r="E7" s="2"/>
      <c r="F7" s="2"/>
      <c r="G7" s="57"/>
      <c r="H7" s="91" t="s">
        <v>42</v>
      </c>
      <c r="I7" s="161">
        <f>D11*D9</f>
        <v>738598.40000000002</v>
      </c>
      <c r="J7" s="162"/>
      <c r="L7" s="4"/>
    </row>
    <row r="8" spans="1:14" ht="18.75" x14ac:dyDescent="0.3">
      <c r="A8" s="2"/>
      <c r="B8" s="2"/>
      <c r="C8" s="58" t="s">
        <v>52</v>
      </c>
      <c r="D8" s="76">
        <v>45</v>
      </c>
      <c r="E8" s="2"/>
      <c r="F8" s="2"/>
      <c r="G8" s="57"/>
      <c r="H8" s="92" t="s">
        <v>27</v>
      </c>
      <c r="I8" s="163">
        <f>$I$7*$J$8</f>
        <v>110789.75999999999</v>
      </c>
      <c r="J8" s="164">
        <v>0.15</v>
      </c>
      <c r="L8" s="4"/>
    </row>
    <row r="9" spans="1:14" ht="18.75" x14ac:dyDescent="0.3">
      <c r="A9" s="2"/>
      <c r="B9" s="2"/>
      <c r="C9" s="58" t="s">
        <v>1</v>
      </c>
      <c r="D9" s="111">
        <v>128</v>
      </c>
      <c r="E9" s="2"/>
      <c r="F9" s="57"/>
      <c r="G9" s="57"/>
      <c r="H9" s="93" t="s">
        <v>177</v>
      </c>
      <c r="I9" s="165">
        <f>I7-I8</f>
        <v>627808.64</v>
      </c>
      <c r="J9" s="166"/>
      <c r="L9" s="87">
        <f>J10</f>
        <v>0.1</v>
      </c>
    </row>
    <row r="10" spans="1:14" ht="18.75" x14ac:dyDescent="0.3">
      <c r="A10" s="2"/>
      <c r="B10" s="2"/>
      <c r="C10" s="99" t="s">
        <v>185</v>
      </c>
      <c r="D10" s="108" t="str">
        <f>IF(D11=4500,"ESTÁNDAR",IF(D11=4725,"PREMIUM",IF(D11=5400,"ESTÁNDAR",IF(D11=5700,"PREMIUM",IF(D11=5770.3,"ESTÁNDAR",IF(D11=6200,"PREMIUM",IF(D11=4800,"ESTÁNDAR",IF(D11=5040,"PREMIUM",0))))))))</f>
        <v>ESTÁNDAR</v>
      </c>
      <c r="E10" s="2"/>
      <c r="F10" s="57"/>
      <c r="G10" s="57"/>
      <c r="H10" s="94" t="s">
        <v>178</v>
      </c>
      <c r="I10" s="167">
        <f>$I$9*$J$10</f>
        <v>62780.864000000001</v>
      </c>
      <c r="J10" s="168">
        <f>IF($D$3="PORTTO BLANCO CIMATARIO",10%,IF($D$3="LOMAS DE PORTTO BLANCO CIMATARIO",10%,""))</f>
        <v>0.1</v>
      </c>
      <c r="L10" s="135"/>
      <c r="M10" s="140">
        <f>L10/I9</f>
        <v>0</v>
      </c>
    </row>
    <row r="11" spans="1:14" ht="36" x14ac:dyDescent="0.3">
      <c r="A11" s="2"/>
      <c r="B11" s="2"/>
      <c r="C11" s="77" t="s">
        <v>186</v>
      </c>
      <c r="D11" s="78">
        <v>5770.3</v>
      </c>
      <c r="E11" s="2"/>
      <c r="F11" s="100"/>
      <c r="G11" s="101"/>
      <c r="H11" s="95" t="s">
        <v>179</v>
      </c>
      <c r="I11" s="169">
        <f>IF(M10&lt;20%,(I9*0.1*J11),IF(M10&gt;=20%,(I9*0.1*0%)))</f>
        <v>6278.0864000000001</v>
      </c>
      <c r="J11" s="170">
        <v>0.1</v>
      </c>
      <c r="L11" s="245"/>
      <c r="M11" s="245"/>
      <c r="N11" s="245"/>
    </row>
    <row r="12" spans="1:14" ht="18.75" thickBot="1" x14ac:dyDescent="0.35">
      <c r="A12" s="2"/>
      <c r="B12" s="2"/>
      <c r="C12" s="59" t="s">
        <v>187</v>
      </c>
      <c r="D12" s="109">
        <f>D11-(D11*J8)</f>
        <v>4904.7550000000001</v>
      </c>
      <c r="E12" s="47"/>
      <c r="F12" s="101"/>
      <c r="G12" s="101"/>
      <c r="H12" s="95" t="s">
        <v>180</v>
      </c>
      <c r="I12" s="167" t="str">
        <f>IF(L10&gt;I10,L10-(I10-I11),"0")</f>
        <v>0</v>
      </c>
      <c r="J12" s="171">
        <f>I12/I9</f>
        <v>0</v>
      </c>
    </row>
    <row r="13" spans="1:14" ht="18" x14ac:dyDescent="0.3">
      <c r="A13" s="2"/>
      <c r="B13" s="2"/>
      <c r="C13" s="2"/>
      <c r="D13" s="2"/>
      <c r="E13" s="47"/>
      <c r="F13" s="62"/>
      <c r="G13" s="62"/>
      <c r="H13" s="91" t="s">
        <v>181</v>
      </c>
      <c r="I13" s="172">
        <f>I10-I11+I12</f>
        <v>56502.777600000001</v>
      </c>
      <c r="J13" s="173">
        <f>I13/I9</f>
        <v>0.09</v>
      </c>
    </row>
    <row r="14" spans="1:14" ht="32.25" customHeight="1" x14ac:dyDescent="0.3">
      <c r="A14" s="2"/>
      <c r="B14" s="2"/>
      <c r="C14" s="2"/>
      <c r="D14" s="46"/>
      <c r="E14" s="47"/>
      <c r="F14" s="62"/>
      <c r="G14" s="62"/>
      <c r="H14" s="91" t="s">
        <v>95</v>
      </c>
      <c r="I14" s="172">
        <f>SUM(I13+I15)</f>
        <v>621530.5536000001</v>
      </c>
      <c r="J14" s="174"/>
    </row>
    <row r="15" spans="1:14" ht="34.5" customHeight="1" x14ac:dyDescent="0.3">
      <c r="A15" s="2"/>
      <c r="B15" s="2"/>
      <c r="C15" s="2"/>
      <c r="D15" s="46"/>
      <c r="E15" s="47"/>
      <c r="F15" s="62"/>
      <c r="G15" s="62"/>
      <c r="H15" s="91" t="s">
        <v>182</v>
      </c>
      <c r="I15" s="172">
        <f>I9-$I$10-I12</f>
        <v>565027.77600000007</v>
      </c>
      <c r="J15" s="175"/>
    </row>
    <row r="16" spans="1:14" ht="17.25" thickBot="1" x14ac:dyDescent="0.35">
      <c r="A16" s="2"/>
      <c r="B16" s="2"/>
      <c r="C16" s="2"/>
      <c r="D16" s="2"/>
      <c r="E16" s="2"/>
      <c r="F16" s="6"/>
      <c r="G16" s="2"/>
      <c r="H16" s="2"/>
      <c r="I16" s="45"/>
      <c r="J16" s="4"/>
    </row>
    <row r="17" spans="1:10" ht="18.75" thickBot="1" x14ac:dyDescent="0.35">
      <c r="A17" s="2"/>
      <c r="B17" s="105" t="s">
        <v>189</v>
      </c>
      <c r="C17" s="106"/>
      <c r="D17" s="2"/>
      <c r="E17" s="2"/>
      <c r="F17" s="57"/>
      <c r="G17" s="2"/>
      <c r="H17" s="104" t="s">
        <v>188</v>
      </c>
      <c r="J17" s="104" t="s">
        <v>184</v>
      </c>
    </row>
    <row r="18" spans="1:10" ht="17.25" thickBot="1" x14ac:dyDescent="0.35">
      <c r="A18" s="2"/>
      <c r="B18" s="5"/>
      <c r="C18" s="2"/>
      <c r="D18" s="107">
        <v>15</v>
      </c>
      <c r="E18" s="7">
        <f>D18*12</f>
        <v>180</v>
      </c>
      <c r="F18" s="57"/>
      <c r="G18" s="2"/>
      <c r="I18" s="61"/>
    </row>
    <row r="19" spans="1:10" ht="18.75" x14ac:dyDescent="0.3">
      <c r="A19" s="2"/>
      <c r="B19" s="149">
        <v>1</v>
      </c>
      <c r="C19" s="150">
        <f>D19</f>
        <v>48</v>
      </c>
      <c r="D19" s="151">
        <f>IF(D18&lt;4,D18*12,IF(D18&gt;=4,4*12,0))</f>
        <v>48</v>
      </c>
      <c r="E19" s="152">
        <v>0</v>
      </c>
      <c r="F19" s="57"/>
      <c r="G19" s="2"/>
      <c r="H19" s="102">
        <f t="shared" ref="H19:I21" si="0">B19</f>
        <v>1</v>
      </c>
      <c r="I19" s="103">
        <f t="shared" si="0"/>
        <v>48</v>
      </c>
      <c r="J19" s="110">
        <f>$D$42</f>
        <v>3139.0432000000005</v>
      </c>
    </row>
    <row r="20" spans="1:10" ht="18.75" x14ac:dyDescent="0.3">
      <c r="A20" s="2"/>
      <c r="B20" s="153">
        <f>IF(C19&gt;=48,C19+1,IF(C19&lt;36,0,0))</f>
        <v>49</v>
      </c>
      <c r="C20" s="154">
        <f>SUM(D19:D20)</f>
        <v>120</v>
      </c>
      <c r="D20" s="155">
        <f>IF(E18&lt;=120,(E18-D19),IF(E18&gt;120,(120-D19),0))</f>
        <v>72</v>
      </c>
      <c r="E20" s="156">
        <v>0.01</v>
      </c>
      <c r="F20" s="57"/>
      <c r="G20" s="2"/>
      <c r="H20" s="102">
        <f t="shared" si="0"/>
        <v>49</v>
      </c>
      <c r="I20" s="103">
        <f t="shared" si="0"/>
        <v>120</v>
      </c>
      <c r="J20" s="110">
        <f>$D$106</f>
        <v>5667.4797136841753</v>
      </c>
    </row>
    <row r="21" spans="1:10" ht="19.5" thickBot="1" x14ac:dyDescent="0.35">
      <c r="A21" s="2"/>
      <c r="B21" s="157">
        <f>IF(D20&gt;=68,C20+1,IF(D20&lt;68,0))</f>
        <v>121</v>
      </c>
      <c r="C21" s="158">
        <f>IF(B21&gt;1,E18,0)</f>
        <v>180</v>
      </c>
      <c r="D21" s="159">
        <f>IF(E18&gt;=120,E18-SUM(D19:D20),0)</f>
        <v>60</v>
      </c>
      <c r="E21" s="160">
        <v>1.2500000000000001E-2</v>
      </c>
      <c r="F21" s="57"/>
      <c r="G21" s="2"/>
      <c r="H21" s="102">
        <f t="shared" si="0"/>
        <v>121</v>
      </c>
      <c r="I21" s="103">
        <f t="shared" si="0"/>
        <v>180</v>
      </c>
      <c r="J21" s="110">
        <f>$D$194</f>
        <v>6061.2404526418959</v>
      </c>
    </row>
    <row r="22" spans="1:10" x14ac:dyDescent="0.3">
      <c r="B22" s="2"/>
      <c r="C22" s="2"/>
      <c r="D22" s="2"/>
      <c r="E22" s="2" t="e">
        <f>SUM</f>
        <v>#NAME?</v>
      </c>
      <c r="F22" s="57"/>
      <c r="G22" s="2"/>
      <c r="H22" s="2"/>
      <c r="I22" s="4"/>
      <c r="J22" s="4"/>
    </row>
    <row r="23" spans="1:10" x14ac:dyDescent="0.3">
      <c r="A23" s="53" t="s">
        <v>28</v>
      </c>
      <c r="B23" s="2"/>
      <c r="D23" s="2"/>
      <c r="E23" s="2"/>
      <c r="F23" s="57"/>
      <c r="G23" s="2"/>
      <c r="H23" s="1"/>
      <c r="I23" s="74"/>
      <c r="J23" s="4"/>
    </row>
    <row r="24" spans="1:10" x14ac:dyDescent="0.3">
      <c r="A24" s="54" t="s">
        <v>35</v>
      </c>
      <c r="B24" s="2"/>
      <c r="C24" s="54" t="s">
        <v>36</v>
      </c>
      <c r="D24" s="2"/>
      <c r="E24" s="2"/>
      <c r="F24" s="8"/>
      <c r="G24" s="2"/>
      <c r="H24" s="1"/>
      <c r="I24" s="74"/>
      <c r="J24" s="4"/>
    </row>
    <row r="25" spans="1:10" x14ac:dyDescent="0.3">
      <c r="A25" s="55" t="s">
        <v>29</v>
      </c>
      <c r="B25" s="9"/>
      <c r="C25" s="2" t="s">
        <v>37</v>
      </c>
      <c r="D25" s="2"/>
      <c r="E25" s="2"/>
      <c r="F25" s="10"/>
      <c r="G25" s="2"/>
      <c r="H25" s="1"/>
      <c r="I25" s="74"/>
      <c r="J25" s="4"/>
    </row>
    <row r="26" spans="1:10" x14ac:dyDescent="0.3">
      <c r="A26" s="56" t="s">
        <v>30</v>
      </c>
      <c r="B26" s="9"/>
      <c r="C26" s="2" t="s">
        <v>38</v>
      </c>
      <c r="D26" s="2"/>
      <c r="E26" s="2"/>
      <c r="F26" s="10"/>
      <c r="G26" s="10"/>
      <c r="H26" s="1"/>
      <c r="I26" s="74"/>
      <c r="J26" s="4"/>
    </row>
    <row r="27" spans="1:10" x14ac:dyDescent="0.3">
      <c r="A27" s="56" t="s">
        <v>31</v>
      </c>
      <c r="B27" s="9"/>
      <c r="C27" s="2" t="s">
        <v>39</v>
      </c>
      <c r="D27" s="2"/>
      <c r="E27" s="2"/>
      <c r="F27" s="10"/>
      <c r="G27" s="2"/>
      <c r="H27" s="1"/>
      <c r="I27" s="74"/>
      <c r="J27" s="4"/>
    </row>
    <row r="28" spans="1:10" x14ac:dyDescent="0.3">
      <c r="A28" s="56" t="s">
        <v>32</v>
      </c>
      <c r="B28" s="9"/>
      <c r="C28" s="2" t="s">
        <v>40</v>
      </c>
      <c r="D28" s="2"/>
      <c r="E28" s="2"/>
      <c r="F28" s="10"/>
      <c r="G28" s="2"/>
      <c r="H28" s="1"/>
      <c r="I28" s="74"/>
      <c r="J28" s="4"/>
    </row>
    <row r="29" spans="1:10" ht="17.25" customHeight="1" x14ac:dyDescent="0.3">
      <c r="A29" s="56" t="s">
        <v>33</v>
      </c>
      <c r="B29" s="2"/>
      <c r="C29" s="2"/>
      <c r="D29" s="2"/>
      <c r="E29" s="2"/>
      <c r="F29" s="9"/>
      <c r="G29" s="2"/>
      <c r="H29" s="1"/>
      <c r="I29" s="74"/>
      <c r="J29" s="4"/>
    </row>
    <row r="30" spans="1:10" ht="17.25" customHeight="1" x14ac:dyDescent="0.3">
      <c r="A30" s="56" t="s">
        <v>34</v>
      </c>
      <c r="B30" s="83"/>
      <c r="C30" s="83"/>
      <c r="D30" s="83"/>
      <c r="E30" s="83"/>
      <c r="F30" s="83"/>
      <c r="G30" s="83"/>
      <c r="H30" s="253" t="s">
        <v>241</v>
      </c>
      <c r="I30" s="253"/>
      <c r="J30" s="4"/>
    </row>
    <row r="31" spans="1:10" x14ac:dyDescent="0.3">
      <c r="A31" s="252" t="s">
        <v>99</v>
      </c>
      <c r="B31" s="252"/>
      <c r="C31" s="252"/>
      <c r="D31" s="252"/>
      <c r="E31" s="252"/>
      <c r="F31" s="252"/>
      <c r="G31" s="252"/>
      <c r="H31" s="253"/>
      <c r="I31" s="253"/>
      <c r="J31" s="4"/>
    </row>
    <row r="32" spans="1:10" x14ac:dyDescent="0.3">
      <c r="A32" s="251" t="s">
        <v>124</v>
      </c>
      <c r="B32" s="251"/>
      <c r="C32" s="251"/>
      <c r="D32" s="251"/>
      <c r="E32" s="251"/>
      <c r="F32" s="251"/>
      <c r="G32" s="251"/>
      <c r="H32" s="251"/>
      <c r="I32" s="251"/>
      <c r="J32" s="4"/>
    </row>
    <row r="33" spans="1:15" ht="20.25" x14ac:dyDescent="0.3">
      <c r="A33" s="243" t="s">
        <v>219</v>
      </c>
      <c r="B33" s="244"/>
      <c r="C33" s="244"/>
      <c r="D33" s="244"/>
      <c r="E33" s="244"/>
      <c r="F33" s="244"/>
      <c r="G33" s="244"/>
      <c r="H33" s="244"/>
      <c r="I33" s="244"/>
      <c r="J33" s="244"/>
    </row>
    <row r="34" spans="1:15" ht="16.5" hidden="1" customHeight="1" x14ac:dyDescent="0.3">
      <c r="C34" s="11" t="s">
        <v>2</v>
      </c>
      <c r="D34" s="12">
        <f>$I$9</f>
        <v>627808.64</v>
      </c>
      <c r="J34" s="4"/>
      <c r="O34" s="139"/>
    </row>
    <row r="35" spans="1:15" ht="16.5" hidden="1" customHeight="1" x14ac:dyDescent="0.3">
      <c r="C35" s="11" t="s">
        <v>3</v>
      </c>
      <c r="D35" s="12">
        <f>$I$10+I12</f>
        <v>62780.864000000001</v>
      </c>
      <c r="J35" s="4"/>
      <c r="O35" s="139"/>
    </row>
    <row r="36" spans="1:15" ht="16.5" hidden="1" customHeight="1" x14ac:dyDescent="0.3">
      <c r="C36" s="11" t="s">
        <v>4</v>
      </c>
      <c r="D36" s="13">
        <f>D34-D35</f>
        <v>565027.77600000007</v>
      </c>
      <c r="J36" s="4"/>
    </row>
    <row r="37" spans="1:15" ht="16.5" hidden="1" customHeight="1" x14ac:dyDescent="0.3">
      <c r="C37" s="14" t="s">
        <v>5</v>
      </c>
      <c r="D37" s="15">
        <f>$D$18</f>
        <v>15</v>
      </c>
      <c r="J37" s="4"/>
    </row>
    <row r="38" spans="1:15" ht="16.5" hidden="1" customHeight="1" x14ac:dyDescent="0.3">
      <c r="C38" s="11" t="s">
        <v>6</v>
      </c>
      <c r="D38" s="16">
        <f>D37*12</f>
        <v>180</v>
      </c>
      <c r="J38" s="4"/>
    </row>
    <row r="39" spans="1:15" ht="16.5" hidden="1" customHeight="1" x14ac:dyDescent="0.3">
      <c r="C39" s="14" t="s">
        <v>7</v>
      </c>
      <c r="D39" s="17">
        <f>D40/12</f>
        <v>4</v>
      </c>
      <c r="J39" s="4"/>
    </row>
    <row r="40" spans="1:15" ht="16.5" hidden="1" customHeight="1" x14ac:dyDescent="0.3">
      <c r="C40" s="18" t="s">
        <v>8</v>
      </c>
      <c r="D40" s="19">
        <f>$D$19</f>
        <v>48</v>
      </c>
      <c r="J40" s="4"/>
    </row>
    <row r="41" spans="1:15" ht="16.5" hidden="1" customHeight="1" x14ac:dyDescent="0.3">
      <c r="C41" s="14" t="s">
        <v>9</v>
      </c>
      <c r="D41" s="20">
        <f>$E$19</f>
        <v>0</v>
      </c>
      <c r="J41" s="4"/>
    </row>
    <row r="42" spans="1:15" ht="16.5" hidden="1" customHeight="1" x14ac:dyDescent="0.3">
      <c r="C42" s="14" t="s">
        <v>10</v>
      </c>
      <c r="D42" s="21">
        <f>-PMT(D41,D38,D36)</f>
        <v>3139.0432000000005</v>
      </c>
      <c r="J42" s="4"/>
    </row>
    <row r="43" spans="1:15" ht="16.5" hidden="1" customHeight="1" x14ac:dyDescent="0.3">
      <c r="D43" s="21">
        <f>D42*D40</f>
        <v>150674.07360000003</v>
      </c>
      <c r="J43" s="4"/>
    </row>
    <row r="44" spans="1:15" collapsed="1" x14ac:dyDescent="0.3">
      <c r="A44" s="22" t="s">
        <v>11</v>
      </c>
      <c r="B44" s="22" t="s">
        <v>12</v>
      </c>
      <c r="C44" s="22" t="s">
        <v>13</v>
      </c>
      <c r="D44" s="22" t="s">
        <v>14</v>
      </c>
      <c r="E44" s="22" t="s">
        <v>15</v>
      </c>
      <c r="F44" s="22" t="s">
        <v>16</v>
      </c>
      <c r="G44" s="22" t="s">
        <v>17</v>
      </c>
      <c r="H44" s="22" t="s">
        <v>18</v>
      </c>
      <c r="I44" s="43" t="s">
        <v>19</v>
      </c>
      <c r="J44" s="4"/>
    </row>
    <row r="45" spans="1:15" x14ac:dyDescent="0.3">
      <c r="A45" s="141">
        <v>1</v>
      </c>
      <c r="B45" s="146">
        <v>44774</v>
      </c>
      <c r="C45" s="143">
        <f>$D$36</f>
        <v>565027.77600000007</v>
      </c>
      <c r="D45" s="143">
        <f t="shared" ref="D45:D96" si="1">IF(A45&lt;=$D$19,(-PMT($D$41,$D$38,$D$36)))</f>
        <v>3139.0432000000005</v>
      </c>
      <c r="E45" s="145"/>
      <c r="F45" s="143">
        <f>SUM(D45:E45)</f>
        <v>3139.0432000000005</v>
      </c>
      <c r="G45" s="143">
        <f t="shared" ref="G45:G92" si="2">IF(A45&lt;=48,(C45*$D$41),0)</f>
        <v>0</v>
      </c>
      <c r="H45" s="143">
        <f t="shared" ref="H45:H92" si="3">D45-G45</f>
        <v>3139.0432000000005</v>
      </c>
      <c r="I45" s="143">
        <f>C45-H45</f>
        <v>561888.73280000011</v>
      </c>
      <c r="J45" s="4"/>
    </row>
    <row r="46" spans="1:15" x14ac:dyDescent="0.3">
      <c r="A46" s="141">
        <f>IF(A45&lt;$D$19,IF(A45&lt;$D$38,A45+1,0))</f>
        <v>2</v>
      </c>
      <c r="B46" s="142">
        <f>IF(A45&lt;$D$19,DATE(YEAR(B45),MONTH(B45)+1,DAY(B45)),"")</f>
        <v>44805</v>
      </c>
      <c r="C46" s="143">
        <f>IF(A46&lt;=54,I45,"")</f>
        <v>561888.73280000011</v>
      </c>
      <c r="D46" s="143">
        <f t="shared" si="1"/>
        <v>3139.0432000000005</v>
      </c>
      <c r="E46" s="145"/>
      <c r="F46" s="143">
        <f t="shared" ref="F46:F92" si="4">SUM(D46:E46)</f>
        <v>3139.0432000000005</v>
      </c>
      <c r="G46" s="143">
        <f t="shared" si="2"/>
        <v>0</v>
      </c>
      <c r="H46" s="143">
        <f t="shared" si="3"/>
        <v>3139.0432000000005</v>
      </c>
      <c r="I46" s="143">
        <f t="shared" ref="I46:I92" si="5">C46-H46</f>
        <v>558749.68960000016</v>
      </c>
      <c r="J46" s="4"/>
    </row>
    <row r="47" spans="1:15" x14ac:dyDescent="0.3">
      <c r="A47" s="141">
        <f t="shared" ref="A47:A96" si="6">IF(A46&lt;$D$19,IF(A46&lt;$D$38,A46+1,0))</f>
        <v>3</v>
      </c>
      <c r="B47" s="142">
        <f t="shared" ref="B47:B96" si="7">IF(A46&lt;$D$19,DATE(YEAR(B46),MONTH(B46)+1,DAY(B46)),"")</f>
        <v>44835</v>
      </c>
      <c r="C47" s="143">
        <f t="shared" ref="C47:C96" si="8">IF(A47&lt;=54,I46,"")</f>
        <v>558749.68960000016</v>
      </c>
      <c r="D47" s="143">
        <f t="shared" si="1"/>
        <v>3139.0432000000005</v>
      </c>
      <c r="E47" s="145"/>
      <c r="F47" s="143">
        <f t="shared" si="4"/>
        <v>3139.0432000000005</v>
      </c>
      <c r="G47" s="143">
        <f t="shared" si="2"/>
        <v>0</v>
      </c>
      <c r="H47" s="143">
        <f t="shared" si="3"/>
        <v>3139.0432000000005</v>
      </c>
      <c r="I47" s="143">
        <f t="shared" si="5"/>
        <v>555610.6464000002</v>
      </c>
      <c r="J47" s="4"/>
    </row>
    <row r="48" spans="1:15" x14ac:dyDescent="0.3">
      <c r="A48" s="141">
        <f t="shared" si="6"/>
        <v>4</v>
      </c>
      <c r="B48" s="142">
        <f t="shared" si="7"/>
        <v>44866</v>
      </c>
      <c r="C48" s="143">
        <f t="shared" si="8"/>
        <v>555610.6464000002</v>
      </c>
      <c r="D48" s="143">
        <f t="shared" si="1"/>
        <v>3139.0432000000005</v>
      </c>
      <c r="E48" s="145"/>
      <c r="F48" s="143">
        <f t="shared" si="4"/>
        <v>3139.0432000000005</v>
      </c>
      <c r="G48" s="143">
        <f t="shared" si="2"/>
        <v>0</v>
      </c>
      <c r="H48" s="143">
        <f t="shared" si="3"/>
        <v>3139.0432000000005</v>
      </c>
      <c r="I48" s="143">
        <f t="shared" si="5"/>
        <v>552471.60320000025</v>
      </c>
      <c r="J48" s="4"/>
    </row>
    <row r="49" spans="1:10" x14ac:dyDescent="0.3">
      <c r="A49" s="141">
        <f t="shared" si="6"/>
        <v>5</v>
      </c>
      <c r="B49" s="142">
        <f t="shared" si="7"/>
        <v>44896</v>
      </c>
      <c r="C49" s="143">
        <f t="shared" si="8"/>
        <v>552471.60320000025</v>
      </c>
      <c r="D49" s="143">
        <f t="shared" si="1"/>
        <v>3139.0432000000005</v>
      </c>
      <c r="E49" s="145"/>
      <c r="F49" s="143">
        <f t="shared" si="4"/>
        <v>3139.0432000000005</v>
      </c>
      <c r="G49" s="143">
        <f t="shared" si="2"/>
        <v>0</v>
      </c>
      <c r="H49" s="143">
        <f t="shared" si="3"/>
        <v>3139.0432000000005</v>
      </c>
      <c r="I49" s="143">
        <f t="shared" si="5"/>
        <v>549332.56000000029</v>
      </c>
      <c r="J49" s="4"/>
    </row>
    <row r="50" spans="1:10" x14ac:dyDescent="0.3">
      <c r="A50" s="141">
        <f t="shared" si="6"/>
        <v>6</v>
      </c>
      <c r="B50" s="142">
        <f t="shared" si="7"/>
        <v>44927</v>
      </c>
      <c r="C50" s="143">
        <f t="shared" si="8"/>
        <v>549332.56000000029</v>
      </c>
      <c r="D50" s="143">
        <f t="shared" si="1"/>
        <v>3139.0432000000005</v>
      </c>
      <c r="E50" s="145"/>
      <c r="F50" s="143">
        <f t="shared" si="4"/>
        <v>3139.0432000000005</v>
      </c>
      <c r="G50" s="143">
        <f t="shared" si="2"/>
        <v>0</v>
      </c>
      <c r="H50" s="143">
        <f t="shared" si="3"/>
        <v>3139.0432000000005</v>
      </c>
      <c r="I50" s="143">
        <f t="shared" si="5"/>
        <v>546193.51680000033</v>
      </c>
      <c r="J50" s="4"/>
    </row>
    <row r="51" spans="1:10" x14ac:dyDescent="0.3">
      <c r="A51" s="141">
        <f t="shared" si="6"/>
        <v>7</v>
      </c>
      <c r="B51" s="142">
        <f t="shared" si="7"/>
        <v>44958</v>
      </c>
      <c r="C51" s="143">
        <f t="shared" si="8"/>
        <v>546193.51680000033</v>
      </c>
      <c r="D51" s="143">
        <f t="shared" si="1"/>
        <v>3139.0432000000005</v>
      </c>
      <c r="E51" s="145"/>
      <c r="F51" s="143">
        <f t="shared" si="4"/>
        <v>3139.0432000000005</v>
      </c>
      <c r="G51" s="143">
        <f t="shared" si="2"/>
        <v>0</v>
      </c>
      <c r="H51" s="143">
        <f t="shared" si="3"/>
        <v>3139.0432000000005</v>
      </c>
      <c r="I51" s="143">
        <f t="shared" si="5"/>
        <v>543054.47360000038</v>
      </c>
      <c r="J51" s="4"/>
    </row>
    <row r="52" spans="1:10" x14ac:dyDescent="0.3">
      <c r="A52" s="141">
        <f t="shared" si="6"/>
        <v>8</v>
      </c>
      <c r="B52" s="142">
        <f t="shared" si="7"/>
        <v>44986</v>
      </c>
      <c r="C52" s="143">
        <f t="shared" si="8"/>
        <v>543054.47360000038</v>
      </c>
      <c r="D52" s="143">
        <f t="shared" si="1"/>
        <v>3139.0432000000005</v>
      </c>
      <c r="E52" s="145"/>
      <c r="F52" s="143">
        <f t="shared" si="4"/>
        <v>3139.0432000000005</v>
      </c>
      <c r="G52" s="143">
        <f t="shared" si="2"/>
        <v>0</v>
      </c>
      <c r="H52" s="143">
        <f t="shared" si="3"/>
        <v>3139.0432000000005</v>
      </c>
      <c r="I52" s="143">
        <f t="shared" si="5"/>
        <v>539915.43040000042</v>
      </c>
      <c r="J52" s="4"/>
    </row>
    <row r="53" spans="1:10" x14ac:dyDescent="0.3">
      <c r="A53" s="141">
        <f t="shared" si="6"/>
        <v>9</v>
      </c>
      <c r="B53" s="142">
        <f t="shared" si="7"/>
        <v>45017</v>
      </c>
      <c r="C53" s="143">
        <f t="shared" si="8"/>
        <v>539915.43040000042</v>
      </c>
      <c r="D53" s="143">
        <f t="shared" si="1"/>
        <v>3139.0432000000005</v>
      </c>
      <c r="E53" s="145"/>
      <c r="F53" s="143">
        <f t="shared" si="4"/>
        <v>3139.0432000000005</v>
      </c>
      <c r="G53" s="143">
        <f t="shared" si="2"/>
        <v>0</v>
      </c>
      <c r="H53" s="143">
        <f t="shared" si="3"/>
        <v>3139.0432000000005</v>
      </c>
      <c r="I53" s="143">
        <f t="shared" si="5"/>
        <v>536776.38720000046</v>
      </c>
      <c r="J53" s="4"/>
    </row>
    <row r="54" spans="1:10" x14ac:dyDescent="0.3">
      <c r="A54" s="141">
        <f t="shared" si="6"/>
        <v>10</v>
      </c>
      <c r="B54" s="142">
        <f t="shared" si="7"/>
        <v>45047</v>
      </c>
      <c r="C54" s="143">
        <f t="shared" si="8"/>
        <v>536776.38720000046</v>
      </c>
      <c r="D54" s="143">
        <f t="shared" si="1"/>
        <v>3139.0432000000005</v>
      </c>
      <c r="E54" s="145"/>
      <c r="F54" s="143">
        <f t="shared" si="4"/>
        <v>3139.0432000000005</v>
      </c>
      <c r="G54" s="143">
        <f t="shared" si="2"/>
        <v>0</v>
      </c>
      <c r="H54" s="143">
        <f t="shared" si="3"/>
        <v>3139.0432000000005</v>
      </c>
      <c r="I54" s="143">
        <f t="shared" si="5"/>
        <v>533637.34400000051</v>
      </c>
      <c r="J54" s="4"/>
    </row>
    <row r="55" spans="1:10" x14ac:dyDescent="0.3">
      <c r="A55" s="141">
        <f t="shared" si="6"/>
        <v>11</v>
      </c>
      <c r="B55" s="142">
        <f t="shared" si="7"/>
        <v>45078</v>
      </c>
      <c r="C55" s="143">
        <f t="shared" si="8"/>
        <v>533637.34400000051</v>
      </c>
      <c r="D55" s="143">
        <f t="shared" si="1"/>
        <v>3139.0432000000005</v>
      </c>
      <c r="E55" s="145"/>
      <c r="F55" s="143">
        <f t="shared" si="4"/>
        <v>3139.0432000000005</v>
      </c>
      <c r="G55" s="143">
        <f t="shared" si="2"/>
        <v>0</v>
      </c>
      <c r="H55" s="143">
        <f t="shared" si="3"/>
        <v>3139.0432000000005</v>
      </c>
      <c r="I55" s="143">
        <f t="shared" si="5"/>
        <v>530498.30080000055</v>
      </c>
      <c r="J55" s="4"/>
    </row>
    <row r="56" spans="1:10" x14ac:dyDescent="0.3">
      <c r="A56" s="141">
        <f t="shared" si="6"/>
        <v>12</v>
      </c>
      <c r="B56" s="142">
        <f t="shared" si="7"/>
        <v>45108</v>
      </c>
      <c r="C56" s="143">
        <f t="shared" si="8"/>
        <v>530498.30080000055</v>
      </c>
      <c r="D56" s="143">
        <f t="shared" si="1"/>
        <v>3139.0432000000005</v>
      </c>
      <c r="E56" s="145"/>
      <c r="F56" s="143">
        <f t="shared" si="4"/>
        <v>3139.0432000000005</v>
      </c>
      <c r="G56" s="143">
        <f t="shared" si="2"/>
        <v>0</v>
      </c>
      <c r="H56" s="143">
        <f t="shared" si="3"/>
        <v>3139.0432000000005</v>
      </c>
      <c r="I56" s="143">
        <f t="shared" si="5"/>
        <v>527359.25760000059</v>
      </c>
      <c r="J56" s="4"/>
    </row>
    <row r="57" spans="1:10" x14ac:dyDescent="0.3">
      <c r="A57" s="141">
        <f t="shared" si="6"/>
        <v>13</v>
      </c>
      <c r="B57" s="142">
        <f t="shared" si="7"/>
        <v>45139</v>
      </c>
      <c r="C57" s="143">
        <f t="shared" si="8"/>
        <v>527359.25760000059</v>
      </c>
      <c r="D57" s="143">
        <f t="shared" si="1"/>
        <v>3139.0432000000005</v>
      </c>
      <c r="E57" s="145"/>
      <c r="F57" s="143">
        <f t="shared" si="4"/>
        <v>3139.0432000000005</v>
      </c>
      <c r="G57" s="143">
        <f t="shared" si="2"/>
        <v>0</v>
      </c>
      <c r="H57" s="143">
        <f t="shared" si="3"/>
        <v>3139.0432000000005</v>
      </c>
      <c r="I57" s="143">
        <f t="shared" si="5"/>
        <v>524220.21440000058</v>
      </c>
      <c r="J57" s="4"/>
    </row>
    <row r="58" spans="1:10" x14ac:dyDescent="0.3">
      <c r="A58" s="141">
        <f t="shared" si="6"/>
        <v>14</v>
      </c>
      <c r="B58" s="142">
        <f t="shared" si="7"/>
        <v>45170</v>
      </c>
      <c r="C58" s="143">
        <f t="shared" si="8"/>
        <v>524220.21440000058</v>
      </c>
      <c r="D58" s="143">
        <f t="shared" si="1"/>
        <v>3139.0432000000005</v>
      </c>
      <c r="E58" s="145"/>
      <c r="F58" s="143">
        <f t="shared" si="4"/>
        <v>3139.0432000000005</v>
      </c>
      <c r="G58" s="143">
        <f t="shared" si="2"/>
        <v>0</v>
      </c>
      <c r="H58" s="143">
        <f t="shared" si="3"/>
        <v>3139.0432000000005</v>
      </c>
      <c r="I58" s="143">
        <f t="shared" si="5"/>
        <v>521081.17120000056</v>
      </c>
      <c r="J58" s="4"/>
    </row>
    <row r="59" spans="1:10" x14ac:dyDescent="0.3">
      <c r="A59" s="141">
        <f t="shared" si="6"/>
        <v>15</v>
      </c>
      <c r="B59" s="142">
        <f t="shared" si="7"/>
        <v>45200</v>
      </c>
      <c r="C59" s="143">
        <f t="shared" si="8"/>
        <v>521081.17120000056</v>
      </c>
      <c r="D59" s="143">
        <f t="shared" si="1"/>
        <v>3139.0432000000005</v>
      </c>
      <c r="E59" s="145"/>
      <c r="F59" s="143">
        <f t="shared" si="4"/>
        <v>3139.0432000000005</v>
      </c>
      <c r="G59" s="143">
        <f t="shared" si="2"/>
        <v>0</v>
      </c>
      <c r="H59" s="143">
        <f t="shared" si="3"/>
        <v>3139.0432000000005</v>
      </c>
      <c r="I59" s="143">
        <f t="shared" si="5"/>
        <v>517942.12800000055</v>
      </c>
      <c r="J59" s="4"/>
    </row>
    <row r="60" spans="1:10" x14ac:dyDescent="0.3">
      <c r="A60" s="141">
        <f t="shared" si="6"/>
        <v>16</v>
      </c>
      <c r="B60" s="142">
        <f t="shared" si="7"/>
        <v>45231</v>
      </c>
      <c r="C60" s="143">
        <f t="shared" si="8"/>
        <v>517942.12800000055</v>
      </c>
      <c r="D60" s="143">
        <f t="shared" si="1"/>
        <v>3139.0432000000005</v>
      </c>
      <c r="E60" s="145"/>
      <c r="F60" s="143">
        <f t="shared" si="4"/>
        <v>3139.0432000000005</v>
      </c>
      <c r="G60" s="143">
        <f t="shared" si="2"/>
        <v>0</v>
      </c>
      <c r="H60" s="143">
        <f t="shared" si="3"/>
        <v>3139.0432000000005</v>
      </c>
      <c r="I60" s="143">
        <f t="shared" si="5"/>
        <v>514803.08480000054</v>
      </c>
      <c r="J60" s="4"/>
    </row>
    <row r="61" spans="1:10" x14ac:dyDescent="0.3">
      <c r="A61" s="141">
        <f t="shared" si="6"/>
        <v>17</v>
      </c>
      <c r="B61" s="142">
        <f t="shared" si="7"/>
        <v>45261</v>
      </c>
      <c r="C61" s="143">
        <f t="shared" si="8"/>
        <v>514803.08480000054</v>
      </c>
      <c r="D61" s="143">
        <f t="shared" si="1"/>
        <v>3139.0432000000005</v>
      </c>
      <c r="E61" s="145"/>
      <c r="F61" s="143">
        <f t="shared" si="4"/>
        <v>3139.0432000000005</v>
      </c>
      <c r="G61" s="143">
        <f t="shared" si="2"/>
        <v>0</v>
      </c>
      <c r="H61" s="143">
        <f t="shared" si="3"/>
        <v>3139.0432000000005</v>
      </c>
      <c r="I61" s="143">
        <f t="shared" si="5"/>
        <v>511664.04160000052</v>
      </c>
      <c r="J61" s="4"/>
    </row>
    <row r="62" spans="1:10" x14ac:dyDescent="0.3">
      <c r="A62" s="141">
        <f t="shared" si="6"/>
        <v>18</v>
      </c>
      <c r="B62" s="142">
        <f t="shared" si="7"/>
        <v>45292</v>
      </c>
      <c r="C62" s="143">
        <f t="shared" si="8"/>
        <v>511664.04160000052</v>
      </c>
      <c r="D62" s="143">
        <f t="shared" si="1"/>
        <v>3139.0432000000005</v>
      </c>
      <c r="E62" s="145"/>
      <c r="F62" s="143">
        <f t="shared" si="4"/>
        <v>3139.0432000000005</v>
      </c>
      <c r="G62" s="143">
        <f t="shared" si="2"/>
        <v>0</v>
      </c>
      <c r="H62" s="143">
        <f t="shared" si="3"/>
        <v>3139.0432000000005</v>
      </c>
      <c r="I62" s="143">
        <f t="shared" si="5"/>
        <v>508524.99840000051</v>
      </c>
      <c r="J62" s="4"/>
    </row>
    <row r="63" spans="1:10" x14ac:dyDescent="0.3">
      <c r="A63" s="141">
        <f t="shared" si="6"/>
        <v>19</v>
      </c>
      <c r="B63" s="142">
        <f t="shared" si="7"/>
        <v>45323</v>
      </c>
      <c r="C63" s="143">
        <f t="shared" si="8"/>
        <v>508524.99840000051</v>
      </c>
      <c r="D63" s="143">
        <f t="shared" si="1"/>
        <v>3139.0432000000005</v>
      </c>
      <c r="E63" s="145"/>
      <c r="F63" s="143">
        <f t="shared" si="4"/>
        <v>3139.0432000000005</v>
      </c>
      <c r="G63" s="143">
        <f t="shared" si="2"/>
        <v>0</v>
      </c>
      <c r="H63" s="143">
        <f t="shared" si="3"/>
        <v>3139.0432000000005</v>
      </c>
      <c r="I63" s="143">
        <f t="shared" si="5"/>
        <v>505385.95520000049</v>
      </c>
      <c r="J63" s="4"/>
    </row>
    <row r="64" spans="1:10" x14ac:dyDescent="0.3">
      <c r="A64" s="141">
        <f t="shared" si="6"/>
        <v>20</v>
      </c>
      <c r="B64" s="142">
        <f t="shared" si="7"/>
        <v>45352</v>
      </c>
      <c r="C64" s="143">
        <f t="shared" si="8"/>
        <v>505385.95520000049</v>
      </c>
      <c r="D64" s="143">
        <f t="shared" si="1"/>
        <v>3139.0432000000005</v>
      </c>
      <c r="E64" s="145"/>
      <c r="F64" s="143">
        <f t="shared" si="4"/>
        <v>3139.0432000000005</v>
      </c>
      <c r="G64" s="143">
        <f t="shared" si="2"/>
        <v>0</v>
      </c>
      <c r="H64" s="143">
        <f t="shared" si="3"/>
        <v>3139.0432000000005</v>
      </c>
      <c r="I64" s="143">
        <f t="shared" si="5"/>
        <v>502246.91200000048</v>
      </c>
      <c r="J64" s="4"/>
    </row>
    <row r="65" spans="1:10" x14ac:dyDescent="0.3">
      <c r="A65" s="141">
        <f t="shared" si="6"/>
        <v>21</v>
      </c>
      <c r="B65" s="142">
        <f t="shared" si="7"/>
        <v>45383</v>
      </c>
      <c r="C65" s="143">
        <f t="shared" si="8"/>
        <v>502246.91200000048</v>
      </c>
      <c r="D65" s="143">
        <f t="shared" si="1"/>
        <v>3139.0432000000005</v>
      </c>
      <c r="E65" s="145"/>
      <c r="F65" s="143">
        <f t="shared" si="4"/>
        <v>3139.0432000000005</v>
      </c>
      <c r="G65" s="143">
        <f t="shared" si="2"/>
        <v>0</v>
      </c>
      <c r="H65" s="143">
        <f t="shared" si="3"/>
        <v>3139.0432000000005</v>
      </c>
      <c r="I65" s="143">
        <f t="shared" si="5"/>
        <v>499107.86880000046</v>
      </c>
      <c r="J65" s="4"/>
    </row>
    <row r="66" spans="1:10" x14ac:dyDescent="0.3">
      <c r="A66" s="141">
        <f t="shared" si="6"/>
        <v>22</v>
      </c>
      <c r="B66" s="142">
        <f t="shared" si="7"/>
        <v>45413</v>
      </c>
      <c r="C66" s="143">
        <f t="shared" si="8"/>
        <v>499107.86880000046</v>
      </c>
      <c r="D66" s="143">
        <f t="shared" si="1"/>
        <v>3139.0432000000005</v>
      </c>
      <c r="E66" s="145"/>
      <c r="F66" s="143">
        <f t="shared" si="4"/>
        <v>3139.0432000000005</v>
      </c>
      <c r="G66" s="143">
        <f t="shared" si="2"/>
        <v>0</v>
      </c>
      <c r="H66" s="143">
        <f t="shared" si="3"/>
        <v>3139.0432000000005</v>
      </c>
      <c r="I66" s="143">
        <f t="shared" si="5"/>
        <v>495968.82560000045</v>
      </c>
      <c r="J66" s="4"/>
    </row>
    <row r="67" spans="1:10" x14ac:dyDescent="0.3">
      <c r="A67" s="141">
        <f t="shared" si="6"/>
        <v>23</v>
      </c>
      <c r="B67" s="142">
        <f t="shared" si="7"/>
        <v>45444</v>
      </c>
      <c r="C67" s="143">
        <f t="shared" si="8"/>
        <v>495968.82560000045</v>
      </c>
      <c r="D67" s="143">
        <f t="shared" si="1"/>
        <v>3139.0432000000005</v>
      </c>
      <c r="E67" s="145"/>
      <c r="F67" s="143">
        <f t="shared" si="4"/>
        <v>3139.0432000000005</v>
      </c>
      <c r="G67" s="143">
        <f t="shared" si="2"/>
        <v>0</v>
      </c>
      <c r="H67" s="143">
        <f t="shared" si="3"/>
        <v>3139.0432000000005</v>
      </c>
      <c r="I67" s="143">
        <f t="shared" si="5"/>
        <v>492829.78240000043</v>
      </c>
      <c r="J67" s="4"/>
    </row>
    <row r="68" spans="1:10" x14ac:dyDescent="0.3">
      <c r="A68" s="141">
        <f t="shared" si="6"/>
        <v>24</v>
      </c>
      <c r="B68" s="142">
        <f t="shared" si="7"/>
        <v>45474</v>
      </c>
      <c r="C68" s="143">
        <f t="shared" si="8"/>
        <v>492829.78240000043</v>
      </c>
      <c r="D68" s="143">
        <f t="shared" si="1"/>
        <v>3139.0432000000005</v>
      </c>
      <c r="E68" s="145"/>
      <c r="F68" s="143">
        <f t="shared" si="4"/>
        <v>3139.0432000000005</v>
      </c>
      <c r="G68" s="143">
        <f t="shared" si="2"/>
        <v>0</v>
      </c>
      <c r="H68" s="143">
        <f t="shared" si="3"/>
        <v>3139.0432000000005</v>
      </c>
      <c r="I68" s="143">
        <f t="shared" si="5"/>
        <v>489690.73920000042</v>
      </c>
      <c r="J68" s="4"/>
    </row>
    <row r="69" spans="1:10" x14ac:dyDescent="0.3">
      <c r="A69" s="141">
        <f t="shared" si="6"/>
        <v>25</v>
      </c>
      <c r="B69" s="142">
        <f t="shared" si="7"/>
        <v>45505</v>
      </c>
      <c r="C69" s="143">
        <f t="shared" si="8"/>
        <v>489690.73920000042</v>
      </c>
      <c r="D69" s="143">
        <f t="shared" si="1"/>
        <v>3139.0432000000005</v>
      </c>
      <c r="E69" s="145"/>
      <c r="F69" s="143">
        <f t="shared" si="4"/>
        <v>3139.0432000000005</v>
      </c>
      <c r="G69" s="143">
        <f t="shared" si="2"/>
        <v>0</v>
      </c>
      <c r="H69" s="143">
        <f t="shared" si="3"/>
        <v>3139.0432000000005</v>
      </c>
      <c r="I69" s="143">
        <f t="shared" si="5"/>
        <v>486551.6960000004</v>
      </c>
      <c r="J69" s="4"/>
    </row>
    <row r="70" spans="1:10" x14ac:dyDescent="0.3">
      <c r="A70" s="141">
        <f t="shared" si="6"/>
        <v>26</v>
      </c>
      <c r="B70" s="142">
        <f t="shared" si="7"/>
        <v>45536</v>
      </c>
      <c r="C70" s="143">
        <f t="shared" si="8"/>
        <v>486551.6960000004</v>
      </c>
      <c r="D70" s="143">
        <f t="shared" si="1"/>
        <v>3139.0432000000005</v>
      </c>
      <c r="E70" s="145"/>
      <c r="F70" s="143">
        <f t="shared" si="4"/>
        <v>3139.0432000000005</v>
      </c>
      <c r="G70" s="143">
        <f t="shared" si="2"/>
        <v>0</v>
      </c>
      <c r="H70" s="143">
        <f t="shared" si="3"/>
        <v>3139.0432000000005</v>
      </c>
      <c r="I70" s="143">
        <f t="shared" si="5"/>
        <v>483412.65280000039</v>
      </c>
      <c r="J70" s="4"/>
    </row>
    <row r="71" spans="1:10" x14ac:dyDescent="0.3">
      <c r="A71" s="141">
        <f t="shared" si="6"/>
        <v>27</v>
      </c>
      <c r="B71" s="142">
        <f t="shared" si="7"/>
        <v>45566</v>
      </c>
      <c r="C71" s="143">
        <f t="shared" si="8"/>
        <v>483412.65280000039</v>
      </c>
      <c r="D71" s="143">
        <f t="shared" si="1"/>
        <v>3139.0432000000005</v>
      </c>
      <c r="E71" s="145"/>
      <c r="F71" s="143">
        <f t="shared" si="4"/>
        <v>3139.0432000000005</v>
      </c>
      <c r="G71" s="143">
        <f t="shared" si="2"/>
        <v>0</v>
      </c>
      <c r="H71" s="143">
        <f t="shared" si="3"/>
        <v>3139.0432000000005</v>
      </c>
      <c r="I71" s="143">
        <f t="shared" si="5"/>
        <v>480273.60960000037</v>
      </c>
      <c r="J71" s="4"/>
    </row>
    <row r="72" spans="1:10" x14ac:dyDescent="0.3">
      <c r="A72" s="141">
        <f t="shared" si="6"/>
        <v>28</v>
      </c>
      <c r="B72" s="142">
        <f t="shared" si="7"/>
        <v>45597</v>
      </c>
      <c r="C72" s="143">
        <f t="shared" si="8"/>
        <v>480273.60960000037</v>
      </c>
      <c r="D72" s="143">
        <f t="shared" si="1"/>
        <v>3139.0432000000005</v>
      </c>
      <c r="E72" s="145"/>
      <c r="F72" s="143">
        <f t="shared" si="4"/>
        <v>3139.0432000000005</v>
      </c>
      <c r="G72" s="143">
        <f t="shared" si="2"/>
        <v>0</v>
      </c>
      <c r="H72" s="143">
        <f t="shared" si="3"/>
        <v>3139.0432000000005</v>
      </c>
      <c r="I72" s="143">
        <f t="shared" si="5"/>
        <v>477134.56640000036</v>
      </c>
      <c r="J72" s="4"/>
    </row>
    <row r="73" spans="1:10" x14ac:dyDescent="0.3">
      <c r="A73" s="141">
        <f t="shared" si="6"/>
        <v>29</v>
      </c>
      <c r="B73" s="142">
        <f t="shared" si="7"/>
        <v>45627</v>
      </c>
      <c r="C73" s="143">
        <f t="shared" si="8"/>
        <v>477134.56640000036</v>
      </c>
      <c r="D73" s="143">
        <f t="shared" si="1"/>
        <v>3139.0432000000005</v>
      </c>
      <c r="E73" s="145"/>
      <c r="F73" s="143">
        <f t="shared" si="4"/>
        <v>3139.0432000000005</v>
      </c>
      <c r="G73" s="143">
        <f t="shared" si="2"/>
        <v>0</v>
      </c>
      <c r="H73" s="143">
        <f t="shared" si="3"/>
        <v>3139.0432000000005</v>
      </c>
      <c r="I73" s="143">
        <f t="shared" si="5"/>
        <v>473995.52320000035</v>
      </c>
      <c r="J73" s="4"/>
    </row>
    <row r="74" spans="1:10" x14ac:dyDescent="0.3">
      <c r="A74" s="141">
        <f t="shared" si="6"/>
        <v>30</v>
      </c>
      <c r="B74" s="142">
        <f t="shared" si="7"/>
        <v>45658</v>
      </c>
      <c r="C74" s="143">
        <f t="shared" si="8"/>
        <v>473995.52320000035</v>
      </c>
      <c r="D74" s="143">
        <f t="shared" si="1"/>
        <v>3139.0432000000005</v>
      </c>
      <c r="E74" s="145"/>
      <c r="F74" s="143">
        <f t="shared" si="4"/>
        <v>3139.0432000000005</v>
      </c>
      <c r="G74" s="143">
        <f t="shared" si="2"/>
        <v>0</v>
      </c>
      <c r="H74" s="143">
        <f t="shared" si="3"/>
        <v>3139.0432000000005</v>
      </c>
      <c r="I74" s="143">
        <f t="shared" si="5"/>
        <v>470856.48000000033</v>
      </c>
      <c r="J74" s="4"/>
    </row>
    <row r="75" spans="1:10" x14ac:dyDescent="0.3">
      <c r="A75" s="141">
        <f t="shared" si="6"/>
        <v>31</v>
      </c>
      <c r="B75" s="142">
        <f t="shared" si="7"/>
        <v>45689</v>
      </c>
      <c r="C75" s="143">
        <f t="shared" si="8"/>
        <v>470856.48000000033</v>
      </c>
      <c r="D75" s="143">
        <f t="shared" si="1"/>
        <v>3139.0432000000005</v>
      </c>
      <c r="E75" s="145"/>
      <c r="F75" s="143">
        <f t="shared" si="4"/>
        <v>3139.0432000000005</v>
      </c>
      <c r="G75" s="143">
        <f t="shared" si="2"/>
        <v>0</v>
      </c>
      <c r="H75" s="143">
        <f t="shared" si="3"/>
        <v>3139.0432000000005</v>
      </c>
      <c r="I75" s="143">
        <f t="shared" si="5"/>
        <v>467717.43680000032</v>
      </c>
      <c r="J75" s="4"/>
    </row>
    <row r="76" spans="1:10" x14ac:dyDescent="0.3">
      <c r="A76" s="141">
        <f t="shared" si="6"/>
        <v>32</v>
      </c>
      <c r="B76" s="142">
        <f t="shared" si="7"/>
        <v>45717</v>
      </c>
      <c r="C76" s="143">
        <f t="shared" si="8"/>
        <v>467717.43680000032</v>
      </c>
      <c r="D76" s="143">
        <f t="shared" si="1"/>
        <v>3139.0432000000005</v>
      </c>
      <c r="E76" s="145"/>
      <c r="F76" s="143">
        <f t="shared" si="4"/>
        <v>3139.0432000000005</v>
      </c>
      <c r="G76" s="143">
        <f t="shared" si="2"/>
        <v>0</v>
      </c>
      <c r="H76" s="143">
        <f t="shared" si="3"/>
        <v>3139.0432000000005</v>
      </c>
      <c r="I76" s="143">
        <f t="shared" si="5"/>
        <v>464578.3936000003</v>
      </c>
      <c r="J76" s="4"/>
    </row>
    <row r="77" spans="1:10" x14ac:dyDescent="0.3">
      <c r="A77" s="141">
        <f t="shared" si="6"/>
        <v>33</v>
      </c>
      <c r="B77" s="142">
        <f t="shared" si="7"/>
        <v>45748</v>
      </c>
      <c r="C77" s="143">
        <f t="shared" si="8"/>
        <v>464578.3936000003</v>
      </c>
      <c r="D77" s="143">
        <f t="shared" si="1"/>
        <v>3139.0432000000005</v>
      </c>
      <c r="E77" s="145"/>
      <c r="F77" s="143">
        <f t="shared" si="4"/>
        <v>3139.0432000000005</v>
      </c>
      <c r="G77" s="143">
        <f t="shared" si="2"/>
        <v>0</v>
      </c>
      <c r="H77" s="143">
        <f t="shared" si="3"/>
        <v>3139.0432000000005</v>
      </c>
      <c r="I77" s="143">
        <f t="shared" si="5"/>
        <v>461439.35040000029</v>
      </c>
      <c r="J77" s="4"/>
    </row>
    <row r="78" spans="1:10" x14ac:dyDescent="0.3">
      <c r="A78" s="141">
        <f t="shared" si="6"/>
        <v>34</v>
      </c>
      <c r="B78" s="142">
        <f t="shared" si="7"/>
        <v>45778</v>
      </c>
      <c r="C78" s="143">
        <f t="shared" si="8"/>
        <v>461439.35040000029</v>
      </c>
      <c r="D78" s="143">
        <f t="shared" si="1"/>
        <v>3139.0432000000005</v>
      </c>
      <c r="E78" s="145"/>
      <c r="F78" s="143">
        <f t="shared" si="4"/>
        <v>3139.0432000000005</v>
      </c>
      <c r="G78" s="143">
        <f t="shared" si="2"/>
        <v>0</v>
      </c>
      <c r="H78" s="143">
        <f t="shared" si="3"/>
        <v>3139.0432000000005</v>
      </c>
      <c r="I78" s="143">
        <f t="shared" si="5"/>
        <v>458300.30720000027</v>
      </c>
      <c r="J78" s="4"/>
    </row>
    <row r="79" spans="1:10" x14ac:dyDescent="0.3">
      <c r="A79" s="141">
        <f t="shared" si="6"/>
        <v>35</v>
      </c>
      <c r="B79" s="142">
        <f t="shared" si="7"/>
        <v>45809</v>
      </c>
      <c r="C79" s="143">
        <f t="shared" si="8"/>
        <v>458300.30720000027</v>
      </c>
      <c r="D79" s="143">
        <f t="shared" si="1"/>
        <v>3139.0432000000005</v>
      </c>
      <c r="E79" s="145"/>
      <c r="F79" s="143">
        <f t="shared" si="4"/>
        <v>3139.0432000000005</v>
      </c>
      <c r="G79" s="143">
        <f t="shared" si="2"/>
        <v>0</v>
      </c>
      <c r="H79" s="143">
        <f t="shared" si="3"/>
        <v>3139.0432000000005</v>
      </c>
      <c r="I79" s="143">
        <f t="shared" si="5"/>
        <v>455161.26400000026</v>
      </c>
      <c r="J79" s="4"/>
    </row>
    <row r="80" spans="1:10" x14ac:dyDescent="0.3">
      <c r="A80" s="141">
        <f t="shared" si="6"/>
        <v>36</v>
      </c>
      <c r="B80" s="142">
        <f t="shared" si="7"/>
        <v>45839</v>
      </c>
      <c r="C80" s="143">
        <f t="shared" si="8"/>
        <v>455161.26400000026</v>
      </c>
      <c r="D80" s="143">
        <f t="shared" si="1"/>
        <v>3139.0432000000005</v>
      </c>
      <c r="E80" s="145"/>
      <c r="F80" s="143">
        <f t="shared" si="4"/>
        <v>3139.0432000000005</v>
      </c>
      <c r="G80" s="143">
        <f t="shared" si="2"/>
        <v>0</v>
      </c>
      <c r="H80" s="143">
        <f t="shared" si="3"/>
        <v>3139.0432000000005</v>
      </c>
      <c r="I80" s="143">
        <f t="shared" si="5"/>
        <v>452022.22080000024</v>
      </c>
      <c r="J80" s="4"/>
    </row>
    <row r="81" spans="1:10" x14ac:dyDescent="0.3">
      <c r="A81" s="141">
        <f t="shared" si="6"/>
        <v>37</v>
      </c>
      <c r="B81" s="142">
        <f t="shared" si="7"/>
        <v>45870</v>
      </c>
      <c r="C81" s="143">
        <f t="shared" si="8"/>
        <v>452022.22080000024</v>
      </c>
      <c r="D81" s="143">
        <f t="shared" si="1"/>
        <v>3139.0432000000005</v>
      </c>
      <c r="E81" s="145"/>
      <c r="F81" s="143">
        <f t="shared" si="4"/>
        <v>3139.0432000000005</v>
      </c>
      <c r="G81" s="143">
        <f t="shared" si="2"/>
        <v>0</v>
      </c>
      <c r="H81" s="143">
        <f t="shared" si="3"/>
        <v>3139.0432000000005</v>
      </c>
      <c r="I81" s="143">
        <f t="shared" si="5"/>
        <v>448883.17760000023</v>
      </c>
      <c r="J81" s="4"/>
    </row>
    <row r="82" spans="1:10" x14ac:dyDescent="0.3">
      <c r="A82" s="141">
        <f t="shared" si="6"/>
        <v>38</v>
      </c>
      <c r="B82" s="142">
        <f t="shared" si="7"/>
        <v>45901</v>
      </c>
      <c r="C82" s="143">
        <f t="shared" si="8"/>
        <v>448883.17760000023</v>
      </c>
      <c r="D82" s="143">
        <f t="shared" si="1"/>
        <v>3139.0432000000005</v>
      </c>
      <c r="E82" s="145"/>
      <c r="F82" s="143">
        <f t="shared" si="4"/>
        <v>3139.0432000000005</v>
      </c>
      <c r="G82" s="143">
        <f t="shared" si="2"/>
        <v>0</v>
      </c>
      <c r="H82" s="143">
        <f t="shared" si="3"/>
        <v>3139.0432000000005</v>
      </c>
      <c r="I82" s="143">
        <f t="shared" si="5"/>
        <v>445744.13440000021</v>
      </c>
      <c r="J82" s="4"/>
    </row>
    <row r="83" spans="1:10" x14ac:dyDescent="0.3">
      <c r="A83" s="141">
        <f t="shared" si="6"/>
        <v>39</v>
      </c>
      <c r="B83" s="142">
        <f t="shared" si="7"/>
        <v>45931</v>
      </c>
      <c r="C83" s="143">
        <f t="shared" si="8"/>
        <v>445744.13440000021</v>
      </c>
      <c r="D83" s="143">
        <f t="shared" si="1"/>
        <v>3139.0432000000005</v>
      </c>
      <c r="E83" s="145"/>
      <c r="F83" s="143">
        <f t="shared" si="4"/>
        <v>3139.0432000000005</v>
      </c>
      <c r="G83" s="143">
        <f t="shared" si="2"/>
        <v>0</v>
      </c>
      <c r="H83" s="143">
        <f t="shared" si="3"/>
        <v>3139.0432000000005</v>
      </c>
      <c r="I83" s="143">
        <f t="shared" si="5"/>
        <v>442605.0912000002</v>
      </c>
      <c r="J83" s="4"/>
    </row>
    <row r="84" spans="1:10" x14ac:dyDescent="0.3">
      <c r="A84" s="141">
        <f t="shared" si="6"/>
        <v>40</v>
      </c>
      <c r="B84" s="142">
        <f t="shared" si="7"/>
        <v>45962</v>
      </c>
      <c r="C84" s="143">
        <f t="shared" si="8"/>
        <v>442605.0912000002</v>
      </c>
      <c r="D84" s="143">
        <f t="shared" si="1"/>
        <v>3139.0432000000005</v>
      </c>
      <c r="E84" s="145"/>
      <c r="F84" s="143">
        <f t="shared" si="4"/>
        <v>3139.0432000000005</v>
      </c>
      <c r="G84" s="143">
        <f t="shared" si="2"/>
        <v>0</v>
      </c>
      <c r="H84" s="143">
        <f t="shared" si="3"/>
        <v>3139.0432000000005</v>
      </c>
      <c r="I84" s="143">
        <f t="shared" si="5"/>
        <v>439466.04800000018</v>
      </c>
      <c r="J84" s="4"/>
    </row>
    <row r="85" spans="1:10" x14ac:dyDescent="0.3">
      <c r="A85" s="141">
        <f t="shared" si="6"/>
        <v>41</v>
      </c>
      <c r="B85" s="142">
        <f t="shared" si="7"/>
        <v>45992</v>
      </c>
      <c r="C85" s="143">
        <f t="shared" si="8"/>
        <v>439466.04800000018</v>
      </c>
      <c r="D85" s="143">
        <f t="shared" si="1"/>
        <v>3139.0432000000005</v>
      </c>
      <c r="E85" s="145"/>
      <c r="F85" s="143">
        <f t="shared" si="4"/>
        <v>3139.0432000000005</v>
      </c>
      <c r="G85" s="143">
        <f t="shared" si="2"/>
        <v>0</v>
      </c>
      <c r="H85" s="143">
        <f t="shared" si="3"/>
        <v>3139.0432000000005</v>
      </c>
      <c r="I85" s="143">
        <f t="shared" si="5"/>
        <v>436327.00480000017</v>
      </c>
      <c r="J85" s="4"/>
    </row>
    <row r="86" spans="1:10" x14ac:dyDescent="0.3">
      <c r="A86" s="141">
        <f t="shared" si="6"/>
        <v>42</v>
      </c>
      <c r="B86" s="142">
        <f t="shared" si="7"/>
        <v>46023</v>
      </c>
      <c r="C86" s="143">
        <f t="shared" si="8"/>
        <v>436327.00480000017</v>
      </c>
      <c r="D86" s="143">
        <f t="shared" si="1"/>
        <v>3139.0432000000005</v>
      </c>
      <c r="E86" s="145"/>
      <c r="F86" s="143">
        <f t="shared" si="4"/>
        <v>3139.0432000000005</v>
      </c>
      <c r="G86" s="143">
        <f t="shared" si="2"/>
        <v>0</v>
      </c>
      <c r="H86" s="143">
        <f t="shared" si="3"/>
        <v>3139.0432000000005</v>
      </c>
      <c r="I86" s="143">
        <f t="shared" si="5"/>
        <v>433187.96160000016</v>
      </c>
      <c r="J86" s="4"/>
    </row>
    <row r="87" spans="1:10" x14ac:dyDescent="0.3">
      <c r="A87" s="141">
        <f t="shared" si="6"/>
        <v>43</v>
      </c>
      <c r="B87" s="142">
        <f t="shared" si="7"/>
        <v>46054</v>
      </c>
      <c r="C87" s="143">
        <f t="shared" si="8"/>
        <v>433187.96160000016</v>
      </c>
      <c r="D87" s="143">
        <f t="shared" si="1"/>
        <v>3139.0432000000005</v>
      </c>
      <c r="E87" s="145"/>
      <c r="F87" s="143">
        <f t="shared" si="4"/>
        <v>3139.0432000000005</v>
      </c>
      <c r="G87" s="143">
        <f t="shared" si="2"/>
        <v>0</v>
      </c>
      <c r="H87" s="143">
        <f t="shared" si="3"/>
        <v>3139.0432000000005</v>
      </c>
      <c r="I87" s="143">
        <f t="shared" si="5"/>
        <v>430048.91840000014</v>
      </c>
      <c r="J87" s="4"/>
    </row>
    <row r="88" spans="1:10" x14ac:dyDescent="0.3">
      <c r="A88" s="141">
        <f t="shared" si="6"/>
        <v>44</v>
      </c>
      <c r="B88" s="142">
        <f t="shared" si="7"/>
        <v>46082</v>
      </c>
      <c r="C88" s="143">
        <f t="shared" si="8"/>
        <v>430048.91840000014</v>
      </c>
      <c r="D88" s="143">
        <f t="shared" si="1"/>
        <v>3139.0432000000005</v>
      </c>
      <c r="E88" s="145"/>
      <c r="F88" s="143">
        <f t="shared" si="4"/>
        <v>3139.0432000000005</v>
      </c>
      <c r="G88" s="143">
        <f t="shared" si="2"/>
        <v>0</v>
      </c>
      <c r="H88" s="143">
        <f t="shared" si="3"/>
        <v>3139.0432000000005</v>
      </c>
      <c r="I88" s="143">
        <f t="shared" si="5"/>
        <v>426909.87520000013</v>
      </c>
      <c r="J88" s="4"/>
    </row>
    <row r="89" spans="1:10" x14ac:dyDescent="0.3">
      <c r="A89" s="141">
        <f t="shared" si="6"/>
        <v>45</v>
      </c>
      <c r="B89" s="142">
        <f t="shared" si="7"/>
        <v>46113</v>
      </c>
      <c r="C89" s="143">
        <f t="shared" si="8"/>
        <v>426909.87520000013</v>
      </c>
      <c r="D89" s="143">
        <f t="shared" si="1"/>
        <v>3139.0432000000005</v>
      </c>
      <c r="E89" s="145"/>
      <c r="F89" s="143">
        <f t="shared" si="4"/>
        <v>3139.0432000000005</v>
      </c>
      <c r="G89" s="143">
        <f t="shared" si="2"/>
        <v>0</v>
      </c>
      <c r="H89" s="143">
        <f t="shared" si="3"/>
        <v>3139.0432000000005</v>
      </c>
      <c r="I89" s="143">
        <f t="shared" si="5"/>
        <v>423770.83200000011</v>
      </c>
      <c r="J89" s="4"/>
    </row>
    <row r="90" spans="1:10" x14ac:dyDescent="0.3">
      <c r="A90" s="141">
        <f t="shared" si="6"/>
        <v>46</v>
      </c>
      <c r="B90" s="142">
        <f t="shared" si="7"/>
        <v>46143</v>
      </c>
      <c r="C90" s="143">
        <f t="shared" si="8"/>
        <v>423770.83200000011</v>
      </c>
      <c r="D90" s="143">
        <f t="shared" si="1"/>
        <v>3139.0432000000005</v>
      </c>
      <c r="E90" s="145"/>
      <c r="F90" s="143">
        <f t="shared" si="4"/>
        <v>3139.0432000000005</v>
      </c>
      <c r="G90" s="143">
        <f t="shared" si="2"/>
        <v>0</v>
      </c>
      <c r="H90" s="143">
        <f t="shared" si="3"/>
        <v>3139.0432000000005</v>
      </c>
      <c r="I90" s="143">
        <f t="shared" si="5"/>
        <v>420631.7888000001</v>
      </c>
      <c r="J90" s="4"/>
    </row>
    <row r="91" spans="1:10" x14ac:dyDescent="0.3">
      <c r="A91" s="141">
        <f t="shared" si="6"/>
        <v>47</v>
      </c>
      <c r="B91" s="142">
        <f t="shared" si="7"/>
        <v>46174</v>
      </c>
      <c r="C91" s="143">
        <f t="shared" si="8"/>
        <v>420631.7888000001</v>
      </c>
      <c r="D91" s="143">
        <f t="shared" si="1"/>
        <v>3139.0432000000005</v>
      </c>
      <c r="E91" s="145"/>
      <c r="F91" s="143">
        <f t="shared" si="4"/>
        <v>3139.0432000000005</v>
      </c>
      <c r="G91" s="143">
        <f t="shared" si="2"/>
        <v>0</v>
      </c>
      <c r="H91" s="143">
        <f t="shared" si="3"/>
        <v>3139.0432000000005</v>
      </c>
      <c r="I91" s="143">
        <f t="shared" si="5"/>
        <v>417492.74560000008</v>
      </c>
      <c r="J91" s="4"/>
    </row>
    <row r="92" spans="1:10" x14ac:dyDescent="0.3">
      <c r="A92" s="141">
        <f t="shared" si="6"/>
        <v>48</v>
      </c>
      <c r="B92" s="142">
        <f t="shared" si="7"/>
        <v>46204</v>
      </c>
      <c r="C92" s="143">
        <f t="shared" si="8"/>
        <v>417492.74560000008</v>
      </c>
      <c r="D92" s="143">
        <f t="shared" si="1"/>
        <v>3139.0432000000005</v>
      </c>
      <c r="E92" s="147"/>
      <c r="F92" s="148">
        <f t="shared" si="4"/>
        <v>3139.0432000000005</v>
      </c>
      <c r="G92" s="148">
        <f t="shared" si="2"/>
        <v>0</v>
      </c>
      <c r="H92" s="148">
        <f t="shared" si="3"/>
        <v>3139.0432000000005</v>
      </c>
      <c r="I92" s="148">
        <f t="shared" si="5"/>
        <v>414353.70240000007</v>
      </c>
      <c r="J92" s="4"/>
    </row>
    <row r="93" spans="1:10" hidden="1" x14ac:dyDescent="0.3">
      <c r="A93" s="141" t="b">
        <f t="shared" si="6"/>
        <v>0</v>
      </c>
      <c r="B93" s="142" t="str">
        <f t="shared" si="7"/>
        <v/>
      </c>
      <c r="C93" s="143" t="str">
        <f t="shared" si="8"/>
        <v/>
      </c>
      <c r="D93" s="143" t="b">
        <f t="shared" si="1"/>
        <v>0</v>
      </c>
      <c r="E93" s="145"/>
      <c r="F93" s="143">
        <f>SUM(D93:E93)</f>
        <v>0</v>
      </c>
      <c r="G93" s="143">
        <f>IF(A93&lt;=48,(C93*$D$41),0)</f>
        <v>0</v>
      </c>
      <c r="H93" s="143">
        <f>D93-G93</f>
        <v>0</v>
      </c>
      <c r="I93" s="143" t="e">
        <f>C93-H93</f>
        <v>#VALUE!</v>
      </c>
      <c r="J93" s="4"/>
    </row>
    <row r="94" spans="1:10" hidden="1" x14ac:dyDescent="0.3">
      <c r="A94" s="141" t="b">
        <f t="shared" si="6"/>
        <v>0</v>
      </c>
      <c r="B94" s="142" t="str">
        <f t="shared" si="7"/>
        <v/>
      </c>
      <c r="C94" s="143" t="str">
        <f t="shared" si="8"/>
        <v/>
      </c>
      <c r="D94" s="143" t="b">
        <f t="shared" si="1"/>
        <v>0</v>
      </c>
      <c r="E94" s="145"/>
      <c r="F94" s="143">
        <f>SUM(D94:E94)</f>
        <v>0</v>
      </c>
      <c r="G94" s="143">
        <f>IF(A94&lt;=48,(C94*$D$41),0)</f>
        <v>0</v>
      </c>
      <c r="H94" s="143">
        <f>D94-G94</f>
        <v>0</v>
      </c>
      <c r="I94" s="143" t="e">
        <f>C94-H94</f>
        <v>#VALUE!</v>
      </c>
      <c r="J94" s="4"/>
    </row>
    <row r="95" spans="1:10" hidden="1" x14ac:dyDescent="0.3">
      <c r="A95" s="141" t="b">
        <f t="shared" si="6"/>
        <v>0</v>
      </c>
      <c r="B95" s="142" t="str">
        <f t="shared" si="7"/>
        <v/>
      </c>
      <c r="C95" s="143" t="str">
        <f t="shared" si="8"/>
        <v/>
      </c>
      <c r="D95" s="143" t="b">
        <f t="shared" si="1"/>
        <v>0</v>
      </c>
      <c r="E95" s="145"/>
      <c r="F95" s="143">
        <f>SUM(D95:E95)</f>
        <v>0</v>
      </c>
      <c r="G95" s="143">
        <f>IF(A95&lt;=48,(C95*$D$41),0)</f>
        <v>0</v>
      </c>
      <c r="H95" s="143">
        <f>D95-G95</f>
        <v>0</v>
      </c>
      <c r="I95" s="143" t="e">
        <f>C95-H95</f>
        <v>#VALUE!</v>
      </c>
      <c r="J95" s="4"/>
    </row>
    <row r="96" spans="1:10" hidden="1" x14ac:dyDescent="0.3">
      <c r="A96" s="141" t="b">
        <f t="shared" si="6"/>
        <v>0</v>
      </c>
      <c r="B96" s="142" t="str">
        <f t="shared" si="7"/>
        <v/>
      </c>
      <c r="C96" s="143" t="str">
        <f t="shared" si="8"/>
        <v/>
      </c>
      <c r="D96" s="143" t="b">
        <f t="shared" si="1"/>
        <v>0</v>
      </c>
      <c r="E96" s="145"/>
      <c r="F96" s="143">
        <f>SUM(D96:E96)</f>
        <v>0</v>
      </c>
      <c r="G96" s="143">
        <f>IF(A96&lt;=48,(C96*$D$41),0)</f>
        <v>0</v>
      </c>
      <c r="H96" s="143">
        <f>D96-G96</f>
        <v>0</v>
      </c>
      <c r="I96" s="143" t="e">
        <f>C96-H96</f>
        <v>#VALUE!</v>
      </c>
      <c r="J96" s="4"/>
    </row>
    <row r="97" spans="1:10" hidden="1" x14ac:dyDescent="0.3">
      <c r="A97" s="122">
        <f>_xlfn.AGGREGATE(2,6,Tabla1141634817[PERIODO])</f>
        <v>48</v>
      </c>
      <c r="B97" s="123">
        <f>VLOOKUP(Tabla1141634817[[#Totals],[PERIODO]],Tabla1141634817[[#Headers],[#Data]],2)</f>
        <v>46204</v>
      </c>
      <c r="C97" s="124"/>
      <c r="D97" s="125"/>
      <c r="E97" s="126">
        <f>SUM(E45:E96)</f>
        <v>0</v>
      </c>
      <c r="F97" s="125"/>
      <c r="G97" s="124"/>
      <c r="H97" s="125">
        <f>SUBTOTAL(109,Tabla1141634817[ABONO A CAPITAL])</f>
        <v>150674.07360000012</v>
      </c>
      <c r="I97" s="125">
        <f>VLOOKUP(Tabla1141634817[[#Totals],[PERIODO]],Tabla1141634817[[#Headers],[#Data]],9)</f>
        <v>414353.70240000007</v>
      </c>
      <c r="J97" s="4"/>
    </row>
    <row r="98" spans="1:10" hidden="1" x14ac:dyDescent="0.3">
      <c r="A98" s="2"/>
      <c r="B98" s="2"/>
      <c r="C98" s="2"/>
      <c r="D98" s="139"/>
      <c r="E98" s="48"/>
      <c r="F98" s="2"/>
      <c r="G98" s="2"/>
      <c r="H98" s="2"/>
      <c r="I98" s="2"/>
      <c r="J98" s="4"/>
    </row>
    <row r="99" spans="1:10" ht="20.25" x14ac:dyDescent="0.3">
      <c r="A99" s="136" t="s">
        <v>220</v>
      </c>
      <c r="B99" s="2"/>
      <c r="C99" s="2"/>
      <c r="D99" s="139"/>
      <c r="E99" s="48"/>
      <c r="F99" s="2"/>
      <c r="G99" s="2"/>
      <c r="H99" s="2"/>
      <c r="I99" s="2"/>
      <c r="J99" s="4"/>
    </row>
    <row r="100" spans="1:10" hidden="1" x14ac:dyDescent="0.3">
      <c r="C100" s="11" t="s">
        <v>16</v>
      </c>
      <c r="D100" s="79">
        <f>$H$97</f>
        <v>150674.07360000012</v>
      </c>
      <c r="E100" s="64"/>
      <c r="I100"/>
      <c r="J100" s="4"/>
    </row>
    <row r="101" spans="1:10" hidden="1" x14ac:dyDescent="0.3">
      <c r="C101" s="14" t="s">
        <v>20</v>
      </c>
      <c r="D101" s="80">
        <f>$D$36-$D$100</f>
        <v>414353.70239999995</v>
      </c>
      <c r="E101" s="64"/>
      <c r="I101"/>
      <c r="J101" s="4"/>
    </row>
    <row r="102" spans="1:10" hidden="1" x14ac:dyDescent="0.3">
      <c r="C102" s="14" t="s">
        <v>21</v>
      </c>
      <c r="D102" s="130">
        <f>$D$38-$D$40</f>
        <v>132</v>
      </c>
      <c r="E102" s="65"/>
      <c r="I102"/>
      <c r="J102" s="4"/>
    </row>
    <row r="103" spans="1:10" hidden="1" x14ac:dyDescent="0.3">
      <c r="C103" s="14" t="s">
        <v>22</v>
      </c>
      <c r="D103" s="131">
        <f>$D$104/12</f>
        <v>6</v>
      </c>
      <c r="E103" s="64"/>
      <c r="I103"/>
      <c r="J103" s="4"/>
    </row>
    <row r="104" spans="1:10" hidden="1" x14ac:dyDescent="0.3">
      <c r="C104" s="18" t="s">
        <v>23</v>
      </c>
      <c r="D104" s="132">
        <f>$D$20</f>
        <v>72</v>
      </c>
      <c r="E104" s="64"/>
      <c r="I104"/>
      <c r="J104" s="4"/>
    </row>
    <row r="105" spans="1:10" hidden="1" x14ac:dyDescent="0.3">
      <c r="C105" s="14" t="s">
        <v>9</v>
      </c>
      <c r="D105" s="133">
        <f>$E$20</f>
        <v>0.01</v>
      </c>
      <c r="E105" s="64"/>
      <c r="I105"/>
      <c r="J105" s="4"/>
    </row>
    <row r="106" spans="1:10" hidden="1" x14ac:dyDescent="0.3">
      <c r="C106" s="14" t="s">
        <v>24</v>
      </c>
      <c r="D106" s="21">
        <f>-PMT(D105,D102,D101)</f>
        <v>5667.4797136841753</v>
      </c>
      <c r="E106" s="64"/>
      <c r="I106"/>
      <c r="J106" s="4"/>
    </row>
    <row r="107" spans="1:10" hidden="1" x14ac:dyDescent="0.3">
      <c r="D107" s="21">
        <f>$D$106*$D$104</f>
        <v>408058.53938526061</v>
      </c>
      <c r="E107" s="64"/>
      <c r="J107" s="4"/>
    </row>
    <row r="108" spans="1:10" x14ac:dyDescent="0.3">
      <c r="A108" s="27" t="s">
        <v>11</v>
      </c>
      <c r="B108" s="27" t="s">
        <v>12</v>
      </c>
      <c r="C108" s="27" t="s">
        <v>13</v>
      </c>
      <c r="D108" s="28" t="s">
        <v>25</v>
      </c>
      <c r="E108" s="66" t="s">
        <v>15</v>
      </c>
      <c r="F108" s="27" t="s">
        <v>16</v>
      </c>
      <c r="G108" s="27" t="s">
        <v>17</v>
      </c>
      <c r="H108" s="27" t="s">
        <v>18</v>
      </c>
      <c r="I108" s="28" t="s">
        <v>19</v>
      </c>
      <c r="J108" s="4"/>
    </row>
    <row r="109" spans="1:10" hidden="1" x14ac:dyDescent="0.3">
      <c r="A109" s="29">
        <f>A97</f>
        <v>48</v>
      </c>
      <c r="B109" s="30">
        <f>B97</f>
        <v>46204</v>
      </c>
      <c r="C109" s="31">
        <f>D101</f>
        <v>414353.70239999995</v>
      </c>
      <c r="D109" s="32"/>
      <c r="E109" s="67">
        <f>Tabla1141634817[[#Totals],[ABONOS]]</f>
        <v>0</v>
      </c>
      <c r="F109" s="26">
        <f t="shared" ref="F109:F173" si="9">SUM(D109:E109)</f>
        <v>0</v>
      </c>
      <c r="G109" s="31"/>
      <c r="H109" s="26">
        <f t="shared" ref="H109:H140" si="10">D109-G109</f>
        <v>0</v>
      </c>
      <c r="I109" s="26">
        <f t="shared" ref="I109:I173" si="11">C109-H109</f>
        <v>414353.70239999995</v>
      </c>
      <c r="J109" s="4"/>
    </row>
    <row r="110" spans="1:10" x14ac:dyDescent="0.3">
      <c r="A110" s="141">
        <f>IF(A109&lt;120,A109+1,"")</f>
        <v>49</v>
      </c>
      <c r="B110" s="142">
        <f>IF(A109&lt;120,DATE(YEAR(B109),MONTH(B109)+1,DAY(B109)),"")</f>
        <v>46235</v>
      </c>
      <c r="C110" s="143">
        <f>IF(A110&lt;=120,I109)</f>
        <v>414353.70239999995</v>
      </c>
      <c r="D110" s="143">
        <f t="shared" ref="D110:D173" si="12">IF(A110&lt;121,(-PMT($D$105,$D$102,$D$101)))</f>
        <v>5667.4797136841753</v>
      </c>
      <c r="E110" s="144"/>
      <c r="F110" s="143">
        <f t="shared" si="9"/>
        <v>5667.4797136841753</v>
      </c>
      <c r="G110" s="143">
        <f>IF(A110&gt;48,(C110*$D$105),0)</f>
        <v>4143.5370239999993</v>
      </c>
      <c r="H110" s="143">
        <f t="shared" si="10"/>
        <v>1523.942689684176</v>
      </c>
      <c r="I110" s="143">
        <f t="shared" si="11"/>
        <v>412829.75971031579</v>
      </c>
      <c r="J110" s="4"/>
    </row>
    <row r="111" spans="1:10" x14ac:dyDescent="0.3">
      <c r="A111" s="141">
        <f t="shared" ref="A111:A174" si="13">IF(A110&lt;120,A110+1,"")</f>
        <v>50</v>
      </c>
      <c r="B111" s="142">
        <f t="shared" ref="B111:B174" si="14">IF(A110&lt;120,DATE(YEAR(B110),MONTH(B110)+1,DAY(B110)),"")</f>
        <v>46266</v>
      </c>
      <c r="C111" s="143">
        <f t="shared" ref="C111:C174" si="15">IF(A111&lt;=120,I110)</f>
        <v>412829.75971031579</v>
      </c>
      <c r="D111" s="143">
        <f t="shared" si="12"/>
        <v>5667.4797136841753</v>
      </c>
      <c r="E111" s="145"/>
      <c r="F111" s="143">
        <f t="shared" si="9"/>
        <v>5667.4797136841753</v>
      </c>
      <c r="G111" s="143">
        <f t="shared" ref="G111:G173" si="16">IF(A111&gt;48,(C111*$D$105),0)</f>
        <v>4128.2975971031583</v>
      </c>
      <c r="H111" s="143">
        <f t="shared" si="10"/>
        <v>1539.182116581017</v>
      </c>
      <c r="I111" s="143">
        <f t="shared" si="11"/>
        <v>411290.57759373478</v>
      </c>
      <c r="J111" s="4"/>
    </row>
    <row r="112" spans="1:10" x14ac:dyDescent="0.3">
      <c r="A112" s="141">
        <f t="shared" si="13"/>
        <v>51</v>
      </c>
      <c r="B112" s="142">
        <f t="shared" si="14"/>
        <v>46296</v>
      </c>
      <c r="C112" s="143">
        <f t="shared" si="15"/>
        <v>411290.57759373478</v>
      </c>
      <c r="D112" s="143">
        <f t="shared" si="12"/>
        <v>5667.4797136841753</v>
      </c>
      <c r="E112" s="145"/>
      <c r="F112" s="143">
        <f t="shared" si="9"/>
        <v>5667.4797136841753</v>
      </c>
      <c r="G112" s="143">
        <f t="shared" si="16"/>
        <v>4112.9057759373482</v>
      </c>
      <c r="H112" s="143">
        <f t="shared" si="10"/>
        <v>1554.5739377468271</v>
      </c>
      <c r="I112" s="143">
        <f t="shared" si="11"/>
        <v>409736.00365598797</v>
      </c>
      <c r="J112" s="4"/>
    </row>
    <row r="113" spans="1:10" x14ac:dyDescent="0.3">
      <c r="A113" s="141">
        <f t="shared" si="13"/>
        <v>52</v>
      </c>
      <c r="B113" s="142">
        <f t="shared" si="14"/>
        <v>46327</v>
      </c>
      <c r="C113" s="143">
        <f t="shared" si="15"/>
        <v>409736.00365598797</v>
      </c>
      <c r="D113" s="143">
        <f t="shared" si="12"/>
        <v>5667.4797136841753</v>
      </c>
      <c r="E113" s="145"/>
      <c r="F113" s="143">
        <f t="shared" si="9"/>
        <v>5667.4797136841753</v>
      </c>
      <c r="G113" s="143">
        <f t="shared" si="16"/>
        <v>4097.3600365598795</v>
      </c>
      <c r="H113" s="143">
        <f t="shared" si="10"/>
        <v>1570.1196771242958</v>
      </c>
      <c r="I113" s="143">
        <f t="shared" si="11"/>
        <v>408165.88397886365</v>
      </c>
      <c r="J113" s="4"/>
    </row>
    <row r="114" spans="1:10" x14ac:dyDescent="0.3">
      <c r="A114" s="141">
        <f t="shared" si="13"/>
        <v>53</v>
      </c>
      <c r="B114" s="142">
        <f t="shared" si="14"/>
        <v>46357</v>
      </c>
      <c r="C114" s="143">
        <f t="shared" si="15"/>
        <v>408165.88397886365</v>
      </c>
      <c r="D114" s="143">
        <f t="shared" si="12"/>
        <v>5667.4797136841753</v>
      </c>
      <c r="E114" s="145"/>
      <c r="F114" s="143">
        <f t="shared" si="9"/>
        <v>5667.4797136841753</v>
      </c>
      <c r="G114" s="143">
        <f t="shared" si="16"/>
        <v>4081.6588397886367</v>
      </c>
      <c r="H114" s="143">
        <f t="shared" si="10"/>
        <v>1585.8208738955386</v>
      </c>
      <c r="I114" s="143">
        <f t="shared" si="11"/>
        <v>406580.06310496811</v>
      </c>
      <c r="J114" s="4"/>
    </row>
    <row r="115" spans="1:10" x14ac:dyDescent="0.3">
      <c r="A115" s="141">
        <f t="shared" si="13"/>
        <v>54</v>
      </c>
      <c r="B115" s="142">
        <f t="shared" si="14"/>
        <v>46388</v>
      </c>
      <c r="C115" s="143">
        <f t="shared" si="15"/>
        <v>406580.06310496811</v>
      </c>
      <c r="D115" s="143">
        <f t="shared" si="12"/>
        <v>5667.4797136841753</v>
      </c>
      <c r="E115" s="145"/>
      <c r="F115" s="143">
        <f t="shared" si="9"/>
        <v>5667.4797136841753</v>
      </c>
      <c r="G115" s="143">
        <f t="shared" si="16"/>
        <v>4065.8006310496812</v>
      </c>
      <c r="H115" s="143">
        <f t="shared" si="10"/>
        <v>1601.6790826344941</v>
      </c>
      <c r="I115" s="143">
        <f t="shared" si="11"/>
        <v>404978.3840223336</v>
      </c>
      <c r="J115" s="4"/>
    </row>
    <row r="116" spans="1:10" x14ac:dyDescent="0.3">
      <c r="A116" s="141">
        <f t="shared" si="13"/>
        <v>55</v>
      </c>
      <c r="B116" s="142">
        <f t="shared" si="14"/>
        <v>46419</v>
      </c>
      <c r="C116" s="143">
        <f t="shared" si="15"/>
        <v>404978.3840223336</v>
      </c>
      <c r="D116" s="143">
        <f t="shared" si="12"/>
        <v>5667.4797136841753</v>
      </c>
      <c r="E116" s="145"/>
      <c r="F116" s="143">
        <f t="shared" si="9"/>
        <v>5667.4797136841753</v>
      </c>
      <c r="G116" s="143">
        <f t="shared" si="16"/>
        <v>4049.783840223336</v>
      </c>
      <c r="H116" s="143">
        <f t="shared" si="10"/>
        <v>1617.6958734608393</v>
      </c>
      <c r="I116" s="143">
        <f t="shared" si="11"/>
        <v>403360.68814887275</v>
      </c>
      <c r="J116" s="4"/>
    </row>
    <row r="117" spans="1:10" x14ac:dyDescent="0.3">
      <c r="A117" s="141">
        <f t="shared" si="13"/>
        <v>56</v>
      </c>
      <c r="B117" s="142">
        <f t="shared" si="14"/>
        <v>46447</v>
      </c>
      <c r="C117" s="143">
        <f t="shared" si="15"/>
        <v>403360.68814887275</v>
      </c>
      <c r="D117" s="143">
        <f t="shared" si="12"/>
        <v>5667.4797136841753</v>
      </c>
      <c r="E117" s="145"/>
      <c r="F117" s="143">
        <f t="shared" si="9"/>
        <v>5667.4797136841753</v>
      </c>
      <c r="G117" s="143">
        <f t="shared" si="16"/>
        <v>4033.6068814887276</v>
      </c>
      <c r="H117" s="143">
        <f t="shared" si="10"/>
        <v>1633.8728321954477</v>
      </c>
      <c r="I117" s="143">
        <f t="shared" si="11"/>
        <v>401726.81531667733</v>
      </c>
      <c r="J117" s="4"/>
    </row>
    <row r="118" spans="1:10" x14ac:dyDescent="0.3">
      <c r="A118" s="141">
        <f t="shared" si="13"/>
        <v>57</v>
      </c>
      <c r="B118" s="142">
        <f t="shared" si="14"/>
        <v>46478</v>
      </c>
      <c r="C118" s="143">
        <f t="shared" si="15"/>
        <v>401726.81531667733</v>
      </c>
      <c r="D118" s="143">
        <f t="shared" si="12"/>
        <v>5667.4797136841753</v>
      </c>
      <c r="E118" s="145"/>
      <c r="F118" s="143">
        <f t="shared" si="9"/>
        <v>5667.4797136841753</v>
      </c>
      <c r="G118" s="143">
        <f t="shared" si="16"/>
        <v>4017.2681531667736</v>
      </c>
      <c r="H118" s="143">
        <f t="shared" si="10"/>
        <v>1650.2115605174017</v>
      </c>
      <c r="I118" s="143">
        <f t="shared" si="11"/>
        <v>400076.60375615995</v>
      </c>
      <c r="J118" s="4"/>
    </row>
    <row r="119" spans="1:10" x14ac:dyDescent="0.3">
      <c r="A119" s="141">
        <f t="shared" si="13"/>
        <v>58</v>
      </c>
      <c r="B119" s="142">
        <f t="shared" si="14"/>
        <v>46508</v>
      </c>
      <c r="C119" s="143">
        <f t="shared" si="15"/>
        <v>400076.60375615995</v>
      </c>
      <c r="D119" s="143">
        <f t="shared" si="12"/>
        <v>5667.4797136841753</v>
      </c>
      <c r="E119" s="145"/>
      <c r="F119" s="143">
        <f t="shared" si="9"/>
        <v>5667.4797136841753</v>
      </c>
      <c r="G119" s="143">
        <f t="shared" si="16"/>
        <v>4000.7660375615997</v>
      </c>
      <c r="H119" s="143">
        <f t="shared" si="10"/>
        <v>1666.7136761225756</v>
      </c>
      <c r="I119" s="143">
        <f t="shared" si="11"/>
        <v>398409.89008003735</v>
      </c>
      <c r="J119" s="4"/>
    </row>
    <row r="120" spans="1:10" x14ac:dyDescent="0.3">
      <c r="A120" s="141">
        <f t="shared" si="13"/>
        <v>59</v>
      </c>
      <c r="B120" s="142">
        <f t="shared" si="14"/>
        <v>46539</v>
      </c>
      <c r="C120" s="143">
        <f t="shared" si="15"/>
        <v>398409.89008003735</v>
      </c>
      <c r="D120" s="143">
        <f t="shared" si="12"/>
        <v>5667.4797136841753</v>
      </c>
      <c r="E120" s="145"/>
      <c r="F120" s="143">
        <f t="shared" si="9"/>
        <v>5667.4797136841753</v>
      </c>
      <c r="G120" s="143">
        <f t="shared" si="16"/>
        <v>3984.0989008003735</v>
      </c>
      <c r="H120" s="143">
        <f t="shared" si="10"/>
        <v>1683.3808128838018</v>
      </c>
      <c r="I120" s="143">
        <f t="shared" si="11"/>
        <v>396726.50926715357</v>
      </c>
      <c r="J120" s="4"/>
    </row>
    <row r="121" spans="1:10" x14ac:dyDescent="0.3">
      <c r="A121" s="141">
        <f t="shared" si="13"/>
        <v>60</v>
      </c>
      <c r="B121" s="142">
        <f t="shared" si="14"/>
        <v>46569</v>
      </c>
      <c r="C121" s="143">
        <f t="shared" si="15"/>
        <v>396726.50926715357</v>
      </c>
      <c r="D121" s="143">
        <f t="shared" si="12"/>
        <v>5667.4797136841753</v>
      </c>
      <c r="E121" s="145"/>
      <c r="F121" s="143">
        <f t="shared" si="9"/>
        <v>5667.4797136841753</v>
      </c>
      <c r="G121" s="143">
        <f t="shared" si="16"/>
        <v>3967.265092671536</v>
      </c>
      <c r="H121" s="143">
        <f t="shared" si="10"/>
        <v>1700.2146210126393</v>
      </c>
      <c r="I121" s="143">
        <f t="shared" si="11"/>
        <v>395026.29464614094</v>
      </c>
      <c r="J121" s="4"/>
    </row>
    <row r="122" spans="1:10" x14ac:dyDescent="0.3">
      <c r="A122" s="141">
        <f t="shared" si="13"/>
        <v>61</v>
      </c>
      <c r="B122" s="142">
        <f t="shared" si="14"/>
        <v>46600</v>
      </c>
      <c r="C122" s="143">
        <f t="shared" si="15"/>
        <v>395026.29464614094</v>
      </c>
      <c r="D122" s="143">
        <f t="shared" si="12"/>
        <v>5667.4797136841753</v>
      </c>
      <c r="E122" s="145"/>
      <c r="F122" s="143">
        <f t="shared" si="9"/>
        <v>5667.4797136841753</v>
      </c>
      <c r="G122" s="143">
        <f t="shared" si="16"/>
        <v>3950.2629464614097</v>
      </c>
      <c r="H122" s="143">
        <f t="shared" si="10"/>
        <v>1717.2167672227656</v>
      </c>
      <c r="I122" s="143">
        <f t="shared" si="11"/>
        <v>393309.07787891821</v>
      </c>
      <c r="J122" s="4"/>
    </row>
    <row r="123" spans="1:10" x14ac:dyDescent="0.3">
      <c r="A123" s="141">
        <f t="shared" si="13"/>
        <v>62</v>
      </c>
      <c r="B123" s="142">
        <f t="shared" si="14"/>
        <v>46631</v>
      </c>
      <c r="C123" s="143">
        <f t="shared" si="15"/>
        <v>393309.07787891821</v>
      </c>
      <c r="D123" s="143">
        <f t="shared" si="12"/>
        <v>5667.4797136841753</v>
      </c>
      <c r="E123" s="145"/>
      <c r="F123" s="143">
        <f t="shared" si="9"/>
        <v>5667.4797136841753</v>
      </c>
      <c r="G123" s="143">
        <f t="shared" si="16"/>
        <v>3933.090778789182</v>
      </c>
      <c r="H123" s="143">
        <f t="shared" si="10"/>
        <v>1734.3889348949933</v>
      </c>
      <c r="I123" s="143">
        <f t="shared" si="11"/>
        <v>391574.68894402322</v>
      </c>
      <c r="J123" s="4"/>
    </row>
    <row r="124" spans="1:10" x14ac:dyDescent="0.3">
      <c r="A124" s="141">
        <f t="shared" si="13"/>
        <v>63</v>
      </c>
      <c r="B124" s="142">
        <f t="shared" si="14"/>
        <v>46661</v>
      </c>
      <c r="C124" s="143">
        <f t="shared" si="15"/>
        <v>391574.68894402322</v>
      </c>
      <c r="D124" s="143">
        <f t="shared" si="12"/>
        <v>5667.4797136841753</v>
      </c>
      <c r="E124" s="145"/>
      <c r="F124" s="143">
        <f t="shared" si="9"/>
        <v>5667.4797136841753</v>
      </c>
      <c r="G124" s="143">
        <f t="shared" si="16"/>
        <v>3915.7468894402323</v>
      </c>
      <c r="H124" s="143">
        <f t="shared" si="10"/>
        <v>1751.732824243943</v>
      </c>
      <c r="I124" s="143">
        <f t="shared" si="11"/>
        <v>389822.95611977926</v>
      </c>
      <c r="J124" s="4"/>
    </row>
    <row r="125" spans="1:10" x14ac:dyDescent="0.3">
      <c r="A125" s="141">
        <f t="shared" si="13"/>
        <v>64</v>
      </c>
      <c r="B125" s="142">
        <f t="shared" si="14"/>
        <v>46692</v>
      </c>
      <c r="C125" s="143">
        <f t="shared" si="15"/>
        <v>389822.95611977926</v>
      </c>
      <c r="D125" s="143">
        <f t="shared" si="12"/>
        <v>5667.4797136841753</v>
      </c>
      <c r="E125" s="145"/>
      <c r="F125" s="143">
        <f t="shared" si="9"/>
        <v>5667.4797136841753</v>
      </c>
      <c r="G125" s="143">
        <f t="shared" si="16"/>
        <v>3898.2295611977929</v>
      </c>
      <c r="H125" s="143">
        <f t="shared" si="10"/>
        <v>1769.2501524863824</v>
      </c>
      <c r="I125" s="143">
        <f t="shared" si="11"/>
        <v>388053.70596729289</v>
      </c>
      <c r="J125" s="4"/>
    </row>
    <row r="126" spans="1:10" x14ac:dyDescent="0.3">
      <c r="A126" s="141">
        <f t="shared" si="13"/>
        <v>65</v>
      </c>
      <c r="B126" s="142">
        <f t="shared" si="14"/>
        <v>46722</v>
      </c>
      <c r="C126" s="143">
        <f t="shared" si="15"/>
        <v>388053.70596729289</v>
      </c>
      <c r="D126" s="143">
        <f t="shared" si="12"/>
        <v>5667.4797136841753</v>
      </c>
      <c r="E126" s="145"/>
      <c r="F126" s="143">
        <f t="shared" si="9"/>
        <v>5667.4797136841753</v>
      </c>
      <c r="G126" s="143">
        <f t="shared" si="16"/>
        <v>3880.537059672929</v>
      </c>
      <c r="H126" s="143">
        <f t="shared" si="10"/>
        <v>1786.9426540112463</v>
      </c>
      <c r="I126" s="143">
        <f t="shared" si="11"/>
        <v>386266.76331328164</v>
      </c>
      <c r="J126" s="4"/>
    </row>
    <row r="127" spans="1:10" x14ac:dyDescent="0.3">
      <c r="A127" s="141">
        <f t="shared" si="13"/>
        <v>66</v>
      </c>
      <c r="B127" s="142">
        <f t="shared" si="14"/>
        <v>46753</v>
      </c>
      <c r="C127" s="143">
        <f t="shared" si="15"/>
        <v>386266.76331328164</v>
      </c>
      <c r="D127" s="143">
        <f t="shared" si="12"/>
        <v>5667.4797136841753</v>
      </c>
      <c r="E127" s="145"/>
      <c r="F127" s="143">
        <f t="shared" si="9"/>
        <v>5667.4797136841753</v>
      </c>
      <c r="G127" s="143">
        <f t="shared" si="16"/>
        <v>3862.6676331328163</v>
      </c>
      <c r="H127" s="143">
        <f t="shared" si="10"/>
        <v>1804.812080551359</v>
      </c>
      <c r="I127" s="143">
        <f t="shared" si="11"/>
        <v>384461.95123273029</v>
      </c>
      <c r="J127" s="4"/>
    </row>
    <row r="128" spans="1:10" x14ac:dyDescent="0.3">
      <c r="A128" s="141">
        <f t="shared" si="13"/>
        <v>67</v>
      </c>
      <c r="B128" s="142">
        <f t="shared" si="14"/>
        <v>46784</v>
      </c>
      <c r="C128" s="143">
        <f t="shared" si="15"/>
        <v>384461.95123273029</v>
      </c>
      <c r="D128" s="143">
        <f t="shared" si="12"/>
        <v>5667.4797136841753</v>
      </c>
      <c r="E128" s="145"/>
      <c r="F128" s="143">
        <f t="shared" si="9"/>
        <v>5667.4797136841753</v>
      </c>
      <c r="G128" s="143">
        <f t="shared" si="16"/>
        <v>3844.6195123273028</v>
      </c>
      <c r="H128" s="143">
        <f t="shared" si="10"/>
        <v>1822.8602013568725</v>
      </c>
      <c r="I128" s="143">
        <f t="shared" si="11"/>
        <v>382639.09103137342</v>
      </c>
      <c r="J128" s="4"/>
    </row>
    <row r="129" spans="1:10" x14ac:dyDescent="0.3">
      <c r="A129" s="141">
        <f t="shared" si="13"/>
        <v>68</v>
      </c>
      <c r="B129" s="142">
        <f t="shared" si="14"/>
        <v>46813</v>
      </c>
      <c r="C129" s="143">
        <f t="shared" si="15"/>
        <v>382639.09103137342</v>
      </c>
      <c r="D129" s="143">
        <f t="shared" si="12"/>
        <v>5667.4797136841753</v>
      </c>
      <c r="E129" s="145"/>
      <c r="F129" s="143">
        <f t="shared" si="9"/>
        <v>5667.4797136841753</v>
      </c>
      <c r="G129" s="143">
        <f t="shared" si="16"/>
        <v>3826.3909103137344</v>
      </c>
      <c r="H129" s="143">
        <f t="shared" si="10"/>
        <v>1841.0888033704409</v>
      </c>
      <c r="I129" s="143">
        <f t="shared" si="11"/>
        <v>380798.002228003</v>
      </c>
      <c r="J129" s="4"/>
    </row>
    <row r="130" spans="1:10" x14ac:dyDescent="0.3">
      <c r="A130" s="141">
        <f t="shared" si="13"/>
        <v>69</v>
      </c>
      <c r="B130" s="142">
        <f t="shared" si="14"/>
        <v>46844</v>
      </c>
      <c r="C130" s="143">
        <f t="shared" si="15"/>
        <v>380798.002228003</v>
      </c>
      <c r="D130" s="143">
        <f t="shared" si="12"/>
        <v>5667.4797136841753</v>
      </c>
      <c r="E130" s="145"/>
      <c r="F130" s="143">
        <f t="shared" si="9"/>
        <v>5667.4797136841753</v>
      </c>
      <c r="G130" s="143">
        <f t="shared" si="16"/>
        <v>3807.98002228003</v>
      </c>
      <c r="H130" s="143">
        <f t="shared" si="10"/>
        <v>1859.4996914041453</v>
      </c>
      <c r="I130" s="143">
        <f t="shared" si="11"/>
        <v>378938.50253659883</v>
      </c>
      <c r="J130" s="4"/>
    </row>
    <row r="131" spans="1:10" x14ac:dyDescent="0.3">
      <c r="A131" s="141">
        <f t="shared" si="13"/>
        <v>70</v>
      </c>
      <c r="B131" s="142">
        <f t="shared" si="14"/>
        <v>46874</v>
      </c>
      <c r="C131" s="143">
        <f t="shared" si="15"/>
        <v>378938.50253659883</v>
      </c>
      <c r="D131" s="143">
        <f t="shared" si="12"/>
        <v>5667.4797136841753</v>
      </c>
      <c r="E131" s="145"/>
      <c r="F131" s="143">
        <f t="shared" si="9"/>
        <v>5667.4797136841753</v>
      </c>
      <c r="G131" s="143">
        <f t="shared" si="16"/>
        <v>3789.3850253659884</v>
      </c>
      <c r="H131" s="143">
        <f t="shared" si="10"/>
        <v>1878.0946883181869</v>
      </c>
      <c r="I131" s="143">
        <f t="shared" si="11"/>
        <v>377060.40784828062</v>
      </c>
      <c r="J131" s="4"/>
    </row>
    <row r="132" spans="1:10" x14ac:dyDescent="0.3">
      <c r="A132" s="141">
        <f t="shared" si="13"/>
        <v>71</v>
      </c>
      <c r="B132" s="142">
        <f t="shared" si="14"/>
        <v>46905</v>
      </c>
      <c r="C132" s="143">
        <f t="shared" si="15"/>
        <v>377060.40784828062</v>
      </c>
      <c r="D132" s="143">
        <f t="shared" si="12"/>
        <v>5667.4797136841753</v>
      </c>
      <c r="E132" s="145"/>
      <c r="F132" s="143">
        <f t="shared" si="9"/>
        <v>5667.4797136841753</v>
      </c>
      <c r="G132" s="143">
        <f t="shared" si="16"/>
        <v>3770.6040784828065</v>
      </c>
      <c r="H132" s="143">
        <f t="shared" si="10"/>
        <v>1896.8756352013688</v>
      </c>
      <c r="I132" s="143">
        <f t="shared" si="11"/>
        <v>375163.53221307928</v>
      </c>
      <c r="J132" s="4"/>
    </row>
    <row r="133" spans="1:10" x14ac:dyDescent="0.3">
      <c r="A133" s="141">
        <f t="shared" si="13"/>
        <v>72</v>
      </c>
      <c r="B133" s="142">
        <f t="shared" si="14"/>
        <v>46935</v>
      </c>
      <c r="C133" s="143">
        <f t="shared" si="15"/>
        <v>375163.53221307928</v>
      </c>
      <c r="D133" s="143">
        <f t="shared" si="12"/>
        <v>5667.4797136841753</v>
      </c>
      <c r="E133" s="145"/>
      <c r="F133" s="143">
        <f t="shared" si="9"/>
        <v>5667.4797136841753</v>
      </c>
      <c r="G133" s="143">
        <f t="shared" si="16"/>
        <v>3751.6353221307927</v>
      </c>
      <c r="H133" s="143">
        <f t="shared" si="10"/>
        <v>1915.8443915533826</v>
      </c>
      <c r="I133" s="143">
        <f t="shared" si="11"/>
        <v>373247.68782152591</v>
      </c>
      <c r="J133" s="4"/>
    </row>
    <row r="134" spans="1:10" x14ac:dyDescent="0.3">
      <c r="A134" s="141">
        <f t="shared" si="13"/>
        <v>73</v>
      </c>
      <c r="B134" s="142">
        <f t="shared" si="14"/>
        <v>46966</v>
      </c>
      <c r="C134" s="143">
        <f t="shared" si="15"/>
        <v>373247.68782152591</v>
      </c>
      <c r="D134" s="143">
        <f t="shared" si="12"/>
        <v>5667.4797136841753</v>
      </c>
      <c r="E134" s="145"/>
      <c r="F134" s="143">
        <f t="shared" si="9"/>
        <v>5667.4797136841753</v>
      </c>
      <c r="G134" s="143">
        <f t="shared" si="16"/>
        <v>3732.4768782152591</v>
      </c>
      <c r="H134" s="143">
        <f t="shared" si="10"/>
        <v>1935.0028354689161</v>
      </c>
      <c r="I134" s="143">
        <f t="shared" si="11"/>
        <v>371312.68498605699</v>
      </c>
      <c r="J134" s="4"/>
    </row>
    <row r="135" spans="1:10" x14ac:dyDescent="0.3">
      <c r="A135" s="141">
        <f t="shared" si="13"/>
        <v>74</v>
      </c>
      <c r="B135" s="142">
        <f t="shared" si="14"/>
        <v>46997</v>
      </c>
      <c r="C135" s="143">
        <f t="shared" si="15"/>
        <v>371312.68498605699</v>
      </c>
      <c r="D135" s="143">
        <f t="shared" si="12"/>
        <v>5667.4797136841753</v>
      </c>
      <c r="E135" s="145"/>
      <c r="F135" s="143">
        <f t="shared" si="9"/>
        <v>5667.4797136841753</v>
      </c>
      <c r="G135" s="143">
        <f t="shared" si="16"/>
        <v>3713.12684986057</v>
      </c>
      <c r="H135" s="143">
        <f t="shared" si="10"/>
        <v>1954.3528638236053</v>
      </c>
      <c r="I135" s="143">
        <f t="shared" si="11"/>
        <v>369358.33212223341</v>
      </c>
      <c r="J135" s="4"/>
    </row>
    <row r="136" spans="1:10" x14ac:dyDescent="0.3">
      <c r="A136" s="141">
        <f t="shared" si="13"/>
        <v>75</v>
      </c>
      <c r="B136" s="142">
        <f t="shared" si="14"/>
        <v>47027</v>
      </c>
      <c r="C136" s="143">
        <f t="shared" si="15"/>
        <v>369358.33212223341</v>
      </c>
      <c r="D136" s="143">
        <f t="shared" si="12"/>
        <v>5667.4797136841753</v>
      </c>
      <c r="E136" s="145"/>
      <c r="F136" s="143">
        <f t="shared" si="9"/>
        <v>5667.4797136841753</v>
      </c>
      <c r="G136" s="143">
        <f t="shared" si="16"/>
        <v>3693.5833212223342</v>
      </c>
      <c r="H136" s="143">
        <f t="shared" si="10"/>
        <v>1973.8963924618411</v>
      </c>
      <c r="I136" s="143">
        <f t="shared" si="11"/>
        <v>367384.43572977156</v>
      </c>
      <c r="J136" s="4"/>
    </row>
    <row r="137" spans="1:10" x14ac:dyDescent="0.3">
      <c r="A137" s="141">
        <f t="shared" si="13"/>
        <v>76</v>
      </c>
      <c r="B137" s="142">
        <f t="shared" si="14"/>
        <v>47058</v>
      </c>
      <c r="C137" s="143">
        <f t="shared" si="15"/>
        <v>367384.43572977156</v>
      </c>
      <c r="D137" s="143">
        <f t="shared" si="12"/>
        <v>5667.4797136841753</v>
      </c>
      <c r="E137" s="145"/>
      <c r="F137" s="143">
        <f t="shared" si="9"/>
        <v>5667.4797136841753</v>
      </c>
      <c r="G137" s="143">
        <f t="shared" si="16"/>
        <v>3673.8443572977158</v>
      </c>
      <c r="H137" s="143">
        <f t="shared" si="10"/>
        <v>1993.6353563864595</v>
      </c>
      <c r="I137" s="143">
        <f t="shared" si="11"/>
        <v>365390.80037338508</v>
      </c>
      <c r="J137" s="4"/>
    </row>
    <row r="138" spans="1:10" x14ac:dyDescent="0.3">
      <c r="A138" s="141">
        <f t="shared" si="13"/>
        <v>77</v>
      </c>
      <c r="B138" s="142">
        <f t="shared" si="14"/>
        <v>47088</v>
      </c>
      <c r="C138" s="143">
        <f t="shared" si="15"/>
        <v>365390.80037338508</v>
      </c>
      <c r="D138" s="143">
        <f t="shared" si="12"/>
        <v>5667.4797136841753</v>
      </c>
      <c r="E138" s="145"/>
      <c r="F138" s="143">
        <f t="shared" si="9"/>
        <v>5667.4797136841753</v>
      </c>
      <c r="G138" s="143">
        <f t="shared" si="16"/>
        <v>3653.9080037338508</v>
      </c>
      <c r="H138" s="143">
        <f t="shared" si="10"/>
        <v>2013.5717099503245</v>
      </c>
      <c r="I138" s="143">
        <f t="shared" si="11"/>
        <v>363377.22866343474</v>
      </c>
      <c r="J138" s="4"/>
    </row>
    <row r="139" spans="1:10" x14ac:dyDescent="0.3">
      <c r="A139" s="141">
        <f t="shared" si="13"/>
        <v>78</v>
      </c>
      <c r="B139" s="142">
        <f t="shared" si="14"/>
        <v>47119</v>
      </c>
      <c r="C139" s="143">
        <f t="shared" si="15"/>
        <v>363377.22866343474</v>
      </c>
      <c r="D139" s="143">
        <f t="shared" si="12"/>
        <v>5667.4797136841753</v>
      </c>
      <c r="E139" s="145"/>
      <c r="F139" s="143">
        <f t="shared" si="9"/>
        <v>5667.4797136841753</v>
      </c>
      <c r="G139" s="143">
        <f t="shared" si="16"/>
        <v>3633.7722866343474</v>
      </c>
      <c r="H139" s="143">
        <f t="shared" si="10"/>
        <v>2033.7074270498279</v>
      </c>
      <c r="I139" s="143">
        <f t="shared" si="11"/>
        <v>361343.52123638493</v>
      </c>
      <c r="J139" s="4"/>
    </row>
    <row r="140" spans="1:10" x14ac:dyDescent="0.3">
      <c r="A140" s="141">
        <f t="shared" si="13"/>
        <v>79</v>
      </c>
      <c r="B140" s="142">
        <f t="shared" si="14"/>
        <v>47150</v>
      </c>
      <c r="C140" s="143">
        <f t="shared" si="15"/>
        <v>361343.52123638493</v>
      </c>
      <c r="D140" s="143">
        <f t="shared" si="12"/>
        <v>5667.4797136841753</v>
      </c>
      <c r="E140" s="145"/>
      <c r="F140" s="143">
        <f t="shared" si="9"/>
        <v>5667.4797136841753</v>
      </c>
      <c r="G140" s="143">
        <f t="shared" si="16"/>
        <v>3613.4352123638491</v>
      </c>
      <c r="H140" s="143">
        <f t="shared" si="10"/>
        <v>2054.0445013203262</v>
      </c>
      <c r="I140" s="143">
        <f t="shared" si="11"/>
        <v>359289.47673506459</v>
      </c>
      <c r="J140" s="4"/>
    </row>
    <row r="141" spans="1:10" x14ac:dyDescent="0.3">
      <c r="A141" s="141">
        <f t="shared" si="13"/>
        <v>80</v>
      </c>
      <c r="B141" s="142">
        <f t="shared" si="14"/>
        <v>47178</v>
      </c>
      <c r="C141" s="143">
        <f t="shared" si="15"/>
        <v>359289.47673506459</v>
      </c>
      <c r="D141" s="143">
        <f t="shared" si="12"/>
        <v>5667.4797136841753</v>
      </c>
      <c r="E141" s="145"/>
      <c r="F141" s="143">
        <f t="shared" si="9"/>
        <v>5667.4797136841753</v>
      </c>
      <c r="G141" s="143">
        <f t="shared" si="16"/>
        <v>3592.8947673506459</v>
      </c>
      <c r="H141" s="143">
        <f t="shared" ref="H141:H172" si="17">D141-G141</f>
        <v>2074.5849463335294</v>
      </c>
      <c r="I141" s="143">
        <f t="shared" si="11"/>
        <v>357214.89178873104</v>
      </c>
      <c r="J141" s="4"/>
    </row>
    <row r="142" spans="1:10" x14ac:dyDescent="0.3">
      <c r="A142" s="141">
        <f t="shared" si="13"/>
        <v>81</v>
      </c>
      <c r="B142" s="142">
        <f t="shared" si="14"/>
        <v>47209</v>
      </c>
      <c r="C142" s="143">
        <f t="shared" si="15"/>
        <v>357214.89178873104</v>
      </c>
      <c r="D142" s="143">
        <f t="shared" si="12"/>
        <v>5667.4797136841753</v>
      </c>
      <c r="E142" s="145"/>
      <c r="F142" s="143">
        <f t="shared" si="9"/>
        <v>5667.4797136841753</v>
      </c>
      <c r="G142" s="143">
        <f t="shared" si="16"/>
        <v>3572.1489178873103</v>
      </c>
      <c r="H142" s="143">
        <f t="shared" si="17"/>
        <v>2095.330795796865</v>
      </c>
      <c r="I142" s="143">
        <f t="shared" si="11"/>
        <v>355119.56099293416</v>
      </c>
      <c r="J142" s="4"/>
    </row>
    <row r="143" spans="1:10" x14ac:dyDescent="0.3">
      <c r="A143" s="141">
        <f t="shared" si="13"/>
        <v>82</v>
      </c>
      <c r="B143" s="142">
        <f t="shared" si="14"/>
        <v>47239</v>
      </c>
      <c r="C143" s="143">
        <f t="shared" si="15"/>
        <v>355119.56099293416</v>
      </c>
      <c r="D143" s="143">
        <f t="shared" si="12"/>
        <v>5667.4797136841753</v>
      </c>
      <c r="E143" s="145"/>
      <c r="F143" s="143">
        <f t="shared" si="9"/>
        <v>5667.4797136841753</v>
      </c>
      <c r="G143" s="143">
        <f t="shared" si="16"/>
        <v>3551.1956099293416</v>
      </c>
      <c r="H143" s="143">
        <f t="shared" si="17"/>
        <v>2116.2841037548337</v>
      </c>
      <c r="I143" s="143">
        <f t="shared" si="11"/>
        <v>353003.27688917931</v>
      </c>
      <c r="J143" s="4"/>
    </row>
    <row r="144" spans="1:10" x14ac:dyDescent="0.3">
      <c r="A144" s="141">
        <f t="shared" si="13"/>
        <v>83</v>
      </c>
      <c r="B144" s="142">
        <f t="shared" si="14"/>
        <v>47270</v>
      </c>
      <c r="C144" s="143">
        <f t="shared" si="15"/>
        <v>353003.27688917931</v>
      </c>
      <c r="D144" s="143">
        <f t="shared" si="12"/>
        <v>5667.4797136841753</v>
      </c>
      <c r="E144" s="145"/>
      <c r="F144" s="143">
        <f t="shared" si="9"/>
        <v>5667.4797136841753</v>
      </c>
      <c r="G144" s="143">
        <f t="shared" si="16"/>
        <v>3530.0327688917932</v>
      </c>
      <c r="H144" s="143">
        <f t="shared" si="17"/>
        <v>2137.4469447923821</v>
      </c>
      <c r="I144" s="143">
        <f t="shared" si="11"/>
        <v>350865.8299443869</v>
      </c>
      <c r="J144" s="4"/>
    </row>
    <row r="145" spans="1:10" x14ac:dyDescent="0.3">
      <c r="A145" s="141">
        <f t="shared" si="13"/>
        <v>84</v>
      </c>
      <c r="B145" s="142">
        <f t="shared" si="14"/>
        <v>47300</v>
      </c>
      <c r="C145" s="143">
        <f t="shared" si="15"/>
        <v>350865.8299443869</v>
      </c>
      <c r="D145" s="143">
        <f t="shared" si="12"/>
        <v>5667.4797136841753</v>
      </c>
      <c r="E145" s="145"/>
      <c r="F145" s="143">
        <f t="shared" si="9"/>
        <v>5667.4797136841753</v>
      </c>
      <c r="G145" s="143">
        <f t="shared" si="16"/>
        <v>3508.6582994438691</v>
      </c>
      <c r="H145" s="143">
        <f t="shared" si="17"/>
        <v>2158.8214142403062</v>
      </c>
      <c r="I145" s="143">
        <f t="shared" si="11"/>
        <v>348707.00853014662</v>
      </c>
      <c r="J145" s="4"/>
    </row>
    <row r="146" spans="1:10" x14ac:dyDescent="0.3">
      <c r="A146" s="141">
        <f t="shared" si="13"/>
        <v>85</v>
      </c>
      <c r="B146" s="142">
        <f t="shared" si="14"/>
        <v>47331</v>
      </c>
      <c r="C146" s="143">
        <f t="shared" si="15"/>
        <v>348707.00853014662</v>
      </c>
      <c r="D146" s="143">
        <f t="shared" si="12"/>
        <v>5667.4797136841753</v>
      </c>
      <c r="E146" s="145"/>
      <c r="F146" s="143">
        <f t="shared" si="9"/>
        <v>5667.4797136841753</v>
      </c>
      <c r="G146" s="143">
        <f t="shared" si="16"/>
        <v>3487.0700853014664</v>
      </c>
      <c r="H146" s="143">
        <f t="shared" si="17"/>
        <v>2180.4096283827089</v>
      </c>
      <c r="I146" s="143">
        <f t="shared" si="11"/>
        <v>346526.59890176391</v>
      </c>
      <c r="J146" s="4"/>
    </row>
    <row r="147" spans="1:10" x14ac:dyDescent="0.3">
      <c r="A147" s="141">
        <f t="shared" si="13"/>
        <v>86</v>
      </c>
      <c r="B147" s="142">
        <f t="shared" si="14"/>
        <v>47362</v>
      </c>
      <c r="C147" s="143">
        <f t="shared" si="15"/>
        <v>346526.59890176391</v>
      </c>
      <c r="D147" s="143">
        <f t="shared" si="12"/>
        <v>5667.4797136841753</v>
      </c>
      <c r="E147" s="145"/>
      <c r="F147" s="143">
        <f t="shared" si="9"/>
        <v>5667.4797136841753</v>
      </c>
      <c r="G147" s="143">
        <f t="shared" si="16"/>
        <v>3465.2659890176392</v>
      </c>
      <c r="H147" s="143">
        <f t="shared" si="17"/>
        <v>2202.2137246665361</v>
      </c>
      <c r="I147" s="143">
        <f t="shared" si="11"/>
        <v>344324.3851770974</v>
      </c>
      <c r="J147" s="4"/>
    </row>
    <row r="148" spans="1:10" x14ac:dyDescent="0.3">
      <c r="A148" s="141">
        <f t="shared" si="13"/>
        <v>87</v>
      </c>
      <c r="B148" s="142">
        <f t="shared" si="14"/>
        <v>47392</v>
      </c>
      <c r="C148" s="143">
        <f t="shared" si="15"/>
        <v>344324.3851770974</v>
      </c>
      <c r="D148" s="143">
        <f t="shared" si="12"/>
        <v>5667.4797136841753</v>
      </c>
      <c r="E148" s="145"/>
      <c r="F148" s="143">
        <f t="shared" si="9"/>
        <v>5667.4797136841753</v>
      </c>
      <c r="G148" s="143">
        <f t="shared" si="16"/>
        <v>3443.2438517709743</v>
      </c>
      <c r="H148" s="143">
        <f t="shared" si="17"/>
        <v>2224.235861913201</v>
      </c>
      <c r="I148" s="143">
        <f t="shared" si="11"/>
        <v>342100.14931518422</v>
      </c>
      <c r="J148" s="4"/>
    </row>
    <row r="149" spans="1:10" x14ac:dyDescent="0.3">
      <c r="A149" s="141">
        <f t="shared" si="13"/>
        <v>88</v>
      </c>
      <c r="B149" s="142">
        <f t="shared" si="14"/>
        <v>47423</v>
      </c>
      <c r="C149" s="143">
        <f t="shared" si="15"/>
        <v>342100.14931518422</v>
      </c>
      <c r="D149" s="143">
        <f t="shared" si="12"/>
        <v>5667.4797136841753</v>
      </c>
      <c r="E149" s="145"/>
      <c r="F149" s="143">
        <f t="shared" si="9"/>
        <v>5667.4797136841753</v>
      </c>
      <c r="G149" s="143">
        <f t="shared" si="16"/>
        <v>3421.0014931518422</v>
      </c>
      <c r="H149" s="143">
        <f t="shared" si="17"/>
        <v>2246.4782205323331</v>
      </c>
      <c r="I149" s="143">
        <f t="shared" si="11"/>
        <v>339853.67109465186</v>
      </c>
      <c r="J149" s="4"/>
    </row>
    <row r="150" spans="1:10" x14ac:dyDescent="0.3">
      <c r="A150" s="141">
        <f t="shared" si="13"/>
        <v>89</v>
      </c>
      <c r="B150" s="142">
        <f t="shared" si="14"/>
        <v>47453</v>
      </c>
      <c r="C150" s="143">
        <f t="shared" si="15"/>
        <v>339853.67109465186</v>
      </c>
      <c r="D150" s="143">
        <f t="shared" si="12"/>
        <v>5667.4797136841753</v>
      </c>
      <c r="E150" s="145"/>
      <c r="F150" s="143">
        <f t="shared" si="9"/>
        <v>5667.4797136841753</v>
      </c>
      <c r="G150" s="143">
        <f t="shared" si="16"/>
        <v>3398.5367109465187</v>
      </c>
      <c r="H150" s="143">
        <f t="shared" si="17"/>
        <v>2268.9430027376566</v>
      </c>
      <c r="I150" s="143">
        <f t="shared" si="11"/>
        <v>337584.72809191421</v>
      </c>
      <c r="J150" s="4"/>
    </row>
    <row r="151" spans="1:10" x14ac:dyDescent="0.3">
      <c r="A151" s="141">
        <f t="shared" si="13"/>
        <v>90</v>
      </c>
      <c r="B151" s="142">
        <f t="shared" si="14"/>
        <v>47484</v>
      </c>
      <c r="C151" s="143">
        <f t="shared" si="15"/>
        <v>337584.72809191421</v>
      </c>
      <c r="D151" s="143">
        <f t="shared" si="12"/>
        <v>5667.4797136841753</v>
      </c>
      <c r="E151" s="145"/>
      <c r="F151" s="143">
        <f t="shared" si="9"/>
        <v>5667.4797136841753</v>
      </c>
      <c r="G151" s="143">
        <f t="shared" si="16"/>
        <v>3375.8472809191421</v>
      </c>
      <c r="H151" s="143">
        <f t="shared" si="17"/>
        <v>2291.6324327650332</v>
      </c>
      <c r="I151" s="143">
        <f t="shared" si="11"/>
        <v>335293.09565914917</v>
      </c>
      <c r="J151" s="4"/>
    </row>
    <row r="152" spans="1:10" x14ac:dyDescent="0.3">
      <c r="A152" s="141">
        <f t="shared" si="13"/>
        <v>91</v>
      </c>
      <c r="B152" s="142">
        <f t="shared" si="14"/>
        <v>47515</v>
      </c>
      <c r="C152" s="143">
        <f t="shared" si="15"/>
        <v>335293.09565914917</v>
      </c>
      <c r="D152" s="143">
        <f t="shared" si="12"/>
        <v>5667.4797136841753</v>
      </c>
      <c r="E152" s="145"/>
      <c r="F152" s="143">
        <f t="shared" si="9"/>
        <v>5667.4797136841753</v>
      </c>
      <c r="G152" s="143">
        <f t="shared" si="16"/>
        <v>3352.9309565914918</v>
      </c>
      <c r="H152" s="143">
        <f t="shared" si="17"/>
        <v>2314.5487570926834</v>
      </c>
      <c r="I152" s="143">
        <f t="shared" si="11"/>
        <v>332978.54690205649</v>
      </c>
      <c r="J152" s="4"/>
    </row>
    <row r="153" spans="1:10" x14ac:dyDescent="0.3">
      <c r="A153" s="141">
        <f t="shared" si="13"/>
        <v>92</v>
      </c>
      <c r="B153" s="142">
        <f t="shared" si="14"/>
        <v>47543</v>
      </c>
      <c r="C153" s="143">
        <f t="shared" si="15"/>
        <v>332978.54690205649</v>
      </c>
      <c r="D153" s="143">
        <f t="shared" si="12"/>
        <v>5667.4797136841753</v>
      </c>
      <c r="E153" s="145"/>
      <c r="F153" s="143">
        <f t="shared" si="9"/>
        <v>5667.4797136841753</v>
      </c>
      <c r="G153" s="143">
        <f t="shared" si="16"/>
        <v>3329.785469020565</v>
      </c>
      <c r="H153" s="143">
        <f t="shared" si="17"/>
        <v>2337.6942446636103</v>
      </c>
      <c r="I153" s="143">
        <f t="shared" si="11"/>
        <v>330640.85265739285</v>
      </c>
      <c r="J153" s="4"/>
    </row>
    <row r="154" spans="1:10" x14ac:dyDescent="0.3">
      <c r="A154" s="141">
        <f t="shared" si="13"/>
        <v>93</v>
      </c>
      <c r="B154" s="142">
        <f t="shared" si="14"/>
        <v>47574</v>
      </c>
      <c r="C154" s="143">
        <f t="shared" si="15"/>
        <v>330640.85265739285</v>
      </c>
      <c r="D154" s="143">
        <f t="shared" si="12"/>
        <v>5667.4797136841753</v>
      </c>
      <c r="E154" s="145"/>
      <c r="F154" s="143">
        <f t="shared" si="9"/>
        <v>5667.4797136841753</v>
      </c>
      <c r="G154" s="143">
        <f t="shared" si="16"/>
        <v>3306.4085265739286</v>
      </c>
      <c r="H154" s="143">
        <f t="shared" si="17"/>
        <v>2361.0711871102467</v>
      </c>
      <c r="I154" s="143">
        <f t="shared" si="11"/>
        <v>328279.78147028259</v>
      </c>
      <c r="J154" s="4"/>
    </row>
    <row r="155" spans="1:10" x14ac:dyDescent="0.3">
      <c r="A155" s="141">
        <f t="shared" si="13"/>
        <v>94</v>
      </c>
      <c r="B155" s="142">
        <f t="shared" si="14"/>
        <v>47604</v>
      </c>
      <c r="C155" s="143">
        <f t="shared" si="15"/>
        <v>328279.78147028259</v>
      </c>
      <c r="D155" s="143">
        <f t="shared" si="12"/>
        <v>5667.4797136841753</v>
      </c>
      <c r="E155" s="145"/>
      <c r="F155" s="143">
        <f t="shared" si="9"/>
        <v>5667.4797136841753</v>
      </c>
      <c r="G155" s="143">
        <f t="shared" si="16"/>
        <v>3282.7978147028261</v>
      </c>
      <c r="H155" s="143">
        <f t="shared" si="17"/>
        <v>2384.6818989813491</v>
      </c>
      <c r="I155" s="143">
        <f t="shared" si="11"/>
        <v>325895.09957130125</v>
      </c>
      <c r="J155" s="4"/>
    </row>
    <row r="156" spans="1:10" x14ac:dyDescent="0.3">
      <c r="A156" s="141">
        <f t="shared" si="13"/>
        <v>95</v>
      </c>
      <c r="B156" s="142">
        <f t="shared" si="14"/>
        <v>47635</v>
      </c>
      <c r="C156" s="143">
        <f t="shared" si="15"/>
        <v>325895.09957130125</v>
      </c>
      <c r="D156" s="143">
        <f t="shared" si="12"/>
        <v>5667.4797136841753</v>
      </c>
      <c r="E156" s="145"/>
      <c r="F156" s="143">
        <f t="shared" si="9"/>
        <v>5667.4797136841753</v>
      </c>
      <c r="G156" s="143">
        <f t="shared" si="16"/>
        <v>3258.9509957130126</v>
      </c>
      <c r="H156" s="143">
        <f t="shared" si="17"/>
        <v>2408.5287179711627</v>
      </c>
      <c r="I156" s="143">
        <f t="shared" si="11"/>
        <v>323486.57085333008</v>
      </c>
      <c r="J156" s="4"/>
    </row>
    <row r="157" spans="1:10" x14ac:dyDescent="0.3">
      <c r="A157" s="141">
        <f t="shared" si="13"/>
        <v>96</v>
      </c>
      <c r="B157" s="142">
        <f t="shared" si="14"/>
        <v>47665</v>
      </c>
      <c r="C157" s="143">
        <f t="shared" si="15"/>
        <v>323486.57085333008</v>
      </c>
      <c r="D157" s="143">
        <f t="shared" si="12"/>
        <v>5667.4797136841753</v>
      </c>
      <c r="E157" s="145"/>
      <c r="F157" s="143">
        <f t="shared" si="9"/>
        <v>5667.4797136841753</v>
      </c>
      <c r="G157" s="143">
        <f t="shared" si="16"/>
        <v>3234.8657085333007</v>
      </c>
      <c r="H157" s="143">
        <f t="shared" si="17"/>
        <v>2432.6140051508746</v>
      </c>
      <c r="I157" s="143">
        <f t="shared" si="11"/>
        <v>321053.95684817922</v>
      </c>
      <c r="J157" s="4"/>
    </row>
    <row r="158" spans="1:10" x14ac:dyDescent="0.3">
      <c r="A158" s="141">
        <f t="shared" si="13"/>
        <v>97</v>
      </c>
      <c r="B158" s="142">
        <f t="shared" si="14"/>
        <v>47696</v>
      </c>
      <c r="C158" s="143">
        <f t="shared" si="15"/>
        <v>321053.95684817922</v>
      </c>
      <c r="D158" s="143">
        <f t="shared" si="12"/>
        <v>5667.4797136841753</v>
      </c>
      <c r="E158" s="145"/>
      <c r="F158" s="143">
        <f t="shared" si="9"/>
        <v>5667.4797136841753</v>
      </c>
      <c r="G158" s="143">
        <f t="shared" si="16"/>
        <v>3210.5395684817922</v>
      </c>
      <c r="H158" s="143">
        <f t="shared" si="17"/>
        <v>2456.9401452023831</v>
      </c>
      <c r="I158" s="143">
        <f t="shared" si="11"/>
        <v>318597.01670297683</v>
      </c>
      <c r="J158" s="4"/>
    </row>
    <row r="159" spans="1:10" x14ac:dyDescent="0.3">
      <c r="A159" s="141">
        <f t="shared" si="13"/>
        <v>98</v>
      </c>
      <c r="B159" s="142">
        <f t="shared" si="14"/>
        <v>47727</v>
      </c>
      <c r="C159" s="143">
        <f t="shared" si="15"/>
        <v>318597.01670297683</v>
      </c>
      <c r="D159" s="143">
        <f t="shared" si="12"/>
        <v>5667.4797136841753</v>
      </c>
      <c r="E159" s="145"/>
      <c r="F159" s="143">
        <f t="shared" si="9"/>
        <v>5667.4797136841753</v>
      </c>
      <c r="G159" s="143">
        <f t="shared" si="16"/>
        <v>3185.9701670297686</v>
      </c>
      <c r="H159" s="143">
        <f t="shared" si="17"/>
        <v>2481.5095466544067</v>
      </c>
      <c r="I159" s="143">
        <f t="shared" si="11"/>
        <v>316115.50715632242</v>
      </c>
      <c r="J159" s="4"/>
    </row>
    <row r="160" spans="1:10" x14ac:dyDescent="0.3">
      <c r="A160" s="141">
        <f t="shared" si="13"/>
        <v>99</v>
      </c>
      <c r="B160" s="142">
        <f t="shared" si="14"/>
        <v>47757</v>
      </c>
      <c r="C160" s="143">
        <f t="shared" si="15"/>
        <v>316115.50715632242</v>
      </c>
      <c r="D160" s="143">
        <f t="shared" si="12"/>
        <v>5667.4797136841753</v>
      </c>
      <c r="E160" s="145"/>
      <c r="F160" s="143">
        <f t="shared" si="9"/>
        <v>5667.4797136841753</v>
      </c>
      <c r="G160" s="143">
        <f t="shared" si="16"/>
        <v>3161.1550715632243</v>
      </c>
      <c r="H160" s="143">
        <f t="shared" si="17"/>
        <v>2506.324642120951</v>
      </c>
      <c r="I160" s="143">
        <f t="shared" si="11"/>
        <v>313609.18251420144</v>
      </c>
      <c r="J160" s="4"/>
    </row>
    <row r="161" spans="1:10" x14ac:dyDescent="0.3">
      <c r="A161" s="141">
        <f t="shared" si="13"/>
        <v>100</v>
      </c>
      <c r="B161" s="142">
        <f t="shared" si="14"/>
        <v>47788</v>
      </c>
      <c r="C161" s="143">
        <f t="shared" si="15"/>
        <v>313609.18251420144</v>
      </c>
      <c r="D161" s="143">
        <f t="shared" si="12"/>
        <v>5667.4797136841753</v>
      </c>
      <c r="E161" s="145"/>
      <c r="F161" s="143">
        <f t="shared" si="9"/>
        <v>5667.4797136841753</v>
      </c>
      <c r="G161" s="143">
        <f t="shared" si="16"/>
        <v>3136.0918251420144</v>
      </c>
      <c r="H161" s="143">
        <f t="shared" si="17"/>
        <v>2531.3878885421609</v>
      </c>
      <c r="I161" s="143">
        <f t="shared" si="11"/>
        <v>311077.7946256593</v>
      </c>
      <c r="J161" s="4"/>
    </row>
    <row r="162" spans="1:10" x14ac:dyDescent="0.3">
      <c r="A162" s="141">
        <f t="shared" si="13"/>
        <v>101</v>
      </c>
      <c r="B162" s="142">
        <f t="shared" si="14"/>
        <v>47818</v>
      </c>
      <c r="C162" s="143">
        <f t="shared" si="15"/>
        <v>311077.7946256593</v>
      </c>
      <c r="D162" s="143">
        <f t="shared" si="12"/>
        <v>5667.4797136841753</v>
      </c>
      <c r="E162" s="145"/>
      <c r="F162" s="143">
        <f t="shared" si="9"/>
        <v>5667.4797136841753</v>
      </c>
      <c r="G162" s="143">
        <f t="shared" si="16"/>
        <v>3110.7779462565932</v>
      </c>
      <c r="H162" s="143">
        <f t="shared" si="17"/>
        <v>2556.7017674275821</v>
      </c>
      <c r="I162" s="143">
        <f t="shared" si="11"/>
        <v>308521.09285823174</v>
      </c>
      <c r="J162" s="4"/>
    </row>
    <row r="163" spans="1:10" x14ac:dyDescent="0.3">
      <c r="A163" s="141">
        <f t="shared" si="13"/>
        <v>102</v>
      </c>
      <c r="B163" s="142">
        <f t="shared" si="14"/>
        <v>47849</v>
      </c>
      <c r="C163" s="143">
        <f t="shared" si="15"/>
        <v>308521.09285823174</v>
      </c>
      <c r="D163" s="143">
        <f t="shared" si="12"/>
        <v>5667.4797136841753</v>
      </c>
      <c r="E163" s="145"/>
      <c r="F163" s="143">
        <f t="shared" si="9"/>
        <v>5667.4797136841753</v>
      </c>
      <c r="G163" s="143">
        <f t="shared" si="16"/>
        <v>3085.2109285823176</v>
      </c>
      <c r="H163" s="143">
        <f t="shared" si="17"/>
        <v>2582.2687851018577</v>
      </c>
      <c r="I163" s="143">
        <f t="shared" si="11"/>
        <v>305938.82407312986</v>
      </c>
      <c r="J163" s="4"/>
    </row>
    <row r="164" spans="1:10" x14ac:dyDescent="0.3">
      <c r="A164" s="141">
        <f t="shared" si="13"/>
        <v>103</v>
      </c>
      <c r="B164" s="142">
        <f t="shared" si="14"/>
        <v>47880</v>
      </c>
      <c r="C164" s="143">
        <f t="shared" si="15"/>
        <v>305938.82407312986</v>
      </c>
      <c r="D164" s="143">
        <f t="shared" si="12"/>
        <v>5667.4797136841753</v>
      </c>
      <c r="E164" s="145"/>
      <c r="F164" s="143">
        <f t="shared" si="9"/>
        <v>5667.4797136841753</v>
      </c>
      <c r="G164" s="143">
        <f t="shared" si="16"/>
        <v>3059.3882407312985</v>
      </c>
      <c r="H164" s="143">
        <f t="shared" si="17"/>
        <v>2608.0914729528768</v>
      </c>
      <c r="I164" s="143">
        <f t="shared" si="11"/>
        <v>303330.732600177</v>
      </c>
      <c r="J164" s="4"/>
    </row>
    <row r="165" spans="1:10" x14ac:dyDescent="0.3">
      <c r="A165" s="141">
        <f t="shared" si="13"/>
        <v>104</v>
      </c>
      <c r="B165" s="142">
        <f t="shared" si="14"/>
        <v>47908</v>
      </c>
      <c r="C165" s="143">
        <f t="shared" si="15"/>
        <v>303330.732600177</v>
      </c>
      <c r="D165" s="143">
        <f t="shared" si="12"/>
        <v>5667.4797136841753</v>
      </c>
      <c r="E165" s="145"/>
      <c r="F165" s="143">
        <f t="shared" si="9"/>
        <v>5667.4797136841753</v>
      </c>
      <c r="G165" s="143">
        <f t="shared" si="16"/>
        <v>3033.30732600177</v>
      </c>
      <c r="H165" s="143">
        <f t="shared" si="17"/>
        <v>2634.1723876824053</v>
      </c>
      <c r="I165" s="143">
        <f t="shared" si="11"/>
        <v>300696.56021249457</v>
      </c>
      <c r="J165" s="4"/>
    </row>
    <row r="166" spans="1:10" x14ac:dyDescent="0.3">
      <c r="A166" s="141">
        <f t="shared" si="13"/>
        <v>105</v>
      </c>
      <c r="B166" s="142">
        <f t="shared" si="14"/>
        <v>47939</v>
      </c>
      <c r="C166" s="143">
        <f t="shared" si="15"/>
        <v>300696.56021249457</v>
      </c>
      <c r="D166" s="143">
        <f t="shared" si="12"/>
        <v>5667.4797136841753</v>
      </c>
      <c r="E166" s="145"/>
      <c r="F166" s="143">
        <f t="shared" si="9"/>
        <v>5667.4797136841753</v>
      </c>
      <c r="G166" s="143">
        <f t="shared" si="16"/>
        <v>3006.9656021249457</v>
      </c>
      <c r="H166" s="143">
        <f t="shared" si="17"/>
        <v>2660.5141115592296</v>
      </c>
      <c r="I166" s="143">
        <f t="shared" si="11"/>
        <v>298036.04610093532</v>
      </c>
      <c r="J166" s="4"/>
    </row>
    <row r="167" spans="1:10" x14ac:dyDescent="0.3">
      <c r="A167" s="141">
        <f t="shared" si="13"/>
        <v>106</v>
      </c>
      <c r="B167" s="142">
        <f t="shared" si="14"/>
        <v>47969</v>
      </c>
      <c r="C167" s="143">
        <f t="shared" si="15"/>
        <v>298036.04610093532</v>
      </c>
      <c r="D167" s="143">
        <f t="shared" si="12"/>
        <v>5667.4797136841753</v>
      </c>
      <c r="E167" s="145"/>
      <c r="F167" s="143">
        <f t="shared" si="9"/>
        <v>5667.4797136841753</v>
      </c>
      <c r="G167" s="143">
        <f t="shared" si="16"/>
        <v>2980.360461009353</v>
      </c>
      <c r="H167" s="143">
        <f t="shared" si="17"/>
        <v>2687.1192526748223</v>
      </c>
      <c r="I167" s="143">
        <f t="shared" si="11"/>
        <v>295348.92684826051</v>
      </c>
      <c r="J167" s="4"/>
    </row>
    <row r="168" spans="1:10" x14ac:dyDescent="0.3">
      <c r="A168" s="141">
        <f t="shared" si="13"/>
        <v>107</v>
      </c>
      <c r="B168" s="142">
        <f t="shared" si="14"/>
        <v>48000</v>
      </c>
      <c r="C168" s="143">
        <f t="shared" si="15"/>
        <v>295348.92684826051</v>
      </c>
      <c r="D168" s="143">
        <f t="shared" si="12"/>
        <v>5667.4797136841753</v>
      </c>
      <c r="E168" s="145"/>
      <c r="F168" s="143">
        <f t="shared" si="9"/>
        <v>5667.4797136841753</v>
      </c>
      <c r="G168" s="143">
        <f t="shared" si="16"/>
        <v>2953.489268482605</v>
      </c>
      <c r="H168" s="143">
        <f t="shared" si="17"/>
        <v>2713.9904452015703</v>
      </c>
      <c r="I168" s="143">
        <f t="shared" si="11"/>
        <v>292634.93640305893</v>
      </c>
      <c r="J168" s="4"/>
    </row>
    <row r="169" spans="1:10" x14ac:dyDescent="0.3">
      <c r="A169" s="141">
        <f t="shared" si="13"/>
        <v>108</v>
      </c>
      <c r="B169" s="142">
        <f t="shared" si="14"/>
        <v>48030</v>
      </c>
      <c r="C169" s="143">
        <f t="shared" si="15"/>
        <v>292634.93640305893</v>
      </c>
      <c r="D169" s="143">
        <f t="shared" si="12"/>
        <v>5667.4797136841753</v>
      </c>
      <c r="E169" s="145"/>
      <c r="F169" s="143">
        <f t="shared" si="9"/>
        <v>5667.4797136841753</v>
      </c>
      <c r="G169" s="143">
        <f t="shared" si="16"/>
        <v>2926.3493640305892</v>
      </c>
      <c r="H169" s="143">
        <f t="shared" si="17"/>
        <v>2741.1303496535861</v>
      </c>
      <c r="I169" s="143">
        <f t="shared" si="11"/>
        <v>289893.80605340534</v>
      </c>
      <c r="J169" s="4"/>
    </row>
    <row r="170" spans="1:10" x14ac:dyDescent="0.3">
      <c r="A170" s="141">
        <f t="shared" si="13"/>
        <v>109</v>
      </c>
      <c r="B170" s="142">
        <f t="shared" si="14"/>
        <v>48061</v>
      </c>
      <c r="C170" s="143">
        <f t="shared" si="15"/>
        <v>289893.80605340534</v>
      </c>
      <c r="D170" s="143">
        <f t="shared" si="12"/>
        <v>5667.4797136841753</v>
      </c>
      <c r="E170" s="145"/>
      <c r="F170" s="143">
        <f t="shared" si="9"/>
        <v>5667.4797136841753</v>
      </c>
      <c r="G170" s="143">
        <f t="shared" si="16"/>
        <v>2898.9380605340534</v>
      </c>
      <c r="H170" s="143">
        <f t="shared" si="17"/>
        <v>2768.5416531501219</v>
      </c>
      <c r="I170" s="143">
        <f t="shared" si="11"/>
        <v>287125.26440025523</v>
      </c>
      <c r="J170" s="4"/>
    </row>
    <row r="171" spans="1:10" x14ac:dyDescent="0.3">
      <c r="A171" s="141">
        <f t="shared" si="13"/>
        <v>110</v>
      </c>
      <c r="B171" s="142">
        <f t="shared" si="14"/>
        <v>48092</v>
      </c>
      <c r="C171" s="143">
        <f t="shared" si="15"/>
        <v>287125.26440025523</v>
      </c>
      <c r="D171" s="143">
        <f t="shared" si="12"/>
        <v>5667.4797136841753</v>
      </c>
      <c r="E171" s="145"/>
      <c r="F171" s="143">
        <f t="shared" si="9"/>
        <v>5667.4797136841753</v>
      </c>
      <c r="G171" s="143">
        <f t="shared" si="16"/>
        <v>2871.2526440025522</v>
      </c>
      <c r="H171" s="143">
        <f t="shared" si="17"/>
        <v>2796.2270696816231</v>
      </c>
      <c r="I171" s="143">
        <f t="shared" si="11"/>
        <v>284329.0373305736</v>
      </c>
      <c r="J171" s="4"/>
    </row>
    <row r="172" spans="1:10" x14ac:dyDescent="0.3">
      <c r="A172" s="141">
        <f t="shared" si="13"/>
        <v>111</v>
      </c>
      <c r="B172" s="142">
        <f t="shared" si="14"/>
        <v>48122</v>
      </c>
      <c r="C172" s="143">
        <f t="shared" si="15"/>
        <v>284329.0373305736</v>
      </c>
      <c r="D172" s="143">
        <f t="shared" si="12"/>
        <v>5667.4797136841753</v>
      </c>
      <c r="E172" s="145"/>
      <c r="F172" s="143">
        <f t="shared" si="9"/>
        <v>5667.4797136841753</v>
      </c>
      <c r="G172" s="143">
        <f t="shared" si="16"/>
        <v>2843.290373305736</v>
      </c>
      <c r="H172" s="143">
        <f t="shared" si="17"/>
        <v>2824.1893403784393</v>
      </c>
      <c r="I172" s="143">
        <f t="shared" si="11"/>
        <v>281504.84799019515</v>
      </c>
      <c r="J172" s="4"/>
    </row>
    <row r="173" spans="1:10" x14ac:dyDescent="0.3">
      <c r="A173" s="141">
        <f t="shared" si="13"/>
        <v>112</v>
      </c>
      <c r="B173" s="142">
        <f t="shared" si="14"/>
        <v>48153</v>
      </c>
      <c r="C173" s="143">
        <f t="shared" si="15"/>
        <v>281504.84799019515</v>
      </c>
      <c r="D173" s="143">
        <f t="shared" si="12"/>
        <v>5667.4797136841753</v>
      </c>
      <c r="E173" s="145"/>
      <c r="F173" s="143">
        <f t="shared" si="9"/>
        <v>5667.4797136841753</v>
      </c>
      <c r="G173" s="143">
        <f t="shared" si="16"/>
        <v>2815.0484799019514</v>
      </c>
      <c r="H173" s="143">
        <f t="shared" ref="H173:H181" si="18">D173-G173</f>
        <v>2852.4312337822239</v>
      </c>
      <c r="I173" s="143">
        <f t="shared" si="11"/>
        <v>278652.41675641295</v>
      </c>
      <c r="J173" s="4"/>
    </row>
    <row r="174" spans="1:10" x14ac:dyDescent="0.3">
      <c r="A174" s="141">
        <f t="shared" si="13"/>
        <v>113</v>
      </c>
      <c r="B174" s="142">
        <f t="shared" si="14"/>
        <v>48183</v>
      </c>
      <c r="C174" s="143">
        <f t="shared" si="15"/>
        <v>278652.41675641295</v>
      </c>
      <c r="D174" s="143">
        <f t="shared" ref="D174:D181" si="19">IF(A174&lt;121,(-PMT($D$105,$D$102,$D$101)))</f>
        <v>5667.4797136841753</v>
      </c>
      <c r="E174" s="145"/>
      <c r="F174" s="143">
        <f t="shared" ref="F174:F181" si="20">SUM(D174:E174)</f>
        <v>5667.4797136841753</v>
      </c>
      <c r="G174" s="143">
        <f t="shared" ref="G174:G181" si="21">IF(A174&gt;48,(C174*$D$105),0)</f>
        <v>2786.5241675641296</v>
      </c>
      <c r="H174" s="143">
        <f t="shared" si="18"/>
        <v>2880.9555461200457</v>
      </c>
      <c r="I174" s="143">
        <f t="shared" ref="I174:I181" si="22">C174-H174</f>
        <v>275771.46121029288</v>
      </c>
      <c r="J174" s="4"/>
    </row>
    <row r="175" spans="1:10" x14ac:dyDescent="0.3">
      <c r="A175" s="141">
        <f t="shared" ref="A175:A181" si="23">IF(A174&lt;120,A174+1,"")</f>
        <v>114</v>
      </c>
      <c r="B175" s="142">
        <f t="shared" ref="B175:B181" si="24">IF(A174&lt;120,DATE(YEAR(B174),MONTH(B174)+1,DAY(B174)),"")</f>
        <v>48214</v>
      </c>
      <c r="C175" s="143">
        <f t="shared" ref="C175:C181" si="25">IF(A175&lt;=120,I174)</f>
        <v>275771.46121029288</v>
      </c>
      <c r="D175" s="143">
        <f t="shared" si="19"/>
        <v>5667.4797136841753</v>
      </c>
      <c r="E175" s="145"/>
      <c r="F175" s="143">
        <f t="shared" si="20"/>
        <v>5667.4797136841753</v>
      </c>
      <c r="G175" s="143">
        <f t="shared" si="21"/>
        <v>2757.7146121029286</v>
      </c>
      <c r="H175" s="143">
        <f t="shared" si="18"/>
        <v>2909.7651015812467</v>
      </c>
      <c r="I175" s="143">
        <f t="shared" si="22"/>
        <v>272861.69610871165</v>
      </c>
      <c r="J175" s="4"/>
    </row>
    <row r="176" spans="1:10" x14ac:dyDescent="0.3">
      <c r="A176" s="141">
        <f t="shared" si="23"/>
        <v>115</v>
      </c>
      <c r="B176" s="142">
        <f t="shared" si="24"/>
        <v>48245</v>
      </c>
      <c r="C176" s="143">
        <f t="shared" si="25"/>
        <v>272861.69610871165</v>
      </c>
      <c r="D176" s="143">
        <f t="shared" si="19"/>
        <v>5667.4797136841753</v>
      </c>
      <c r="E176" s="145"/>
      <c r="F176" s="143">
        <f t="shared" si="20"/>
        <v>5667.4797136841753</v>
      </c>
      <c r="G176" s="143">
        <f t="shared" si="21"/>
        <v>2728.6169610871166</v>
      </c>
      <c r="H176" s="143">
        <f t="shared" si="18"/>
        <v>2938.8627525970587</v>
      </c>
      <c r="I176" s="143">
        <f t="shared" si="22"/>
        <v>269922.83335611457</v>
      </c>
      <c r="J176" s="4"/>
    </row>
    <row r="177" spans="1:10" x14ac:dyDescent="0.3">
      <c r="A177" s="141">
        <f t="shared" si="23"/>
        <v>116</v>
      </c>
      <c r="B177" s="142">
        <f t="shared" si="24"/>
        <v>48274</v>
      </c>
      <c r="C177" s="143">
        <f t="shared" si="25"/>
        <v>269922.83335611457</v>
      </c>
      <c r="D177" s="143">
        <f t="shared" si="19"/>
        <v>5667.4797136841753</v>
      </c>
      <c r="E177" s="145"/>
      <c r="F177" s="143">
        <f t="shared" si="20"/>
        <v>5667.4797136841753</v>
      </c>
      <c r="G177" s="143">
        <f t="shared" si="21"/>
        <v>2699.228333561146</v>
      </c>
      <c r="H177" s="143">
        <f t="shared" si="18"/>
        <v>2968.2513801230293</v>
      </c>
      <c r="I177" s="143">
        <f t="shared" si="22"/>
        <v>266954.58197599155</v>
      </c>
      <c r="J177" s="4"/>
    </row>
    <row r="178" spans="1:10" x14ac:dyDescent="0.3">
      <c r="A178" s="141">
        <f t="shared" si="23"/>
        <v>117</v>
      </c>
      <c r="B178" s="142">
        <f t="shared" si="24"/>
        <v>48305</v>
      </c>
      <c r="C178" s="143">
        <f t="shared" si="25"/>
        <v>266954.58197599155</v>
      </c>
      <c r="D178" s="143">
        <f t="shared" si="19"/>
        <v>5667.4797136841753</v>
      </c>
      <c r="E178" s="145"/>
      <c r="F178" s="143">
        <f t="shared" si="20"/>
        <v>5667.4797136841753</v>
      </c>
      <c r="G178" s="143">
        <f t="shared" si="21"/>
        <v>2669.5458197599155</v>
      </c>
      <c r="H178" s="143">
        <f t="shared" si="18"/>
        <v>2997.9338939242598</v>
      </c>
      <c r="I178" s="143">
        <f t="shared" si="22"/>
        <v>263956.64808206726</v>
      </c>
      <c r="J178" s="4"/>
    </row>
    <row r="179" spans="1:10" x14ac:dyDescent="0.3">
      <c r="A179" s="141">
        <f t="shared" si="23"/>
        <v>118</v>
      </c>
      <c r="B179" s="142">
        <f t="shared" si="24"/>
        <v>48335</v>
      </c>
      <c r="C179" s="143">
        <f t="shared" si="25"/>
        <v>263956.64808206726</v>
      </c>
      <c r="D179" s="143">
        <f t="shared" si="19"/>
        <v>5667.4797136841753</v>
      </c>
      <c r="E179" s="145"/>
      <c r="F179" s="143">
        <f t="shared" si="20"/>
        <v>5667.4797136841753</v>
      </c>
      <c r="G179" s="143">
        <f t="shared" si="21"/>
        <v>2639.5664808206725</v>
      </c>
      <c r="H179" s="143">
        <f t="shared" si="18"/>
        <v>3027.9132328635028</v>
      </c>
      <c r="I179" s="143">
        <f t="shared" si="22"/>
        <v>260928.73484920376</v>
      </c>
      <c r="J179" s="4"/>
    </row>
    <row r="180" spans="1:10" x14ac:dyDescent="0.3">
      <c r="A180" s="141">
        <f t="shared" si="23"/>
        <v>119</v>
      </c>
      <c r="B180" s="142">
        <f t="shared" si="24"/>
        <v>48366</v>
      </c>
      <c r="C180" s="143">
        <f t="shared" si="25"/>
        <v>260928.73484920376</v>
      </c>
      <c r="D180" s="143">
        <f t="shared" si="19"/>
        <v>5667.4797136841753</v>
      </c>
      <c r="E180" s="145"/>
      <c r="F180" s="143">
        <f t="shared" si="20"/>
        <v>5667.4797136841753</v>
      </c>
      <c r="G180" s="143">
        <f t="shared" si="21"/>
        <v>2609.2873484920378</v>
      </c>
      <c r="H180" s="143">
        <f t="shared" si="18"/>
        <v>3058.1923651921375</v>
      </c>
      <c r="I180" s="143">
        <f t="shared" si="22"/>
        <v>257870.54248401162</v>
      </c>
      <c r="J180" s="4"/>
    </row>
    <row r="181" spans="1:10" x14ac:dyDescent="0.3">
      <c r="A181" s="141">
        <f t="shared" si="23"/>
        <v>120</v>
      </c>
      <c r="B181" s="142">
        <f t="shared" si="24"/>
        <v>48396</v>
      </c>
      <c r="C181" s="143">
        <f t="shared" si="25"/>
        <v>257870.54248401162</v>
      </c>
      <c r="D181" s="143">
        <f t="shared" si="19"/>
        <v>5667.4797136841753</v>
      </c>
      <c r="E181" s="145"/>
      <c r="F181" s="143">
        <f t="shared" si="20"/>
        <v>5667.4797136841753</v>
      </c>
      <c r="G181" s="143">
        <f t="shared" si="21"/>
        <v>2578.7054248401164</v>
      </c>
      <c r="H181" s="143">
        <f t="shared" si="18"/>
        <v>3088.7742888440589</v>
      </c>
      <c r="I181" s="143">
        <f t="shared" si="22"/>
        <v>254781.76819516756</v>
      </c>
      <c r="J181" s="4"/>
    </row>
    <row r="182" spans="1:10" hidden="1" x14ac:dyDescent="0.3">
      <c r="A182" s="129">
        <f>D40+D104</f>
        <v>120</v>
      </c>
      <c r="B182" s="128">
        <f>VLOOKUP(Tabla12111735918[[#Totals],[PERIODO]],Tabla12111735918[[#Headers],[#Data]],2)</f>
        <v>48396</v>
      </c>
      <c r="C182" s="33"/>
      <c r="D182" s="34"/>
      <c r="E182" s="68">
        <f>SUM(E109:E181)</f>
        <v>0</v>
      </c>
      <c r="F182" s="34"/>
      <c r="G182" s="33"/>
      <c r="H182" s="34">
        <f>SUBTOTAL(109,Tabla12111735918[ABONO A CAPITAL])</f>
        <v>159571.93420483233</v>
      </c>
      <c r="I182" s="34">
        <f>VLOOKUP(Tabla12111735918[[#Totals],[PERIODO]],Tabla12111735918[[#Headers],[#Data]],9)</f>
        <v>254781.76819516756</v>
      </c>
      <c r="J182" s="4"/>
    </row>
    <row r="183" spans="1:10" hidden="1" x14ac:dyDescent="0.3">
      <c r="A183" s="132"/>
      <c r="B183" s="134"/>
      <c r="C183" s="120"/>
      <c r="D183" s="50"/>
      <c r="E183" s="121"/>
      <c r="F183" s="50"/>
      <c r="G183" s="120"/>
      <c r="H183" s="50"/>
      <c r="I183" s="50"/>
      <c r="J183" s="4"/>
    </row>
    <row r="184" spans="1:10" hidden="1" x14ac:dyDescent="0.3">
      <c r="A184" s="132"/>
      <c r="B184" s="134"/>
      <c r="C184" s="120"/>
      <c r="D184" s="50"/>
      <c r="E184" s="121"/>
      <c r="F184" s="50"/>
      <c r="G184" s="120"/>
      <c r="H184" s="50"/>
      <c r="I184" s="50"/>
      <c r="J184" s="4"/>
    </row>
    <row r="185" spans="1:10" hidden="1" x14ac:dyDescent="0.3">
      <c r="A185" s="35"/>
      <c r="B185" s="35"/>
      <c r="C185" s="35"/>
      <c r="D185" s="38"/>
      <c r="E185" s="69"/>
      <c r="F185" s="35"/>
      <c r="G185" s="35"/>
      <c r="H185" s="35"/>
      <c r="I185" s="35"/>
      <c r="J185" s="4"/>
    </row>
    <row r="186" spans="1:10" hidden="1" x14ac:dyDescent="0.3">
      <c r="A186" s="89"/>
      <c r="B186" s="89"/>
      <c r="C186" s="89"/>
      <c r="D186" s="137"/>
      <c r="E186" s="138"/>
      <c r="F186" s="89"/>
      <c r="G186" s="89"/>
      <c r="H186" s="89"/>
      <c r="I186" s="89"/>
      <c r="J186" s="4"/>
    </row>
    <row r="187" spans="1:10" ht="20.25" x14ac:dyDescent="0.3">
      <c r="A187" s="136" t="s">
        <v>221</v>
      </c>
      <c r="B187" s="89"/>
      <c r="C187" s="89"/>
      <c r="D187" s="137"/>
      <c r="E187" s="138"/>
      <c r="F187" s="89"/>
      <c r="G187" s="89"/>
      <c r="H187" s="89"/>
      <c r="I187" s="89"/>
      <c r="J187" s="4"/>
    </row>
    <row r="188" spans="1:10" hidden="1" x14ac:dyDescent="0.3">
      <c r="A188" s="35"/>
      <c r="B188" s="35"/>
      <c r="C188" s="11" t="s">
        <v>16</v>
      </c>
      <c r="D188" s="79">
        <f>$H$182</f>
        <v>159571.93420483233</v>
      </c>
      <c r="E188" s="69"/>
      <c r="F188" s="35"/>
      <c r="G188" s="35"/>
      <c r="H188" s="35"/>
      <c r="I188" s="35"/>
      <c r="J188" s="4"/>
    </row>
    <row r="189" spans="1:10" hidden="1" x14ac:dyDescent="0.3">
      <c r="A189" s="35"/>
      <c r="B189" s="35"/>
      <c r="C189" s="36" t="s">
        <v>20</v>
      </c>
      <c r="D189" s="81">
        <f>$D$101-$D$188</f>
        <v>254781.76819516762</v>
      </c>
      <c r="E189" s="69"/>
      <c r="F189" s="35"/>
      <c r="G189" s="35"/>
      <c r="H189" s="35"/>
      <c r="I189" s="35"/>
      <c r="J189" s="4"/>
    </row>
    <row r="190" spans="1:10" hidden="1" x14ac:dyDescent="0.3">
      <c r="A190" s="35"/>
      <c r="B190" s="35"/>
      <c r="C190" s="11" t="s">
        <v>21</v>
      </c>
      <c r="D190" s="127">
        <f>$D$102-$D$104</f>
        <v>60</v>
      </c>
      <c r="E190" s="69"/>
      <c r="F190" s="35"/>
      <c r="G190" s="35"/>
      <c r="H190" s="35"/>
      <c r="I190" s="35"/>
      <c r="J190" s="4"/>
    </row>
    <row r="191" spans="1:10" hidden="1" x14ac:dyDescent="0.3">
      <c r="A191" s="35"/>
      <c r="B191" s="35"/>
      <c r="C191" s="11" t="s">
        <v>22</v>
      </c>
      <c r="D191" s="127">
        <f>$D$190/12</f>
        <v>5</v>
      </c>
      <c r="E191" s="69"/>
      <c r="F191" s="35"/>
      <c r="G191" s="35"/>
      <c r="H191" s="35"/>
      <c r="I191" s="35"/>
      <c r="J191" s="4"/>
    </row>
    <row r="192" spans="1:10" hidden="1" x14ac:dyDescent="0.3">
      <c r="A192" s="35"/>
      <c r="B192" s="35"/>
      <c r="C192" s="18" t="s">
        <v>26</v>
      </c>
      <c r="D192" s="82">
        <f>$D$21</f>
        <v>60</v>
      </c>
      <c r="E192" s="69"/>
      <c r="F192" s="35"/>
      <c r="G192" s="35"/>
      <c r="H192" s="35"/>
      <c r="I192" s="35"/>
      <c r="J192" s="4"/>
    </row>
    <row r="193" spans="1:10" hidden="1" x14ac:dyDescent="0.3">
      <c r="A193" s="35"/>
      <c r="B193" s="35"/>
      <c r="C193" s="11" t="s">
        <v>9</v>
      </c>
      <c r="D193" s="118">
        <f>$E$21</f>
        <v>1.2500000000000001E-2</v>
      </c>
      <c r="E193" s="69"/>
      <c r="F193" s="35"/>
      <c r="G193" s="35"/>
      <c r="H193" s="35"/>
      <c r="I193" s="35"/>
      <c r="J193" s="4"/>
    </row>
    <row r="194" spans="1:10" hidden="1" x14ac:dyDescent="0.3">
      <c r="A194" s="35"/>
      <c r="B194" s="35"/>
      <c r="C194" s="11" t="s">
        <v>24</v>
      </c>
      <c r="D194" s="37">
        <f>-PMT(D193,D190,D189)</f>
        <v>6061.2404526418959</v>
      </c>
      <c r="E194" s="70"/>
      <c r="F194" s="38"/>
      <c r="G194" s="35"/>
      <c r="H194" s="35"/>
      <c r="I194" s="35"/>
      <c r="J194" s="4"/>
    </row>
    <row r="195" spans="1:10" hidden="1" x14ac:dyDescent="0.3">
      <c r="A195" s="35"/>
      <c r="B195" s="35"/>
      <c r="C195" s="35"/>
      <c r="D195" s="37">
        <f>D194*D192</f>
        <v>363674.42715851375</v>
      </c>
      <c r="E195" s="71"/>
      <c r="F195" s="35"/>
      <c r="G195" s="35"/>
      <c r="H195" s="35"/>
      <c r="I195" s="38"/>
      <c r="J195" s="4"/>
    </row>
    <row r="196" spans="1:10" x14ac:dyDescent="0.3">
      <c r="A196" s="39" t="s">
        <v>11</v>
      </c>
      <c r="B196" s="40" t="s">
        <v>12</v>
      </c>
      <c r="C196" s="41" t="s">
        <v>13</v>
      </c>
      <c r="D196" s="42" t="s">
        <v>25</v>
      </c>
      <c r="E196" s="72" t="s">
        <v>15</v>
      </c>
      <c r="F196" s="41" t="s">
        <v>16</v>
      </c>
      <c r="G196" s="41" t="s">
        <v>17</v>
      </c>
      <c r="H196" s="41" t="s">
        <v>18</v>
      </c>
      <c r="I196" s="42" t="s">
        <v>19</v>
      </c>
      <c r="J196" s="4"/>
    </row>
    <row r="197" spans="1:10" hidden="1" x14ac:dyDescent="0.3">
      <c r="A197" s="23">
        <v>120</v>
      </c>
      <c r="B197" s="128">
        <f>Tabla12111735918[[#Totals],[FECHA]]</f>
        <v>48396</v>
      </c>
      <c r="C197" s="117">
        <f>D189</f>
        <v>254781.76819516762</v>
      </c>
      <c r="D197" s="26"/>
      <c r="E197" s="63">
        <f>Tabla12111735918[[#Totals],[ABONOS]]</f>
        <v>0</v>
      </c>
      <c r="F197" s="26">
        <f t="shared" ref="F197:F257" si="26">SUM(D197:E197)</f>
        <v>0</v>
      </c>
      <c r="G197" s="24"/>
      <c r="H197" s="26">
        <f t="shared" ref="H197:H257" si="27">F197-G197</f>
        <v>0</v>
      </c>
      <c r="I197" s="26">
        <f t="shared" ref="I197:I257" si="28">C197-H197</f>
        <v>254781.76819516762</v>
      </c>
      <c r="J197" s="4"/>
    </row>
    <row r="198" spans="1:10" x14ac:dyDescent="0.3">
      <c r="A198" s="141">
        <f>IF(A197&lt;$D$38,A197+1,"")</f>
        <v>121</v>
      </c>
      <c r="B198" s="142">
        <f>IF(A198&lt;=$E$18,DATE(YEAR(B197),MONTH(B197)+1,DAY(B197)),"")</f>
        <v>48427</v>
      </c>
      <c r="C198" s="143">
        <f>IF(I197&gt;120,I197,0)</f>
        <v>254781.76819516762</v>
      </c>
      <c r="D198" s="143">
        <f t="shared" ref="D198:D228" si="29">IF(C198&gt;0,(-PMT($D$193,$D$190,$D$189)))</f>
        <v>6061.2404526418959</v>
      </c>
      <c r="E198" s="145"/>
      <c r="F198" s="143">
        <f t="shared" si="26"/>
        <v>6061.2404526418959</v>
      </c>
      <c r="G198" s="143">
        <f t="shared" ref="G198:G257" si="30">IF(A198&gt;=121,(C198*$D$193),0)</f>
        <v>3184.7721024395955</v>
      </c>
      <c r="H198" s="143">
        <f t="shared" si="27"/>
        <v>2876.4683502023004</v>
      </c>
      <c r="I198" s="143">
        <f t="shared" si="28"/>
        <v>251905.29984496531</v>
      </c>
      <c r="J198" s="4"/>
    </row>
    <row r="199" spans="1:10" x14ac:dyDescent="0.3">
      <c r="A199" s="141">
        <f t="shared" ref="A199:A257" si="31">IF(A198&lt;$D$38,A198+1,"")</f>
        <v>122</v>
      </c>
      <c r="B199" s="142">
        <f t="shared" ref="B199:B257" si="32">IF(A199&lt;=$E$18,DATE(YEAR(B198),MONTH(B198)+1,DAY(B198)),"")</f>
        <v>48458</v>
      </c>
      <c r="C199" s="143">
        <f t="shared" ref="C199:C257" si="33">IF(I198&gt;120,I198,0)</f>
        <v>251905.29984496531</v>
      </c>
      <c r="D199" s="143">
        <f t="shared" si="29"/>
        <v>6061.2404526418959</v>
      </c>
      <c r="E199" s="145"/>
      <c r="F199" s="143">
        <f t="shared" si="26"/>
        <v>6061.2404526418959</v>
      </c>
      <c r="G199" s="143">
        <f t="shared" si="30"/>
        <v>3148.8162480620667</v>
      </c>
      <c r="H199" s="143">
        <f t="shared" si="27"/>
        <v>2912.4242045798292</v>
      </c>
      <c r="I199" s="143">
        <f t="shared" si="28"/>
        <v>248992.87564038549</v>
      </c>
      <c r="J199" s="4"/>
    </row>
    <row r="200" spans="1:10" x14ac:dyDescent="0.3">
      <c r="A200" s="141">
        <f t="shared" si="31"/>
        <v>123</v>
      </c>
      <c r="B200" s="142">
        <f t="shared" si="32"/>
        <v>48488</v>
      </c>
      <c r="C200" s="143">
        <f t="shared" si="33"/>
        <v>248992.87564038549</v>
      </c>
      <c r="D200" s="143">
        <f t="shared" si="29"/>
        <v>6061.2404526418959</v>
      </c>
      <c r="E200" s="145"/>
      <c r="F200" s="143">
        <f t="shared" si="26"/>
        <v>6061.2404526418959</v>
      </c>
      <c r="G200" s="143">
        <f t="shared" si="30"/>
        <v>3112.4109455048188</v>
      </c>
      <c r="H200" s="143">
        <f t="shared" si="27"/>
        <v>2948.8295071370771</v>
      </c>
      <c r="I200" s="143">
        <f t="shared" si="28"/>
        <v>246044.04613324843</v>
      </c>
      <c r="J200" s="4"/>
    </row>
    <row r="201" spans="1:10" x14ac:dyDescent="0.3">
      <c r="A201" s="141">
        <f t="shared" si="31"/>
        <v>124</v>
      </c>
      <c r="B201" s="142">
        <f t="shared" si="32"/>
        <v>48519</v>
      </c>
      <c r="C201" s="143">
        <f t="shared" si="33"/>
        <v>246044.04613324843</v>
      </c>
      <c r="D201" s="143">
        <f t="shared" si="29"/>
        <v>6061.2404526418959</v>
      </c>
      <c r="E201" s="145"/>
      <c r="F201" s="143">
        <f t="shared" si="26"/>
        <v>6061.2404526418959</v>
      </c>
      <c r="G201" s="143">
        <f t="shared" si="30"/>
        <v>3075.5505766656056</v>
      </c>
      <c r="H201" s="143">
        <f t="shared" si="27"/>
        <v>2985.6898759762903</v>
      </c>
      <c r="I201" s="143">
        <f t="shared" si="28"/>
        <v>243058.35625727213</v>
      </c>
      <c r="J201" s="4"/>
    </row>
    <row r="202" spans="1:10" x14ac:dyDescent="0.3">
      <c r="A202" s="141">
        <f t="shared" si="31"/>
        <v>125</v>
      </c>
      <c r="B202" s="142">
        <f t="shared" si="32"/>
        <v>48549</v>
      </c>
      <c r="C202" s="143">
        <f t="shared" si="33"/>
        <v>243058.35625727213</v>
      </c>
      <c r="D202" s="143">
        <f t="shared" si="29"/>
        <v>6061.2404526418959</v>
      </c>
      <c r="E202" s="145"/>
      <c r="F202" s="143">
        <f t="shared" si="26"/>
        <v>6061.2404526418959</v>
      </c>
      <c r="G202" s="143">
        <f t="shared" si="30"/>
        <v>3038.2294532159017</v>
      </c>
      <c r="H202" s="143">
        <f t="shared" si="27"/>
        <v>3023.0109994259942</v>
      </c>
      <c r="I202" s="143">
        <f t="shared" si="28"/>
        <v>240035.34525784614</v>
      </c>
      <c r="J202" s="4"/>
    </row>
    <row r="203" spans="1:10" x14ac:dyDescent="0.3">
      <c r="A203" s="141">
        <f t="shared" si="31"/>
        <v>126</v>
      </c>
      <c r="B203" s="142">
        <f t="shared" si="32"/>
        <v>48580</v>
      </c>
      <c r="C203" s="143">
        <f t="shared" si="33"/>
        <v>240035.34525784614</v>
      </c>
      <c r="D203" s="143">
        <f t="shared" si="29"/>
        <v>6061.2404526418959</v>
      </c>
      <c r="E203" s="145"/>
      <c r="F203" s="143">
        <f t="shared" si="26"/>
        <v>6061.2404526418959</v>
      </c>
      <c r="G203" s="143">
        <f t="shared" si="30"/>
        <v>3000.4418157230771</v>
      </c>
      <c r="H203" s="143">
        <f t="shared" si="27"/>
        <v>3060.7986369188188</v>
      </c>
      <c r="I203" s="143">
        <f t="shared" si="28"/>
        <v>236974.54662092731</v>
      </c>
      <c r="J203" s="4"/>
    </row>
    <row r="204" spans="1:10" x14ac:dyDescent="0.3">
      <c r="A204" s="141">
        <f t="shared" si="31"/>
        <v>127</v>
      </c>
      <c r="B204" s="142">
        <f t="shared" si="32"/>
        <v>48611</v>
      </c>
      <c r="C204" s="143">
        <f t="shared" si="33"/>
        <v>236974.54662092731</v>
      </c>
      <c r="D204" s="143">
        <f t="shared" si="29"/>
        <v>6061.2404526418959</v>
      </c>
      <c r="E204" s="145"/>
      <c r="F204" s="143">
        <f t="shared" si="26"/>
        <v>6061.2404526418959</v>
      </c>
      <c r="G204" s="143">
        <f t="shared" si="30"/>
        <v>2962.1818327615915</v>
      </c>
      <c r="H204" s="143">
        <f t="shared" si="27"/>
        <v>3099.0586198803044</v>
      </c>
      <c r="I204" s="143">
        <f t="shared" si="28"/>
        <v>233875.48800104702</v>
      </c>
      <c r="J204" s="4"/>
    </row>
    <row r="205" spans="1:10" x14ac:dyDescent="0.3">
      <c r="A205" s="141">
        <f t="shared" si="31"/>
        <v>128</v>
      </c>
      <c r="B205" s="142">
        <f t="shared" si="32"/>
        <v>48639</v>
      </c>
      <c r="C205" s="143">
        <f t="shared" si="33"/>
        <v>233875.48800104702</v>
      </c>
      <c r="D205" s="143">
        <f t="shared" si="29"/>
        <v>6061.2404526418959</v>
      </c>
      <c r="E205" s="145"/>
      <c r="F205" s="143">
        <f t="shared" si="26"/>
        <v>6061.2404526418959</v>
      </c>
      <c r="G205" s="143">
        <f t="shared" si="30"/>
        <v>2923.4436000130881</v>
      </c>
      <c r="H205" s="143">
        <f t="shared" si="27"/>
        <v>3137.7968526288078</v>
      </c>
      <c r="I205" s="143">
        <f t="shared" si="28"/>
        <v>230737.69114841821</v>
      </c>
      <c r="J205" s="4"/>
    </row>
    <row r="206" spans="1:10" x14ac:dyDescent="0.3">
      <c r="A206" s="141">
        <f t="shared" si="31"/>
        <v>129</v>
      </c>
      <c r="B206" s="142">
        <f t="shared" si="32"/>
        <v>48670</v>
      </c>
      <c r="C206" s="143">
        <f t="shared" si="33"/>
        <v>230737.69114841821</v>
      </c>
      <c r="D206" s="143">
        <f t="shared" si="29"/>
        <v>6061.2404526418959</v>
      </c>
      <c r="E206" s="145"/>
      <c r="F206" s="143">
        <f t="shared" si="26"/>
        <v>6061.2404526418959</v>
      </c>
      <c r="G206" s="143">
        <f t="shared" si="30"/>
        <v>2884.2211393552279</v>
      </c>
      <c r="H206" s="143">
        <f t="shared" si="27"/>
        <v>3177.019313286668</v>
      </c>
      <c r="I206" s="143">
        <f t="shared" si="28"/>
        <v>227560.67183513154</v>
      </c>
      <c r="J206" s="4"/>
    </row>
    <row r="207" spans="1:10" x14ac:dyDescent="0.3">
      <c r="A207" s="141">
        <f t="shared" si="31"/>
        <v>130</v>
      </c>
      <c r="B207" s="142">
        <f t="shared" si="32"/>
        <v>48700</v>
      </c>
      <c r="C207" s="143">
        <f t="shared" si="33"/>
        <v>227560.67183513154</v>
      </c>
      <c r="D207" s="143">
        <f t="shared" si="29"/>
        <v>6061.2404526418959</v>
      </c>
      <c r="E207" s="145"/>
      <c r="F207" s="143">
        <f t="shared" si="26"/>
        <v>6061.2404526418959</v>
      </c>
      <c r="G207" s="143">
        <f t="shared" si="30"/>
        <v>2844.5083979391443</v>
      </c>
      <c r="H207" s="143">
        <f t="shared" si="27"/>
        <v>3216.7320547027516</v>
      </c>
      <c r="I207" s="143">
        <f t="shared" si="28"/>
        <v>224343.93978042877</v>
      </c>
      <c r="J207" s="4"/>
    </row>
    <row r="208" spans="1:10" x14ac:dyDescent="0.3">
      <c r="A208" s="141">
        <f t="shared" si="31"/>
        <v>131</v>
      </c>
      <c r="B208" s="142">
        <f t="shared" si="32"/>
        <v>48731</v>
      </c>
      <c r="C208" s="143">
        <f t="shared" si="33"/>
        <v>224343.93978042877</v>
      </c>
      <c r="D208" s="143">
        <f t="shared" si="29"/>
        <v>6061.2404526418959</v>
      </c>
      <c r="E208" s="145"/>
      <c r="F208" s="143">
        <f t="shared" si="26"/>
        <v>6061.2404526418959</v>
      </c>
      <c r="G208" s="143">
        <f t="shared" si="30"/>
        <v>2804.2992472553597</v>
      </c>
      <c r="H208" s="143">
        <f t="shared" si="27"/>
        <v>3256.9412053865362</v>
      </c>
      <c r="I208" s="143">
        <f t="shared" si="28"/>
        <v>221086.99857504223</v>
      </c>
      <c r="J208" s="4"/>
    </row>
    <row r="209" spans="1:10" x14ac:dyDescent="0.3">
      <c r="A209" s="141">
        <f t="shared" si="31"/>
        <v>132</v>
      </c>
      <c r="B209" s="142">
        <f t="shared" si="32"/>
        <v>48761</v>
      </c>
      <c r="C209" s="143">
        <f t="shared" si="33"/>
        <v>221086.99857504223</v>
      </c>
      <c r="D209" s="143">
        <f t="shared" si="29"/>
        <v>6061.2404526418959</v>
      </c>
      <c r="E209" s="145"/>
      <c r="F209" s="143">
        <f t="shared" si="26"/>
        <v>6061.2404526418959</v>
      </c>
      <c r="G209" s="143">
        <f t="shared" si="30"/>
        <v>2763.5874821880279</v>
      </c>
      <c r="H209" s="143">
        <f t="shared" si="27"/>
        <v>3297.652970453868</v>
      </c>
      <c r="I209" s="143">
        <f t="shared" si="28"/>
        <v>217789.34560458836</v>
      </c>
      <c r="J209" s="4"/>
    </row>
    <row r="210" spans="1:10" x14ac:dyDescent="0.3">
      <c r="A210" s="141">
        <f t="shared" si="31"/>
        <v>133</v>
      </c>
      <c r="B210" s="142">
        <f t="shared" si="32"/>
        <v>48792</v>
      </c>
      <c r="C210" s="143">
        <f t="shared" si="33"/>
        <v>217789.34560458836</v>
      </c>
      <c r="D210" s="143">
        <f t="shared" si="29"/>
        <v>6061.2404526418959</v>
      </c>
      <c r="E210" s="145"/>
      <c r="F210" s="143">
        <f t="shared" si="26"/>
        <v>6061.2404526418959</v>
      </c>
      <c r="G210" s="143">
        <f t="shared" si="30"/>
        <v>2722.3668200573547</v>
      </c>
      <c r="H210" s="143">
        <f t="shared" si="27"/>
        <v>3338.8736325845412</v>
      </c>
      <c r="I210" s="143">
        <f t="shared" si="28"/>
        <v>214450.47197200381</v>
      </c>
      <c r="J210" s="4"/>
    </row>
    <row r="211" spans="1:10" x14ac:dyDescent="0.3">
      <c r="A211" s="141">
        <f t="shared" si="31"/>
        <v>134</v>
      </c>
      <c r="B211" s="142">
        <f t="shared" si="32"/>
        <v>48823</v>
      </c>
      <c r="C211" s="143">
        <f t="shared" si="33"/>
        <v>214450.47197200381</v>
      </c>
      <c r="D211" s="143">
        <f t="shared" si="29"/>
        <v>6061.2404526418959</v>
      </c>
      <c r="E211" s="145"/>
      <c r="F211" s="143">
        <f t="shared" si="26"/>
        <v>6061.2404526418959</v>
      </c>
      <c r="G211" s="143">
        <f t="shared" si="30"/>
        <v>2680.6308996500479</v>
      </c>
      <c r="H211" s="143">
        <f t="shared" si="27"/>
        <v>3380.609552991848</v>
      </c>
      <c r="I211" s="143">
        <f t="shared" si="28"/>
        <v>211069.86241901197</v>
      </c>
      <c r="J211" s="4"/>
    </row>
    <row r="212" spans="1:10" x14ac:dyDescent="0.3">
      <c r="A212" s="141">
        <f t="shared" si="31"/>
        <v>135</v>
      </c>
      <c r="B212" s="142">
        <f t="shared" si="32"/>
        <v>48853</v>
      </c>
      <c r="C212" s="143">
        <f t="shared" si="33"/>
        <v>211069.86241901197</v>
      </c>
      <c r="D212" s="143">
        <f t="shared" si="29"/>
        <v>6061.2404526418959</v>
      </c>
      <c r="E212" s="145"/>
      <c r="F212" s="143">
        <f t="shared" si="26"/>
        <v>6061.2404526418959</v>
      </c>
      <c r="G212" s="143">
        <f t="shared" si="30"/>
        <v>2638.3732802376499</v>
      </c>
      <c r="H212" s="143">
        <f t="shared" si="27"/>
        <v>3422.867172404246</v>
      </c>
      <c r="I212" s="143">
        <f t="shared" si="28"/>
        <v>207646.99524660772</v>
      </c>
      <c r="J212" s="4"/>
    </row>
    <row r="213" spans="1:10" x14ac:dyDescent="0.3">
      <c r="A213" s="141">
        <f t="shared" si="31"/>
        <v>136</v>
      </c>
      <c r="B213" s="142">
        <f t="shared" si="32"/>
        <v>48884</v>
      </c>
      <c r="C213" s="143">
        <f t="shared" si="33"/>
        <v>207646.99524660772</v>
      </c>
      <c r="D213" s="143">
        <f t="shared" si="29"/>
        <v>6061.2404526418959</v>
      </c>
      <c r="E213" s="145"/>
      <c r="F213" s="143">
        <f t="shared" si="26"/>
        <v>6061.2404526418959</v>
      </c>
      <c r="G213" s="143">
        <f t="shared" si="30"/>
        <v>2595.5874405825966</v>
      </c>
      <c r="H213" s="143">
        <f t="shared" si="27"/>
        <v>3465.6530120592993</v>
      </c>
      <c r="I213" s="143">
        <f t="shared" si="28"/>
        <v>204181.34223454841</v>
      </c>
      <c r="J213" s="4"/>
    </row>
    <row r="214" spans="1:10" x14ac:dyDescent="0.3">
      <c r="A214" s="141">
        <f t="shared" si="31"/>
        <v>137</v>
      </c>
      <c r="B214" s="142">
        <f t="shared" si="32"/>
        <v>48914</v>
      </c>
      <c r="C214" s="143">
        <f t="shared" si="33"/>
        <v>204181.34223454841</v>
      </c>
      <c r="D214" s="143">
        <f t="shared" si="29"/>
        <v>6061.2404526418959</v>
      </c>
      <c r="E214" s="145"/>
      <c r="F214" s="143">
        <f t="shared" si="26"/>
        <v>6061.2404526418959</v>
      </c>
      <c r="G214" s="143">
        <f t="shared" si="30"/>
        <v>2552.2667779318554</v>
      </c>
      <c r="H214" s="143">
        <f t="shared" si="27"/>
        <v>3508.9736747100405</v>
      </c>
      <c r="I214" s="143">
        <f t="shared" si="28"/>
        <v>200672.36855983836</v>
      </c>
      <c r="J214" s="4"/>
    </row>
    <row r="215" spans="1:10" x14ac:dyDescent="0.3">
      <c r="A215" s="141">
        <f t="shared" si="31"/>
        <v>138</v>
      </c>
      <c r="B215" s="142">
        <f t="shared" si="32"/>
        <v>48945</v>
      </c>
      <c r="C215" s="143">
        <f t="shared" si="33"/>
        <v>200672.36855983836</v>
      </c>
      <c r="D215" s="143">
        <f t="shared" si="29"/>
        <v>6061.2404526418959</v>
      </c>
      <c r="E215" s="145"/>
      <c r="F215" s="143">
        <f t="shared" si="26"/>
        <v>6061.2404526418959</v>
      </c>
      <c r="G215" s="143">
        <f t="shared" si="30"/>
        <v>2508.4046069979795</v>
      </c>
      <c r="H215" s="143">
        <f t="shared" si="27"/>
        <v>3552.8358456439164</v>
      </c>
      <c r="I215" s="143">
        <f t="shared" si="28"/>
        <v>197119.53271419444</v>
      </c>
      <c r="J215" s="4"/>
    </row>
    <row r="216" spans="1:10" x14ac:dyDescent="0.3">
      <c r="A216" s="141">
        <f t="shared" si="31"/>
        <v>139</v>
      </c>
      <c r="B216" s="142">
        <f t="shared" si="32"/>
        <v>48976</v>
      </c>
      <c r="C216" s="143">
        <f t="shared" si="33"/>
        <v>197119.53271419444</v>
      </c>
      <c r="D216" s="143">
        <f t="shared" si="29"/>
        <v>6061.2404526418959</v>
      </c>
      <c r="E216" s="145"/>
      <c r="F216" s="143">
        <f t="shared" si="26"/>
        <v>6061.2404526418959</v>
      </c>
      <c r="G216" s="143">
        <f t="shared" si="30"/>
        <v>2463.9941589274308</v>
      </c>
      <c r="H216" s="143">
        <f t="shared" si="27"/>
        <v>3597.2462937144651</v>
      </c>
      <c r="I216" s="143">
        <f t="shared" si="28"/>
        <v>193522.28642047997</v>
      </c>
      <c r="J216" s="4"/>
    </row>
    <row r="217" spans="1:10" x14ac:dyDescent="0.3">
      <c r="A217" s="141">
        <f t="shared" si="31"/>
        <v>140</v>
      </c>
      <c r="B217" s="142">
        <f t="shared" si="32"/>
        <v>49004</v>
      </c>
      <c r="C217" s="143">
        <f t="shared" si="33"/>
        <v>193522.28642047997</v>
      </c>
      <c r="D217" s="143">
        <f t="shared" si="29"/>
        <v>6061.2404526418959</v>
      </c>
      <c r="E217" s="145"/>
      <c r="F217" s="143">
        <f t="shared" si="26"/>
        <v>6061.2404526418959</v>
      </c>
      <c r="G217" s="143">
        <f t="shared" si="30"/>
        <v>2419.0285802559997</v>
      </c>
      <c r="H217" s="143">
        <f t="shared" si="27"/>
        <v>3642.2118723858962</v>
      </c>
      <c r="I217" s="143">
        <f t="shared" si="28"/>
        <v>189880.07454809407</v>
      </c>
      <c r="J217" s="4"/>
    </row>
    <row r="218" spans="1:10" x14ac:dyDescent="0.3">
      <c r="A218" s="141">
        <f t="shared" si="31"/>
        <v>141</v>
      </c>
      <c r="B218" s="142">
        <f t="shared" si="32"/>
        <v>49035</v>
      </c>
      <c r="C218" s="143">
        <f t="shared" si="33"/>
        <v>189880.07454809407</v>
      </c>
      <c r="D218" s="143">
        <f t="shared" si="29"/>
        <v>6061.2404526418959</v>
      </c>
      <c r="E218" s="145"/>
      <c r="F218" s="143">
        <f t="shared" si="26"/>
        <v>6061.2404526418959</v>
      </c>
      <c r="G218" s="143">
        <f t="shared" si="30"/>
        <v>2373.5009318511761</v>
      </c>
      <c r="H218" s="143">
        <f t="shared" si="27"/>
        <v>3687.7395207907198</v>
      </c>
      <c r="I218" s="143">
        <f t="shared" si="28"/>
        <v>186192.33502730334</v>
      </c>
      <c r="J218" s="4"/>
    </row>
    <row r="219" spans="1:10" x14ac:dyDescent="0.3">
      <c r="A219" s="141">
        <f t="shared" si="31"/>
        <v>142</v>
      </c>
      <c r="B219" s="142">
        <f t="shared" si="32"/>
        <v>49065</v>
      </c>
      <c r="C219" s="143">
        <f t="shared" si="33"/>
        <v>186192.33502730334</v>
      </c>
      <c r="D219" s="143">
        <f t="shared" si="29"/>
        <v>6061.2404526418959</v>
      </c>
      <c r="E219" s="145"/>
      <c r="F219" s="143">
        <f t="shared" si="26"/>
        <v>6061.2404526418959</v>
      </c>
      <c r="G219" s="143">
        <f t="shared" si="30"/>
        <v>2327.4041878412918</v>
      </c>
      <c r="H219" s="143">
        <f t="shared" si="27"/>
        <v>3733.8362648006041</v>
      </c>
      <c r="I219" s="143">
        <f t="shared" si="28"/>
        <v>182458.49876250274</v>
      </c>
      <c r="J219" s="4"/>
    </row>
    <row r="220" spans="1:10" x14ac:dyDescent="0.3">
      <c r="A220" s="141">
        <f t="shared" si="31"/>
        <v>143</v>
      </c>
      <c r="B220" s="142">
        <f t="shared" si="32"/>
        <v>49096</v>
      </c>
      <c r="C220" s="143">
        <f t="shared" si="33"/>
        <v>182458.49876250274</v>
      </c>
      <c r="D220" s="143">
        <f t="shared" si="29"/>
        <v>6061.2404526418959</v>
      </c>
      <c r="E220" s="145"/>
      <c r="F220" s="143">
        <f>SUM(D220:E220)</f>
        <v>6061.2404526418959</v>
      </c>
      <c r="G220" s="143">
        <f t="shared" si="30"/>
        <v>2280.7312345312844</v>
      </c>
      <c r="H220" s="143">
        <f t="shared" si="27"/>
        <v>3780.5092181106115</v>
      </c>
      <c r="I220" s="143">
        <f t="shared" si="28"/>
        <v>178677.98954439213</v>
      </c>
      <c r="J220" s="4"/>
    </row>
    <row r="221" spans="1:10" x14ac:dyDescent="0.3">
      <c r="A221" s="141">
        <f t="shared" si="31"/>
        <v>144</v>
      </c>
      <c r="B221" s="142">
        <f t="shared" si="32"/>
        <v>49126</v>
      </c>
      <c r="C221" s="143">
        <f t="shared" si="33"/>
        <v>178677.98954439213</v>
      </c>
      <c r="D221" s="143">
        <f t="shared" si="29"/>
        <v>6061.2404526418959</v>
      </c>
      <c r="E221" s="145"/>
      <c r="F221" s="143">
        <f t="shared" si="26"/>
        <v>6061.2404526418959</v>
      </c>
      <c r="G221" s="143">
        <f t="shared" si="30"/>
        <v>2233.4748693049019</v>
      </c>
      <c r="H221" s="143">
        <f t="shared" si="27"/>
        <v>3827.765583336994</v>
      </c>
      <c r="I221" s="143">
        <f t="shared" si="28"/>
        <v>174850.22396105513</v>
      </c>
      <c r="J221" s="4"/>
    </row>
    <row r="222" spans="1:10" x14ac:dyDescent="0.3">
      <c r="A222" s="141">
        <f t="shared" si="31"/>
        <v>145</v>
      </c>
      <c r="B222" s="142">
        <f t="shared" si="32"/>
        <v>49157</v>
      </c>
      <c r="C222" s="143">
        <f t="shared" si="33"/>
        <v>174850.22396105513</v>
      </c>
      <c r="D222" s="143">
        <f t="shared" si="29"/>
        <v>6061.2404526418959</v>
      </c>
      <c r="E222" s="145"/>
      <c r="F222" s="143">
        <f t="shared" si="26"/>
        <v>6061.2404526418959</v>
      </c>
      <c r="G222" s="143">
        <f t="shared" si="30"/>
        <v>2185.6277995131891</v>
      </c>
      <c r="H222" s="143">
        <f t="shared" si="27"/>
        <v>3875.6126531287068</v>
      </c>
      <c r="I222" s="143">
        <f t="shared" si="28"/>
        <v>170974.61130792642</v>
      </c>
      <c r="J222" s="4"/>
    </row>
    <row r="223" spans="1:10" x14ac:dyDescent="0.3">
      <c r="A223" s="141">
        <f t="shared" si="31"/>
        <v>146</v>
      </c>
      <c r="B223" s="142">
        <f t="shared" si="32"/>
        <v>49188</v>
      </c>
      <c r="C223" s="143">
        <f t="shared" si="33"/>
        <v>170974.61130792642</v>
      </c>
      <c r="D223" s="143">
        <f t="shared" si="29"/>
        <v>6061.2404526418959</v>
      </c>
      <c r="E223" s="145"/>
      <c r="F223" s="143">
        <f t="shared" si="26"/>
        <v>6061.2404526418959</v>
      </c>
      <c r="G223" s="143">
        <f t="shared" si="30"/>
        <v>2137.1826413490803</v>
      </c>
      <c r="H223" s="143">
        <f t="shared" si="27"/>
        <v>3924.0578112928156</v>
      </c>
      <c r="I223" s="143">
        <f t="shared" si="28"/>
        <v>167050.5534966336</v>
      </c>
      <c r="J223" s="4"/>
    </row>
    <row r="224" spans="1:10" x14ac:dyDescent="0.3">
      <c r="A224" s="141">
        <f t="shared" si="31"/>
        <v>147</v>
      </c>
      <c r="B224" s="142">
        <f t="shared" si="32"/>
        <v>49218</v>
      </c>
      <c r="C224" s="143">
        <f t="shared" si="33"/>
        <v>167050.5534966336</v>
      </c>
      <c r="D224" s="143">
        <f t="shared" si="29"/>
        <v>6061.2404526418959</v>
      </c>
      <c r="E224" s="145"/>
      <c r="F224" s="143">
        <f t="shared" si="26"/>
        <v>6061.2404526418959</v>
      </c>
      <c r="G224" s="143">
        <f t="shared" si="30"/>
        <v>2088.1319187079202</v>
      </c>
      <c r="H224" s="143">
        <f t="shared" si="27"/>
        <v>3973.1085339339757</v>
      </c>
      <c r="I224" s="143">
        <f t="shared" si="28"/>
        <v>163077.44496269964</v>
      </c>
      <c r="J224" s="4"/>
    </row>
    <row r="225" spans="1:18" x14ac:dyDescent="0.3">
      <c r="A225" s="141">
        <f t="shared" si="31"/>
        <v>148</v>
      </c>
      <c r="B225" s="142">
        <f t="shared" si="32"/>
        <v>49249</v>
      </c>
      <c r="C225" s="143">
        <f t="shared" si="33"/>
        <v>163077.44496269964</v>
      </c>
      <c r="D225" s="143">
        <f t="shared" si="29"/>
        <v>6061.2404526418959</v>
      </c>
      <c r="E225" s="145"/>
      <c r="F225" s="143">
        <f t="shared" si="26"/>
        <v>6061.2404526418959</v>
      </c>
      <c r="G225" s="143">
        <f t="shared" si="30"/>
        <v>2038.4680620337456</v>
      </c>
      <c r="H225" s="143">
        <f t="shared" si="27"/>
        <v>4022.7723906081501</v>
      </c>
      <c r="I225" s="143">
        <f t="shared" si="28"/>
        <v>159054.67257209148</v>
      </c>
      <c r="J225" s="4"/>
    </row>
    <row r="226" spans="1:18" x14ac:dyDescent="0.3">
      <c r="A226" s="141">
        <f t="shared" si="31"/>
        <v>149</v>
      </c>
      <c r="B226" s="142">
        <f t="shared" si="32"/>
        <v>49279</v>
      </c>
      <c r="C226" s="143">
        <f t="shared" si="33"/>
        <v>159054.67257209148</v>
      </c>
      <c r="D226" s="143">
        <f t="shared" si="29"/>
        <v>6061.2404526418959</v>
      </c>
      <c r="E226" s="145"/>
      <c r="F226" s="143">
        <f t="shared" si="26"/>
        <v>6061.2404526418959</v>
      </c>
      <c r="G226" s="143">
        <f t="shared" si="30"/>
        <v>1988.1834071511437</v>
      </c>
      <c r="H226" s="143">
        <f t="shared" si="27"/>
        <v>4073.057045490752</v>
      </c>
      <c r="I226" s="143">
        <f t="shared" si="28"/>
        <v>154981.61552660074</v>
      </c>
      <c r="J226" s="4"/>
    </row>
    <row r="227" spans="1:18" x14ac:dyDescent="0.3">
      <c r="A227" s="141">
        <f t="shared" si="31"/>
        <v>150</v>
      </c>
      <c r="B227" s="142">
        <f t="shared" si="32"/>
        <v>49310</v>
      </c>
      <c r="C227" s="143">
        <f t="shared" si="33"/>
        <v>154981.61552660074</v>
      </c>
      <c r="D227" s="143">
        <f t="shared" si="29"/>
        <v>6061.2404526418959</v>
      </c>
      <c r="E227" s="145"/>
      <c r="F227" s="143">
        <f t="shared" si="26"/>
        <v>6061.2404526418959</v>
      </c>
      <c r="G227" s="143">
        <f t="shared" si="30"/>
        <v>1937.2701940825093</v>
      </c>
      <c r="H227" s="143">
        <f t="shared" si="27"/>
        <v>4123.9702585593868</v>
      </c>
      <c r="I227" s="143">
        <f t="shared" si="28"/>
        <v>150857.64526804135</v>
      </c>
      <c r="J227" s="4"/>
    </row>
    <row r="228" spans="1:18" x14ac:dyDescent="0.3">
      <c r="A228" s="141">
        <f t="shared" si="31"/>
        <v>151</v>
      </c>
      <c r="B228" s="142">
        <f t="shared" si="32"/>
        <v>49341</v>
      </c>
      <c r="C228" s="143">
        <f t="shared" si="33"/>
        <v>150857.64526804135</v>
      </c>
      <c r="D228" s="143">
        <f t="shared" si="29"/>
        <v>6061.2404526418959</v>
      </c>
      <c r="E228" s="145"/>
      <c r="F228" s="143">
        <f t="shared" si="26"/>
        <v>6061.2404526418959</v>
      </c>
      <c r="G228" s="143">
        <f t="shared" si="30"/>
        <v>1885.720565850517</v>
      </c>
      <c r="H228" s="143">
        <f t="shared" si="27"/>
        <v>4175.5198867913787</v>
      </c>
      <c r="I228" s="143">
        <f t="shared" si="28"/>
        <v>146682.12538124996</v>
      </c>
      <c r="J228" s="4"/>
    </row>
    <row r="229" spans="1:18" x14ac:dyDescent="0.3">
      <c r="A229" s="141">
        <f t="shared" si="31"/>
        <v>152</v>
      </c>
      <c r="B229" s="142">
        <f t="shared" si="32"/>
        <v>49369</v>
      </c>
      <c r="C229" s="143">
        <f t="shared" si="33"/>
        <v>146682.12538124996</v>
      </c>
      <c r="D229" s="143">
        <f t="shared" ref="D229:D257" si="34">IF(C229&gt;0,(-PMT($D$193,$D$190,$D$189)))</f>
        <v>6061.2404526418959</v>
      </c>
      <c r="E229" s="145"/>
      <c r="F229" s="143">
        <f t="shared" si="26"/>
        <v>6061.2404526418959</v>
      </c>
      <c r="G229" s="143">
        <f t="shared" si="30"/>
        <v>1833.5265672656246</v>
      </c>
      <c r="H229" s="143">
        <f t="shared" si="27"/>
        <v>4227.7138853762717</v>
      </c>
      <c r="I229" s="143">
        <f t="shared" si="28"/>
        <v>142454.4114958737</v>
      </c>
      <c r="J229" s="4"/>
    </row>
    <row r="230" spans="1:18" x14ac:dyDescent="0.3">
      <c r="A230" s="141">
        <f t="shared" si="31"/>
        <v>153</v>
      </c>
      <c r="B230" s="142">
        <f t="shared" si="32"/>
        <v>49400</v>
      </c>
      <c r="C230" s="143">
        <f t="shared" si="33"/>
        <v>142454.4114958737</v>
      </c>
      <c r="D230" s="143">
        <f t="shared" si="34"/>
        <v>6061.2404526418959</v>
      </c>
      <c r="E230" s="145"/>
      <c r="F230" s="143">
        <f t="shared" si="26"/>
        <v>6061.2404526418959</v>
      </c>
      <c r="G230" s="143">
        <f t="shared" si="30"/>
        <v>1780.6801436984215</v>
      </c>
      <c r="H230" s="143">
        <f t="shared" si="27"/>
        <v>4280.5603089434744</v>
      </c>
      <c r="I230" s="143">
        <f t="shared" si="28"/>
        <v>138173.85118693023</v>
      </c>
      <c r="J230" s="4"/>
    </row>
    <row r="231" spans="1:18" x14ac:dyDescent="0.3">
      <c r="A231" s="141">
        <f t="shared" si="31"/>
        <v>154</v>
      </c>
      <c r="B231" s="142">
        <f t="shared" si="32"/>
        <v>49430</v>
      </c>
      <c r="C231" s="143">
        <f t="shared" si="33"/>
        <v>138173.85118693023</v>
      </c>
      <c r="D231" s="143">
        <f t="shared" si="34"/>
        <v>6061.2404526418959</v>
      </c>
      <c r="E231" s="145"/>
      <c r="F231" s="143">
        <f t="shared" si="26"/>
        <v>6061.2404526418959</v>
      </c>
      <c r="G231" s="143">
        <f t="shared" si="30"/>
        <v>1727.173139836628</v>
      </c>
      <c r="H231" s="143">
        <f t="shared" si="27"/>
        <v>4334.0673128052676</v>
      </c>
      <c r="I231" s="143">
        <f t="shared" si="28"/>
        <v>133839.78387412496</v>
      </c>
      <c r="J231" s="4"/>
    </row>
    <row r="232" spans="1:18" x14ac:dyDescent="0.3">
      <c r="A232" s="141">
        <f t="shared" si="31"/>
        <v>155</v>
      </c>
      <c r="B232" s="142">
        <f t="shared" si="32"/>
        <v>49461</v>
      </c>
      <c r="C232" s="143">
        <f t="shared" si="33"/>
        <v>133839.78387412496</v>
      </c>
      <c r="D232" s="143">
        <f t="shared" si="34"/>
        <v>6061.2404526418959</v>
      </c>
      <c r="E232" s="145"/>
      <c r="F232" s="143">
        <f t="shared" si="26"/>
        <v>6061.2404526418959</v>
      </c>
      <c r="G232" s="143">
        <f t="shared" si="30"/>
        <v>1672.9972984265621</v>
      </c>
      <c r="H232" s="143">
        <f t="shared" si="27"/>
        <v>4388.2431542153336</v>
      </c>
      <c r="I232" s="143">
        <f t="shared" si="28"/>
        <v>129451.54071990962</v>
      </c>
      <c r="J232" s="4"/>
      <c r="R232" s="139"/>
    </row>
    <row r="233" spans="1:18" x14ac:dyDescent="0.3">
      <c r="A233" s="141">
        <f t="shared" si="31"/>
        <v>156</v>
      </c>
      <c r="B233" s="142">
        <f t="shared" si="32"/>
        <v>49491</v>
      </c>
      <c r="C233" s="143">
        <f t="shared" si="33"/>
        <v>129451.54071990962</v>
      </c>
      <c r="D233" s="143">
        <f t="shared" si="34"/>
        <v>6061.2404526418959</v>
      </c>
      <c r="E233" s="145"/>
      <c r="F233" s="143">
        <f t="shared" si="26"/>
        <v>6061.2404526418959</v>
      </c>
      <c r="G233" s="143">
        <f t="shared" si="30"/>
        <v>1618.1442589988703</v>
      </c>
      <c r="H233" s="143">
        <f t="shared" si="27"/>
        <v>4443.0961936430258</v>
      </c>
      <c r="I233" s="143">
        <f t="shared" si="28"/>
        <v>125008.4445262666</v>
      </c>
      <c r="J233" s="4"/>
      <c r="R233" s="139"/>
    </row>
    <row r="234" spans="1:18" x14ac:dyDescent="0.3">
      <c r="A234" s="141">
        <f t="shared" si="31"/>
        <v>157</v>
      </c>
      <c r="B234" s="142">
        <f t="shared" si="32"/>
        <v>49522</v>
      </c>
      <c r="C234" s="143">
        <f t="shared" si="33"/>
        <v>125008.4445262666</v>
      </c>
      <c r="D234" s="143">
        <f t="shared" si="34"/>
        <v>6061.2404526418959</v>
      </c>
      <c r="E234" s="145"/>
      <c r="F234" s="143">
        <f t="shared" si="26"/>
        <v>6061.2404526418959</v>
      </c>
      <c r="G234" s="143">
        <f t="shared" si="30"/>
        <v>1562.6055565783327</v>
      </c>
      <c r="H234" s="143">
        <f t="shared" si="27"/>
        <v>4498.6348960635632</v>
      </c>
      <c r="I234" s="143">
        <f t="shared" si="28"/>
        <v>120509.80963020303</v>
      </c>
      <c r="J234" s="4"/>
      <c r="R234" s="139"/>
    </row>
    <row r="235" spans="1:18" x14ac:dyDescent="0.3">
      <c r="A235" s="141">
        <f t="shared" si="31"/>
        <v>158</v>
      </c>
      <c r="B235" s="142">
        <f t="shared" si="32"/>
        <v>49553</v>
      </c>
      <c r="C235" s="143">
        <f t="shared" si="33"/>
        <v>120509.80963020303</v>
      </c>
      <c r="D235" s="143">
        <f t="shared" si="34"/>
        <v>6061.2404526418959</v>
      </c>
      <c r="E235" s="145"/>
      <c r="F235" s="143">
        <f t="shared" si="26"/>
        <v>6061.2404526418959</v>
      </c>
      <c r="G235" s="143">
        <f t="shared" si="30"/>
        <v>1506.3726203775379</v>
      </c>
      <c r="H235" s="143">
        <f t="shared" si="27"/>
        <v>4554.8678322643582</v>
      </c>
      <c r="I235" s="143">
        <f t="shared" si="28"/>
        <v>115954.94179793868</v>
      </c>
      <c r="J235" s="4"/>
      <c r="R235" s="139"/>
    </row>
    <row r="236" spans="1:18" x14ac:dyDescent="0.3">
      <c r="A236" s="141">
        <f t="shared" si="31"/>
        <v>159</v>
      </c>
      <c r="B236" s="142">
        <f t="shared" si="32"/>
        <v>49583</v>
      </c>
      <c r="C236" s="143">
        <f t="shared" si="33"/>
        <v>115954.94179793868</v>
      </c>
      <c r="D236" s="143">
        <f t="shared" si="34"/>
        <v>6061.2404526418959</v>
      </c>
      <c r="E236" s="145"/>
      <c r="F236" s="143">
        <f t="shared" si="26"/>
        <v>6061.2404526418959</v>
      </c>
      <c r="G236" s="143">
        <f t="shared" si="30"/>
        <v>1449.4367724742335</v>
      </c>
      <c r="H236" s="143">
        <f t="shared" si="27"/>
        <v>4611.8036801676626</v>
      </c>
      <c r="I236" s="143">
        <f t="shared" si="28"/>
        <v>111343.13811777101</v>
      </c>
      <c r="J236" s="4"/>
      <c r="R236" s="139"/>
    </row>
    <row r="237" spans="1:18" x14ac:dyDescent="0.3">
      <c r="A237" s="141">
        <f t="shared" si="31"/>
        <v>160</v>
      </c>
      <c r="B237" s="142">
        <f t="shared" si="32"/>
        <v>49614</v>
      </c>
      <c r="C237" s="143">
        <f t="shared" si="33"/>
        <v>111343.13811777101</v>
      </c>
      <c r="D237" s="143">
        <f t="shared" si="34"/>
        <v>6061.2404526418959</v>
      </c>
      <c r="E237" s="145"/>
      <c r="F237" s="143">
        <f t="shared" si="26"/>
        <v>6061.2404526418959</v>
      </c>
      <c r="G237" s="143">
        <f t="shared" si="30"/>
        <v>1391.7892264721377</v>
      </c>
      <c r="H237" s="143">
        <f t="shared" si="27"/>
        <v>4669.4512261697582</v>
      </c>
      <c r="I237" s="143">
        <f t="shared" si="28"/>
        <v>106673.68689160126</v>
      </c>
      <c r="J237" s="4"/>
      <c r="R237" s="139"/>
    </row>
    <row r="238" spans="1:18" x14ac:dyDescent="0.3">
      <c r="A238" s="141">
        <f t="shared" si="31"/>
        <v>161</v>
      </c>
      <c r="B238" s="142">
        <f t="shared" si="32"/>
        <v>49644</v>
      </c>
      <c r="C238" s="143">
        <f t="shared" si="33"/>
        <v>106673.68689160126</v>
      </c>
      <c r="D238" s="143">
        <f t="shared" si="34"/>
        <v>6061.2404526418959</v>
      </c>
      <c r="E238" s="145"/>
      <c r="F238" s="143">
        <f t="shared" si="26"/>
        <v>6061.2404526418959</v>
      </c>
      <c r="G238" s="143">
        <f t="shared" si="30"/>
        <v>1333.4210861450158</v>
      </c>
      <c r="H238" s="143">
        <f t="shared" si="27"/>
        <v>4727.8193664968803</v>
      </c>
      <c r="I238" s="143">
        <f t="shared" si="28"/>
        <v>101945.86752510438</v>
      </c>
      <c r="J238" s="4"/>
      <c r="R238" s="139"/>
    </row>
    <row r="239" spans="1:18" x14ac:dyDescent="0.3">
      <c r="A239" s="141">
        <f t="shared" si="31"/>
        <v>162</v>
      </c>
      <c r="B239" s="142">
        <f t="shared" si="32"/>
        <v>49675</v>
      </c>
      <c r="C239" s="143">
        <f t="shared" si="33"/>
        <v>101945.86752510438</v>
      </c>
      <c r="D239" s="143">
        <f t="shared" si="34"/>
        <v>6061.2404526418959</v>
      </c>
      <c r="E239" s="145"/>
      <c r="F239" s="143">
        <f t="shared" si="26"/>
        <v>6061.2404526418959</v>
      </c>
      <c r="G239" s="143">
        <f t="shared" si="30"/>
        <v>1274.3233440638048</v>
      </c>
      <c r="H239" s="143">
        <f t="shared" si="27"/>
        <v>4786.9171085780908</v>
      </c>
      <c r="I239" s="143">
        <f t="shared" si="28"/>
        <v>97158.950416526292</v>
      </c>
      <c r="J239" s="4"/>
      <c r="R239" s="139"/>
    </row>
    <row r="240" spans="1:18" x14ac:dyDescent="0.3">
      <c r="A240" s="141">
        <f t="shared" si="31"/>
        <v>163</v>
      </c>
      <c r="B240" s="142">
        <f t="shared" si="32"/>
        <v>49706</v>
      </c>
      <c r="C240" s="143">
        <f t="shared" si="33"/>
        <v>97158.950416526292</v>
      </c>
      <c r="D240" s="143">
        <f t="shared" si="34"/>
        <v>6061.2404526418959</v>
      </c>
      <c r="E240" s="145"/>
      <c r="F240" s="143">
        <f t="shared" si="26"/>
        <v>6061.2404526418959</v>
      </c>
      <c r="G240" s="143">
        <f t="shared" si="30"/>
        <v>1214.4868802065787</v>
      </c>
      <c r="H240" s="143">
        <f t="shared" si="27"/>
        <v>4846.7535724353174</v>
      </c>
      <c r="I240" s="143">
        <f t="shared" si="28"/>
        <v>92312.19684409097</v>
      </c>
      <c r="J240" s="4"/>
      <c r="R240" s="139"/>
    </row>
    <row r="241" spans="1:18" x14ac:dyDescent="0.3">
      <c r="A241" s="141">
        <f t="shared" si="31"/>
        <v>164</v>
      </c>
      <c r="B241" s="142">
        <f t="shared" si="32"/>
        <v>49735</v>
      </c>
      <c r="C241" s="143">
        <f t="shared" si="33"/>
        <v>92312.19684409097</v>
      </c>
      <c r="D241" s="143">
        <f t="shared" si="34"/>
        <v>6061.2404526418959</v>
      </c>
      <c r="E241" s="145"/>
      <c r="F241" s="143">
        <f t="shared" si="26"/>
        <v>6061.2404526418959</v>
      </c>
      <c r="G241" s="143">
        <f t="shared" si="30"/>
        <v>1153.9024605511372</v>
      </c>
      <c r="H241" s="143">
        <f t="shared" si="27"/>
        <v>4907.3379920907591</v>
      </c>
      <c r="I241" s="143">
        <f t="shared" si="28"/>
        <v>87404.858852000209</v>
      </c>
      <c r="J241" s="4"/>
      <c r="R241" s="139"/>
    </row>
    <row r="242" spans="1:18" x14ac:dyDescent="0.3">
      <c r="A242" s="141">
        <f t="shared" si="31"/>
        <v>165</v>
      </c>
      <c r="B242" s="142">
        <f t="shared" si="32"/>
        <v>49766</v>
      </c>
      <c r="C242" s="143">
        <f t="shared" si="33"/>
        <v>87404.858852000209</v>
      </c>
      <c r="D242" s="143">
        <f t="shared" si="34"/>
        <v>6061.2404526418959</v>
      </c>
      <c r="E242" s="145"/>
      <c r="F242" s="143">
        <f t="shared" si="26"/>
        <v>6061.2404526418959</v>
      </c>
      <c r="G242" s="143">
        <f t="shared" si="30"/>
        <v>1092.5607356500027</v>
      </c>
      <c r="H242" s="143">
        <f t="shared" si="27"/>
        <v>4968.6797169918937</v>
      </c>
      <c r="I242" s="143">
        <f t="shared" si="28"/>
        <v>82436.179135008308</v>
      </c>
      <c r="J242" s="4"/>
      <c r="R242" s="139"/>
    </row>
    <row r="243" spans="1:18" x14ac:dyDescent="0.3">
      <c r="A243" s="141">
        <f t="shared" si="31"/>
        <v>166</v>
      </c>
      <c r="B243" s="142">
        <f t="shared" si="32"/>
        <v>49796</v>
      </c>
      <c r="C243" s="143">
        <f t="shared" si="33"/>
        <v>82436.179135008308</v>
      </c>
      <c r="D243" s="143">
        <f t="shared" si="34"/>
        <v>6061.2404526418959</v>
      </c>
      <c r="E243" s="145"/>
      <c r="F243" s="143">
        <f t="shared" si="26"/>
        <v>6061.2404526418959</v>
      </c>
      <c r="G243" s="143">
        <f t="shared" si="30"/>
        <v>1030.4522391876039</v>
      </c>
      <c r="H243" s="143">
        <f t="shared" si="27"/>
        <v>5030.7882134542924</v>
      </c>
      <c r="I243" s="143">
        <f t="shared" si="28"/>
        <v>77405.390921554019</v>
      </c>
      <c r="J243" s="4"/>
      <c r="R243" s="139"/>
    </row>
    <row r="244" spans="1:18" x14ac:dyDescent="0.3">
      <c r="A244" s="141">
        <f t="shared" si="31"/>
        <v>167</v>
      </c>
      <c r="B244" s="142">
        <f t="shared" si="32"/>
        <v>49827</v>
      </c>
      <c r="C244" s="143">
        <f t="shared" si="33"/>
        <v>77405.390921554019</v>
      </c>
      <c r="D244" s="143">
        <f t="shared" si="34"/>
        <v>6061.2404526418959</v>
      </c>
      <c r="E244" s="145"/>
      <c r="F244" s="143">
        <f t="shared" si="26"/>
        <v>6061.2404526418959</v>
      </c>
      <c r="G244" s="143">
        <f t="shared" si="30"/>
        <v>967.56738651942533</v>
      </c>
      <c r="H244" s="143">
        <f t="shared" si="27"/>
        <v>5093.6730661224701</v>
      </c>
      <c r="I244" s="143">
        <f t="shared" si="28"/>
        <v>72311.717855431547</v>
      </c>
      <c r="J244" s="4"/>
      <c r="R244" s="139"/>
    </row>
    <row r="245" spans="1:18" x14ac:dyDescent="0.3">
      <c r="A245" s="141">
        <f t="shared" si="31"/>
        <v>168</v>
      </c>
      <c r="B245" s="142">
        <f t="shared" si="32"/>
        <v>49857</v>
      </c>
      <c r="C245" s="143">
        <f t="shared" si="33"/>
        <v>72311.717855431547</v>
      </c>
      <c r="D245" s="143">
        <f t="shared" si="34"/>
        <v>6061.2404526418959</v>
      </c>
      <c r="E245" s="145"/>
      <c r="F245" s="143">
        <f t="shared" si="26"/>
        <v>6061.2404526418959</v>
      </c>
      <c r="G245" s="143">
        <f t="shared" si="30"/>
        <v>903.8964731928944</v>
      </c>
      <c r="H245" s="143">
        <f t="shared" si="27"/>
        <v>5157.3439794490014</v>
      </c>
      <c r="I245" s="143">
        <f t="shared" si="28"/>
        <v>67154.37387598255</v>
      </c>
      <c r="J245" s="4"/>
      <c r="R245" s="139"/>
    </row>
    <row r="246" spans="1:18" x14ac:dyDescent="0.3">
      <c r="A246" s="141">
        <f t="shared" si="31"/>
        <v>169</v>
      </c>
      <c r="B246" s="142">
        <f t="shared" si="32"/>
        <v>49888</v>
      </c>
      <c r="C246" s="143">
        <f t="shared" si="33"/>
        <v>67154.37387598255</v>
      </c>
      <c r="D246" s="143">
        <f t="shared" si="34"/>
        <v>6061.2404526418959</v>
      </c>
      <c r="E246" s="145"/>
      <c r="F246" s="143">
        <f t="shared" si="26"/>
        <v>6061.2404526418959</v>
      </c>
      <c r="G246" s="143">
        <f t="shared" si="30"/>
        <v>839.42967344978194</v>
      </c>
      <c r="H246" s="143">
        <f t="shared" si="27"/>
        <v>5221.8107791921138</v>
      </c>
      <c r="I246" s="143">
        <f t="shared" si="28"/>
        <v>61932.563096790436</v>
      </c>
      <c r="J246" s="4"/>
      <c r="R246" s="139"/>
    </row>
    <row r="247" spans="1:18" x14ac:dyDescent="0.3">
      <c r="A247" s="141">
        <f t="shared" si="31"/>
        <v>170</v>
      </c>
      <c r="B247" s="142">
        <f t="shared" si="32"/>
        <v>49919</v>
      </c>
      <c r="C247" s="143">
        <f t="shared" si="33"/>
        <v>61932.563096790436</v>
      </c>
      <c r="D247" s="143">
        <f t="shared" si="34"/>
        <v>6061.2404526418959</v>
      </c>
      <c r="E247" s="145"/>
      <c r="F247" s="143">
        <f t="shared" si="26"/>
        <v>6061.2404526418959</v>
      </c>
      <c r="G247" s="143">
        <f t="shared" si="30"/>
        <v>774.15703870988045</v>
      </c>
      <c r="H247" s="143">
        <f t="shared" si="27"/>
        <v>5287.0834139320159</v>
      </c>
      <c r="I247" s="143">
        <f t="shared" si="28"/>
        <v>56645.479682858422</v>
      </c>
      <c r="J247" s="4"/>
      <c r="R247" s="139"/>
    </row>
    <row r="248" spans="1:18" x14ac:dyDescent="0.3">
      <c r="A248" s="141">
        <f t="shared" si="31"/>
        <v>171</v>
      </c>
      <c r="B248" s="142">
        <f t="shared" si="32"/>
        <v>49949</v>
      </c>
      <c r="C248" s="143">
        <f t="shared" si="33"/>
        <v>56645.479682858422</v>
      </c>
      <c r="D248" s="143">
        <f t="shared" si="34"/>
        <v>6061.2404526418959</v>
      </c>
      <c r="E248" s="145"/>
      <c r="F248" s="143">
        <f t="shared" si="26"/>
        <v>6061.2404526418959</v>
      </c>
      <c r="G248" s="143">
        <f t="shared" si="30"/>
        <v>708.06849603573028</v>
      </c>
      <c r="H248" s="143">
        <f t="shared" si="27"/>
        <v>5353.1719566061656</v>
      </c>
      <c r="I248" s="143">
        <f t="shared" si="28"/>
        <v>51292.307726252257</v>
      </c>
      <c r="J248" s="4"/>
      <c r="R248" s="139"/>
    </row>
    <row r="249" spans="1:18" x14ac:dyDescent="0.3">
      <c r="A249" s="141">
        <f t="shared" si="31"/>
        <v>172</v>
      </c>
      <c r="B249" s="142">
        <f t="shared" si="32"/>
        <v>49980</v>
      </c>
      <c r="C249" s="143">
        <f t="shared" si="33"/>
        <v>51292.307726252257</v>
      </c>
      <c r="D249" s="143">
        <f t="shared" si="34"/>
        <v>6061.2404526418959</v>
      </c>
      <c r="E249" s="145"/>
      <c r="F249" s="143">
        <f t="shared" si="26"/>
        <v>6061.2404526418959</v>
      </c>
      <c r="G249" s="143">
        <f t="shared" si="30"/>
        <v>641.15384657815321</v>
      </c>
      <c r="H249" s="143">
        <f t="shared" si="27"/>
        <v>5420.0866060637427</v>
      </c>
      <c r="I249" s="143">
        <f t="shared" si="28"/>
        <v>45872.221120188515</v>
      </c>
      <c r="J249" s="4"/>
      <c r="R249" s="139"/>
    </row>
    <row r="250" spans="1:18" x14ac:dyDescent="0.3">
      <c r="A250" s="141">
        <f t="shared" si="31"/>
        <v>173</v>
      </c>
      <c r="B250" s="142">
        <f t="shared" si="32"/>
        <v>50010</v>
      </c>
      <c r="C250" s="143">
        <f t="shared" si="33"/>
        <v>45872.221120188515</v>
      </c>
      <c r="D250" s="143">
        <f t="shared" si="34"/>
        <v>6061.2404526418959</v>
      </c>
      <c r="E250" s="145"/>
      <c r="F250" s="143">
        <f t="shared" si="26"/>
        <v>6061.2404526418959</v>
      </c>
      <c r="G250" s="143">
        <f t="shared" si="30"/>
        <v>573.40276400235643</v>
      </c>
      <c r="H250" s="143">
        <f t="shared" si="27"/>
        <v>5487.8376886395399</v>
      </c>
      <c r="I250" s="143">
        <f t="shared" si="28"/>
        <v>40384.383431548973</v>
      </c>
      <c r="J250" s="4"/>
      <c r="R250" s="139"/>
    </row>
    <row r="251" spans="1:18" x14ac:dyDescent="0.3">
      <c r="A251" s="141">
        <f t="shared" si="31"/>
        <v>174</v>
      </c>
      <c r="B251" s="142">
        <f t="shared" si="32"/>
        <v>50041</v>
      </c>
      <c r="C251" s="143">
        <f t="shared" si="33"/>
        <v>40384.383431548973</v>
      </c>
      <c r="D251" s="143">
        <f t="shared" si="34"/>
        <v>6061.2404526418959</v>
      </c>
      <c r="E251" s="145"/>
      <c r="F251" s="143">
        <f t="shared" si="26"/>
        <v>6061.2404526418959</v>
      </c>
      <c r="G251" s="143">
        <f t="shared" si="30"/>
        <v>504.80479289436221</v>
      </c>
      <c r="H251" s="143">
        <f t="shared" si="27"/>
        <v>5556.4356597475335</v>
      </c>
      <c r="I251" s="143">
        <f t="shared" si="28"/>
        <v>34827.947771801439</v>
      </c>
      <c r="J251" s="4"/>
      <c r="R251" s="139"/>
    </row>
    <row r="252" spans="1:18" x14ac:dyDescent="0.3">
      <c r="A252" s="141">
        <f t="shared" si="31"/>
        <v>175</v>
      </c>
      <c r="B252" s="142">
        <f t="shared" si="32"/>
        <v>50072</v>
      </c>
      <c r="C252" s="143">
        <f t="shared" si="33"/>
        <v>34827.947771801439</v>
      </c>
      <c r="D252" s="143">
        <f t="shared" si="34"/>
        <v>6061.2404526418959</v>
      </c>
      <c r="E252" s="145"/>
      <c r="F252" s="143">
        <f t="shared" si="26"/>
        <v>6061.2404526418959</v>
      </c>
      <c r="G252" s="143">
        <f t="shared" si="30"/>
        <v>435.34934714751802</v>
      </c>
      <c r="H252" s="143">
        <f t="shared" si="27"/>
        <v>5625.8911054943783</v>
      </c>
      <c r="I252" s="143">
        <f t="shared" si="28"/>
        <v>29202.05666630706</v>
      </c>
      <c r="J252" s="4"/>
      <c r="R252" s="139"/>
    </row>
    <row r="253" spans="1:18" x14ac:dyDescent="0.3">
      <c r="A253" s="141">
        <f t="shared" si="31"/>
        <v>176</v>
      </c>
      <c r="B253" s="142">
        <f t="shared" si="32"/>
        <v>50100</v>
      </c>
      <c r="C253" s="143">
        <f t="shared" si="33"/>
        <v>29202.05666630706</v>
      </c>
      <c r="D253" s="143">
        <f t="shared" si="34"/>
        <v>6061.2404526418959</v>
      </c>
      <c r="E253" s="145"/>
      <c r="F253" s="143">
        <f t="shared" si="26"/>
        <v>6061.2404526418959</v>
      </c>
      <c r="G253" s="143">
        <f t="shared" si="30"/>
        <v>365.02570832883828</v>
      </c>
      <c r="H253" s="143">
        <f t="shared" si="27"/>
        <v>5696.214744313058</v>
      </c>
      <c r="I253" s="143">
        <f t="shared" si="28"/>
        <v>23505.841921994004</v>
      </c>
      <c r="J253" s="4"/>
      <c r="R253" s="139"/>
    </row>
    <row r="254" spans="1:18" x14ac:dyDescent="0.3">
      <c r="A254" s="141">
        <f t="shared" si="31"/>
        <v>177</v>
      </c>
      <c r="B254" s="142">
        <f t="shared" si="32"/>
        <v>50131</v>
      </c>
      <c r="C254" s="143">
        <f t="shared" si="33"/>
        <v>23505.841921994004</v>
      </c>
      <c r="D254" s="143">
        <f t="shared" si="34"/>
        <v>6061.2404526418959</v>
      </c>
      <c r="E254" s="145"/>
      <c r="F254" s="143">
        <f t="shared" si="26"/>
        <v>6061.2404526418959</v>
      </c>
      <c r="G254" s="143">
        <f t="shared" si="30"/>
        <v>293.82302402492508</v>
      </c>
      <c r="H254" s="143">
        <f t="shared" si="27"/>
        <v>5767.4174286169709</v>
      </c>
      <c r="I254" s="143">
        <f t="shared" si="28"/>
        <v>17738.424493377031</v>
      </c>
      <c r="J254" s="4"/>
      <c r="R254" s="139"/>
    </row>
    <row r="255" spans="1:18" x14ac:dyDescent="0.3">
      <c r="A255" s="141">
        <f t="shared" si="31"/>
        <v>178</v>
      </c>
      <c r="B255" s="142">
        <f t="shared" si="32"/>
        <v>50161</v>
      </c>
      <c r="C255" s="143">
        <f t="shared" si="33"/>
        <v>17738.424493377031</v>
      </c>
      <c r="D255" s="143">
        <f t="shared" si="34"/>
        <v>6061.2404526418959</v>
      </c>
      <c r="E255" s="145"/>
      <c r="F255" s="143">
        <f t="shared" si="26"/>
        <v>6061.2404526418959</v>
      </c>
      <c r="G255" s="143">
        <f t="shared" si="30"/>
        <v>221.73030616721292</v>
      </c>
      <c r="H255" s="143">
        <f t="shared" si="27"/>
        <v>5839.5101464746831</v>
      </c>
      <c r="I255" s="143">
        <f t="shared" si="28"/>
        <v>11898.914346902347</v>
      </c>
      <c r="J255" s="4"/>
      <c r="R255" s="139"/>
    </row>
    <row r="256" spans="1:18" x14ac:dyDescent="0.3">
      <c r="A256" s="141">
        <f t="shared" si="31"/>
        <v>179</v>
      </c>
      <c r="B256" s="142">
        <f t="shared" si="32"/>
        <v>50192</v>
      </c>
      <c r="C256" s="143">
        <f t="shared" si="33"/>
        <v>11898.914346902347</v>
      </c>
      <c r="D256" s="143">
        <f t="shared" si="34"/>
        <v>6061.2404526418959</v>
      </c>
      <c r="E256" s="145"/>
      <c r="F256" s="143">
        <f t="shared" si="26"/>
        <v>6061.2404526418959</v>
      </c>
      <c r="G256" s="143">
        <f t="shared" si="30"/>
        <v>148.73642933627934</v>
      </c>
      <c r="H256" s="143">
        <f t="shared" si="27"/>
        <v>5912.504023305617</v>
      </c>
      <c r="I256" s="143">
        <f t="shared" si="28"/>
        <v>5986.4103235967304</v>
      </c>
      <c r="J256" s="4"/>
      <c r="R256" s="139"/>
    </row>
    <row r="257" spans="1:18" x14ac:dyDescent="0.3">
      <c r="A257" s="141">
        <f t="shared" si="31"/>
        <v>180</v>
      </c>
      <c r="B257" s="142">
        <f t="shared" si="32"/>
        <v>50222</v>
      </c>
      <c r="C257" s="143">
        <f t="shared" si="33"/>
        <v>5986.4103235967304</v>
      </c>
      <c r="D257" s="143">
        <f t="shared" si="34"/>
        <v>6061.2404526418959</v>
      </c>
      <c r="E257" s="145"/>
      <c r="F257" s="143">
        <f t="shared" si="26"/>
        <v>6061.2404526418959</v>
      </c>
      <c r="G257" s="143">
        <f t="shared" si="30"/>
        <v>74.830129044959136</v>
      </c>
      <c r="H257" s="143">
        <f t="shared" si="27"/>
        <v>5986.4103235969369</v>
      </c>
      <c r="I257" s="143">
        <f t="shared" si="28"/>
        <v>-2.0645529730245471E-10</v>
      </c>
      <c r="J257" s="50"/>
      <c r="R257" s="139"/>
    </row>
    <row r="258" spans="1:18" hidden="1" x14ac:dyDescent="0.3">
      <c r="A258" s="23"/>
      <c r="B258" s="23"/>
      <c r="C258" s="24"/>
      <c r="D258" s="26"/>
      <c r="E258" s="26"/>
      <c r="F258" s="26"/>
      <c r="G258" s="24"/>
      <c r="H258" s="26">
        <f>SUBTOTAL(109,Tabla131524361019[ABONO A CAPITAL])</f>
        <v>254781.76819516771</v>
      </c>
      <c r="I258" s="26">
        <f>I257</f>
        <v>-2.0645529730245471E-10</v>
      </c>
      <c r="J258" s="50"/>
      <c r="R258" s="139"/>
    </row>
    <row r="259" spans="1:18" x14ac:dyDescent="0.3">
      <c r="A259" s="23"/>
      <c r="B259" s="23"/>
      <c r="C259" s="24"/>
      <c r="D259" s="25"/>
      <c r="E259" s="26"/>
      <c r="F259" s="26"/>
      <c r="G259" s="24"/>
      <c r="H259" s="26"/>
      <c r="I259" s="26"/>
      <c r="J259" s="50"/>
      <c r="R259" s="139"/>
    </row>
    <row r="260" spans="1:1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50"/>
    </row>
    <row r="261" spans="1:1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50"/>
    </row>
    <row r="262" spans="1:1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50"/>
    </row>
    <row r="263" spans="1:1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50"/>
    </row>
    <row r="264" spans="1:1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50"/>
    </row>
    <row r="265" spans="1:1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50"/>
    </row>
    <row r="266" spans="1:1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50"/>
    </row>
    <row r="267" spans="1:1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50"/>
    </row>
    <row r="268" spans="1:1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50"/>
    </row>
    <row r="269" spans="1:1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35"/>
    </row>
    <row r="270" spans="1:1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38"/>
    </row>
    <row r="271" spans="1:1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38"/>
    </row>
    <row r="272" spans="1:1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38"/>
    </row>
    <row r="273" spans="1:10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38"/>
    </row>
    <row r="274" spans="1:1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38"/>
    </row>
    <row r="275" spans="1:10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38"/>
    </row>
    <row r="276" spans="1:10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38"/>
    </row>
    <row r="277" spans="1:10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38"/>
    </row>
    <row r="278" spans="1:10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38"/>
    </row>
    <row r="279" spans="1:10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38"/>
    </row>
    <row r="280" spans="1:10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38"/>
    </row>
    <row r="281" spans="1:10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38"/>
    </row>
    <row r="282" spans="1:10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38"/>
    </row>
    <row r="283" spans="1:10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38"/>
    </row>
    <row r="284" spans="1:10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38"/>
    </row>
    <row r="285" spans="1:10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38"/>
    </row>
    <row r="286" spans="1:10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38"/>
    </row>
    <row r="287" spans="1:10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38"/>
    </row>
    <row r="288" spans="1:10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38"/>
    </row>
    <row r="289" spans="1:9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3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3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3">
      <c r="A311" s="2"/>
      <c r="B311" s="2"/>
      <c r="C311" s="2"/>
      <c r="D311" s="2"/>
      <c r="E311" s="2"/>
      <c r="F311" s="2"/>
      <c r="G311" s="2"/>
      <c r="H311" s="2"/>
      <c r="I311" s="2"/>
    </row>
  </sheetData>
  <sheetProtection algorithmName="SHA-512" hashValue="PBS3Rzt1Lv3YEyn68n5xwU5POMsr24U/JO9dlSm8fzIoKJqnDw/sQL9iLo3hkcNAT6/Q/mXIUL4kp2AmQlON6g==" saltValue="svUVS+AJISJKzsyfbFrPEQ==" spinCount="100000" sheet="1" objects="1" scenarios="1"/>
  <mergeCells count="11">
    <mergeCell ref="A33:J33"/>
    <mergeCell ref="L11:N11"/>
    <mergeCell ref="C1:H1"/>
    <mergeCell ref="I2:J2"/>
    <mergeCell ref="I3:J3"/>
    <mergeCell ref="A32:I32"/>
    <mergeCell ref="A31:G31"/>
    <mergeCell ref="H31:I31"/>
    <mergeCell ref="H30:I30"/>
    <mergeCell ref="A1:B5"/>
    <mergeCell ref="D2:F2"/>
  </mergeCells>
  <conditionalFormatting sqref="A108:J108 C100:J107 C188:J195 S36:XFD121 A185:J186 C34:J43 F4 H6:I6 C16:H16 C1 G22:H25 G27:H28 I2:I3 G26 C11 I7 J260:J311 L34:XFD35 A312:J1048576 L122:XFD1048576 B6:B10 C7:C9 C14:E15 E13 C12:E12 D24:F28 C25:C28 B29:G29 A30 I18 G21 J19:J21 B18 D18:E21 A196:J259 A182:A184 C182:J184 A44:J98 B99:J99 B187:J187">
    <cfRule type="containsErrors" dxfId="138" priority="108">
      <formula>ISERROR(A1)</formula>
    </cfRule>
  </conditionalFormatting>
  <conditionalFormatting sqref="A108:J108 A182:A184 C182:J184">
    <cfRule type="containsText" dxfId="137" priority="103" operator="containsText" text="FALSO">
      <formula>NOT(ISERROR(SEARCH("FALSO",A108)))</formula>
    </cfRule>
    <cfRule type="containsErrors" dxfId="136" priority="104">
      <formula>ISERROR(A108)</formula>
    </cfRule>
  </conditionalFormatting>
  <conditionalFormatting sqref="F5">
    <cfRule type="containsErrors" dxfId="135" priority="95">
      <formula>ISERROR(F5)</formula>
    </cfRule>
  </conditionalFormatting>
  <conditionalFormatting sqref="G17:G20">
    <cfRule type="containsErrors" dxfId="134" priority="94">
      <formula>ISERROR(G17)</formula>
    </cfRule>
  </conditionalFormatting>
  <conditionalFormatting sqref="D3">
    <cfRule type="containsErrors" dxfId="133" priority="91">
      <formula>ISERROR(D3)</formula>
    </cfRule>
  </conditionalFormatting>
  <conditionalFormatting sqref="C2">
    <cfRule type="containsErrors" dxfId="132" priority="90">
      <formula>ISERROR(C2)</formula>
    </cfRule>
  </conditionalFormatting>
  <conditionalFormatting sqref="C3">
    <cfRule type="containsErrors" dxfId="131" priority="89">
      <formula>ISERROR(C3)</formula>
    </cfRule>
  </conditionalFormatting>
  <conditionalFormatting sqref="C22:F22 B25:B28 D23:F23">
    <cfRule type="containsErrors" dxfId="130" priority="88">
      <formula>ISERROR(B22)</formula>
    </cfRule>
  </conditionalFormatting>
  <conditionalFormatting sqref="H3">
    <cfRule type="containsErrors" dxfId="129" priority="85">
      <formula>ISERROR(H3)</formula>
    </cfRule>
  </conditionalFormatting>
  <conditionalFormatting sqref="A260:I311">
    <cfRule type="containsErrors" dxfId="128" priority="84">
      <formula>ISERROR(A260)</formula>
    </cfRule>
  </conditionalFormatting>
  <conditionalFormatting sqref="D2">
    <cfRule type="containsErrors" dxfId="127" priority="83">
      <formula>ISERROR(D2)</formula>
    </cfRule>
  </conditionalFormatting>
  <conditionalFormatting sqref="H26">
    <cfRule type="containsErrors" dxfId="126" priority="82">
      <formula>ISERROR(H26)</formula>
    </cfRule>
  </conditionalFormatting>
  <conditionalFormatting sqref="H29">
    <cfRule type="containsErrors" dxfId="125" priority="81">
      <formula>ISERROR(H29)</formula>
    </cfRule>
  </conditionalFormatting>
  <conditionalFormatting sqref="D7:D8">
    <cfRule type="expression" dxfId="124" priority="80">
      <formula>ISERROR(D39)</formula>
    </cfRule>
  </conditionalFormatting>
  <conditionalFormatting sqref="D11">
    <cfRule type="expression" dxfId="123" priority="78">
      <formula>ISERROR(D11)</formula>
    </cfRule>
  </conditionalFormatting>
  <conditionalFormatting sqref="D10">
    <cfRule type="expression" dxfId="122" priority="77">
      <formula>ISERROR(D42)</formula>
    </cfRule>
  </conditionalFormatting>
  <conditionalFormatting sqref="A32">
    <cfRule type="expression" dxfId="121" priority="76">
      <formula>ISERROR(A41)</formula>
    </cfRule>
  </conditionalFormatting>
  <conditionalFormatting sqref="A31">
    <cfRule type="expression" dxfId="120" priority="75">
      <formula>ISERROR(A40)</formula>
    </cfRule>
  </conditionalFormatting>
  <conditionalFormatting sqref="H7">
    <cfRule type="containsErrors" dxfId="119" priority="66">
      <formula>ISERROR(H7)</formula>
    </cfRule>
  </conditionalFormatting>
  <conditionalFormatting sqref="H7">
    <cfRule type="containsErrors" dxfId="118" priority="65">
      <formula>ISERROR(H7)</formula>
    </cfRule>
  </conditionalFormatting>
  <conditionalFormatting sqref="H8">
    <cfRule type="containsErrors" dxfId="117" priority="64">
      <formula>ISERROR(H8)</formula>
    </cfRule>
  </conditionalFormatting>
  <conditionalFormatting sqref="H9">
    <cfRule type="containsErrors" dxfId="116" priority="63">
      <formula>ISERROR(H9)</formula>
    </cfRule>
  </conditionalFormatting>
  <conditionalFormatting sqref="H9">
    <cfRule type="containsErrors" dxfId="115" priority="62">
      <formula>ISERROR(H9)</formula>
    </cfRule>
  </conditionalFormatting>
  <conditionalFormatting sqref="H10">
    <cfRule type="containsErrors" dxfId="114" priority="61">
      <formula>ISERROR(H10)</formula>
    </cfRule>
  </conditionalFormatting>
  <conditionalFormatting sqref="H10">
    <cfRule type="containsErrors" dxfId="113" priority="60">
      <formula>ISERROR(H10)</formula>
    </cfRule>
  </conditionalFormatting>
  <conditionalFormatting sqref="H11">
    <cfRule type="containsErrors" dxfId="112" priority="59">
      <formula>ISERROR(H11)</formula>
    </cfRule>
  </conditionalFormatting>
  <conditionalFormatting sqref="H12">
    <cfRule type="containsErrors" dxfId="111" priority="58">
      <formula>ISERROR(H12)</formula>
    </cfRule>
  </conditionalFormatting>
  <conditionalFormatting sqref="H13">
    <cfRule type="containsErrors" dxfId="110" priority="57">
      <formula>ISERROR(H13)</formula>
    </cfRule>
  </conditionalFormatting>
  <conditionalFormatting sqref="H13">
    <cfRule type="containsErrors" dxfId="109" priority="56">
      <formula>ISERROR(H13)</formula>
    </cfRule>
  </conditionalFormatting>
  <conditionalFormatting sqref="H14">
    <cfRule type="containsErrors" dxfId="108" priority="55">
      <formula>ISERROR(H14)</formula>
    </cfRule>
  </conditionalFormatting>
  <conditionalFormatting sqref="H15">
    <cfRule type="containsErrors" dxfId="107" priority="54">
      <formula>ISERROR(H15)</formula>
    </cfRule>
  </conditionalFormatting>
  <conditionalFormatting sqref="L9:L10">
    <cfRule type="containsErrors" dxfId="106" priority="53">
      <formula>ISERROR(L9)</formula>
    </cfRule>
  </conditionalFormatting>
  <conditionalFormatting sqref="I11">
    <cfRule type="containsErrors" dxfId="105" priority="48">
      <formula>ISERROR(I11)</formula>
    </cfRule>
  </conditionalFormatting>
  <conditionalFormatting sqref="I11">
    <cfRule type="cellIs" dxfId="104" priority="46" operator="equal">
      <formula>0</formula>
    </cfRule>
    <cfRule type="cellIs" dxfId="103" priority="47" operator="lessThan">
      <formula>0.0001</formula>
    </cfRule>
  </conditionalFormatting>
  <conditionalFormatting sqref="H5">
    <cfRule type="containsErrors" dxfId="102" priority="45">
      <formula>ISERROR(H5)</formula>
    </cfRule>
  </conditionalFormatting>
  <conditionalFormatting sqref="I5">
    <cfRule type="containsErrors" dxfId="101" priority="44">
      <formula>ISERROR(I5)</formula>
    </cfRule>
  </conditionalFormatting>
  <conditionalFormatting sqref="C5">
    <cfRule type="containsErrors" dxfId="100" priority="43">
      <formula>ISERROR(C5)</formula>
    </cfRule>
  </conditionalFormatting>
  <conditionalFormatting sqref="C5">
    <cfRule type="containsErrors" dxfId="99" priority="42">
      <formula>ISERROR(C5)</formula>
    </cfRule>
  </conditionalFormatting>
  <conditionalFormatting sqref="H20:I20 H19:H21">
    <cfRule type="containsErrors" dxfId="98" priority="41">
      <formula>ISERROR(H19)</formula>
    </cfRule>
  </conditionalFormatting>
  <conditionalFormatting sqref="I19:I21">
    <cfRule type="containsErrors" dxfId="97" priority="40">
      <formula>ISERROR(I19)</formula>
    </cfRule>
  </conditionalFormatting>
  <conditionalFormatting sqref="H21:I21">
    <cfRule type="containsErrors" dxfId="96" priority="39">
      <formula>ISERROR(H21)</formula>
    </cfRule>
  </conditionalFormatting>
  <conditionalFormatting sqref="I21">
    <cfRule type="containsErrors" dxfId="95" priority="38">
      <formula>ISERROR(I21)</formula>
    </cfRule>
  </conditionalFormatting>
  <conditionalFormatting sqref="H17">
    <cfRule type="containsErrors" dxfId="94" priority="37">
      <formula>ISERROR(H17)</formula>
    </cfRule>
  </conditionalFormatting>
  <conditionalFormatting sqref="J17">
    <cfRule type="containsErrors" dxfId="93" priority="36">
      <formula>ISERROR(J17)</formula>
    </cfRule>
  </conditionalFormatting>
  <conditionalFormatting sqref="B19:C19">
    <cfRule type="containsErrors" dxfId="92" priority="34">
      <formula>ISERROR(B19)</formula>
    </cfRule>
  </conditionalFormatting>
  <conditionalFormatting sqref="C19">
    <cfRule type="containsErrors" dxfId="91" priority="33">
      <formula>ISERROR(C19)</formula>
    </cfRule>
  </conditionalFormatting>
  <conditionalFormatting sqref="B20:C20">
    <cfRule type="containsErrors" dxfId="90" priority="32">
      <formula>ISERROR(B20)</formula>
    </cfRule>
  </conditionalFormatting>
  <conditionalFormatting sqref="C20">
    <cfRule type="containsErrors" dxfId="89" priority="31">
      <formula>ISERROR(C20)</formula>
    </cfRule>
  </conditionalFormatting>
  <conditionalFormatting sqref="B21:C21">
    <cfRule type="containsErrors" dxfId="88" priority="30">
      <formula>ISERROR(B21)</formula>
    </cfRule>
  </conditionalFormatting>
  <conditionalFormatting sqref="C21">
    <cfRule type="containsErrors" dxfId="87" priority="29">
      <formula>ISERROR(C21)</formula>
    </cfRule>
  </conditionalFormatting>
  <conditionalFormatting sqref="B17">
    <cfRule type="containsErrors" dxfId="86" priority="28">
      <formula>ISERROR(B17)</formula>
    </cfRule>
  </conditionalFormatting>
  <conditionalFormatting sqref="I12">
    <cfRule type="containsErrors" dxfId="85" priority="27">
      <formula>ISERROR(I12)</formula>
    </cfRule>
  </conditionalFormatting>
  <conditionalFormatting sqref="I12">
    <cfRule type="cellIs" dxfId="84" priority="25" operator="equal">
      <formula>0</formula>
    </cfRule>
    <cfRule type="cellIs" dxfId="83" priority="26" operator="lessThan">
      <formula>0.0001</formula>
    </cfRule>
  </conditionalFormatting>
  <conditionalFormatting sqref="I13">
    <cfRule type="containsErrors" dxfId="82" priority="23">
      <formula>ISERROR(I13)</formula>
    </cfRule>
  </conditionalFormatting>
  <conditionalFormatting sqref="I13">
    <cfRule type="cellIs" dxfId="81" priority="21" operator="equal">
      <formula>0</formula>
    </cfRule>
    <cfRule type="cellIs" dxfId="80" priority="22" operator="lessThan">
      <formula>0.0001</formula>
    </cfRule>
  </conditionalFormatting>
  <conditionalFormatting sqref="I14:I15">
    <cfRule type="containsErrors" dxfId="79" priority="19">
      <formula>ISERROR(I14)</formula>
    </cfRule>
  </conditionalFormatting>
  <conditionalFormatting sqref="I14:I15">
    <cfRule type="cellIs" dxfId="78" priority="17" operator="equal">
      <formula>0</formula>
    </cfRule>
    <cfRule type="cellIs" dxfId="77" priority="18" operator="lessThan">
      <formula>0.0001</formula>
    </cfRule>
  </conditionalFormatting>
  <conditionalFormatting sqref="I10">
    <cfRule type="containsErrors" dxfId="76" priority="15">
      <formula>ISERROR(I10)</formula>
    </cfRule>
  </conditionalFormatting>
  <conditionalFormatting sqref="I10">
    <cfRule type="cellIs" dxfId="75" priority="13" operator="equal">
      <formula>0</formula>
    </cfRule>
    <cfRule type="cellIs" dxfId="74" priority="14" operator="lessThan">
      <formula>0.0001</formula>
    </cfRule>
  </conditionalFormatting>
  <conditionalFormatting sqref="D9">
    <cfRule type="expression" dxfId="73" priority="12">
      <formula>ISERROR(D41)</formula>
    </cfRule>
  </conditionalFormatting>
  <conditionalFormatting sqref="D122:D181">
    <cfRule type="containsText" dxfId="72" priority="11" operator="containsText" text="FALSO">
      <formula>NOT(ISERROR(SEARCH("FALSO",D122)))</formula>
    </cfRule>
  </conditionalFormatting>
  <conditionalFormatting sqref="D198:D257">
    <cfRule type="containsText" dxfId="71" priority="10" operator="containsText" text="FALSO">
      <formula>NOT(ISERROR(SEARCH("FALSO",D198)))</formula>
    </cfRule>
  </conditionalFormatting>
  <conditionalFormatting sqref="D45:D122">
    <cfRule type="containsText" dxfId="70" priority="9" operator="containsText" text="FALSO">
      <formula>NOT(ISERROR(SEARCH("FALSO",D45)))</formula>
    </cfRule>
  </conditionalFormatting>
  <conditionalFormatting sqref="B198:B257">
    <cfRule type="containsText" dxfId="69" priority="8" operator="containsText" text="FALSO">
      <formula>NOT(ISERROR(SEARCH("FALSO",B198)))</formula>
    </cfRule>
  </conditionalFormatting>
  <conditionalFormatting sqref="A197:A257">
    <cfRule type="containsText" dxfId="68" priority="7" operator="containsText" text="FALSO">
      <formula>NOT(ISERROR(SEARCH("FALSO",A197)))</formula>
    </cfRule>
  </conditionalFormatting>
  <conditionalFormatting sqref="A45:A96">
    <cfRule type="containsText" dxfId="67" priority="6" operator="containsText" text="FALSO">
      <formula>NOT(ISERROR(SEARCH("FALSO",A45)))</formula>
    </cfRule>
  </conditionalFormatting>
  <conditionalFormatting sqref="C178:C181">
    <cfRule type="containsText" dxfId="66" priority="5" operator="containsText" text="FALSO">
      <formula>NOT(ISERROR(SEARCH("FALSO",C178)))</formula>
    </cfRule>
  </conditionalFormatting>
  <conditionalFormatting sqref="A33">
    <cfRule type="expression" dxfId="65" priority="4">
      <formula>ISERROR(A42)</formula>
    </cfRule>
  </conditionalFormatting>
  <conditionalFormatting sqref="A99">
    <cfRule type="expression" dxfId="64" priority="3">
      <formula>ISERROR(A109)</formula>
    </cfRule>
  </conditionalFormatting>
  <conditionalFormatting sqref="A187">
    <cfRule type="expression" dxfId="63" priority="2">
      <formula>ISERROR(A197)</formula>
    </cfRule>
  </conditionalFormatting>
  <conditionalFormatting sqref="L12:L13">
    <cfRule type="containsErrors" dxfId="62" priority="1">
      <formula>ISERROR(L12)</formula>
    </cfRule>
  </conditionalFormatting>
  <dataValidations xWindow="444" yWindow="393" count="3">
    <dataValidation allowBlank="1" showInputMessage="1" showErrorMessage="1" promptTitle="PAGO DE MENSUALIDAD" prompt="*Si aparta del 1 al  5 de mes 1ra mensualidad es el mes siguiente._x000a_*Si apartadel 6  al 31 de mes 1ra mensualidad es hasta el mes entrante._x000a_Ejemplo:_x000a_ Apartado 1 al 5 de Junio_x000a_    Mensualidad 1 de Julio_x000a_Apartado 6 al 31 de Junio _x000a_    Mensualidad 1 de Agosto" sqref="B45" xr:uid="{00000000-0002-0000-0100-000000000000}"/>
    <dataValidation operator="lessThanOrEqual" allowBlank="1" showInputMessage="1" showErrorMessage="1" promptTitle="DESCUENTO P.L" prompt="Colocar % de descuento en base a promoción vigente" sqref="J8" xr:uid="{9F52AE75-F067-48F9-9B67-7D8DD597D971}"/>
    <dataValidation allowBlank="1" showInputMessage="1" showErrorMessage="1" promptTitle="DESCUENTO ENGANCHE" prompt="Colocar % de Descuento en base a promoción vigente." sqref="J11" xr:uid="{584D823C-1522-4807-A4F4-342EF51CEEAA}"/>
  </dataValidations>
  <pageMargins left="0.70866141732283472" right="0.70866141732283472" top="1.5354330708661419" bottom="0.94488188976377963" header="0.31496062992125984" footer="0.31496062992125984"/>
  <pageSetup scale="41" orientation="portrait" r:id="rId1"/>
  <headerFooter scaleWithDoc="0">
    <oddHeader>&amp;C&amp;G</oddHeader>
    <oddFooter>&amp;C&amp;G</oddFooter>
  </headerFooter>
  <rowBreaks count="2" manualBreakCount="2">
    <brk id="97" max="10" man="1"/>
    <brk id="186" max="10" man="1"/>
  </rowBreaks>
  <drawing r:id="rId2"/>
  <legacyDrawing r:id="rId3"/>
  <legacyDrawingHF r:id="rId4"/>
  <tableParts count="3"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xWindow="444" yWindow="393" count="3">
        <x14:dataValidation type="list" allowBlank="1" showInputMessage="1" showErrorMessage="1" xr:uid="{00000000-0002-0000-0100-000001000000}">
          <x14:formula1>
            <xm:f>DATOS!$F$2:$F$33</xm:f>
          </x14:formula1>
          <xm:sqref>D7</xm:sqref>
        </x14:dataValidation>
        <x14:dataValidation type="list" allowBlank="1" showInputMessage="1" showErrorMessage="1" xr:uid="{00000000-0002-0000-0100-000002000000}">
          <x14:formula1>
            <xm:f>DATOS!$E$3:$E$14</xm:f>
          </x14:formula1>
          <xm:sqref>D11</xm:sqref>
        </x14:dataValidation>
        <x14:dataValidation type="list" allowBlank="1" showInputMessage="1" showErrorMessage="1" xr:uid="{00000000-0002-0000-0100-000003000000}">
          <x14:formula1>
            <xm:f>DATOS!$G$3:$G$17</xm:f>
          </x14:formula1>
          <xm:sqref>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X135"/>
  <sheetViews>
    <sheetView showGridLines="0" zoomScale="73" zoomScaleNormal="73" workbookViewId="0">
      <selection activeCell="K23" sqref="K23:AU23"/>
    </sheetView>
  </sheetViews>
  <sheetFormatPr baseColWidth="10" defaultColWidth="11" defaultRowHeight="16.5" outlineLevelRow="1" x14ac:dyDescent="0.3"/>
  <cols>
    <col min="1" max="1" width="3.875" style="177" customWidth="1"/>
    <col min="2" max="2" width="6.75" style="177" customWidth="1"/>
    <col min="3" max="9" width="3.125" style="177" customWidth="1"/>
    <col min="10" max="10" width="6.375" style="177" customWidth="1"/>
    <col min="11" max="15" width="3.125" style="177" customWidth="1"/>
    <col min="16" max="16" width="13.875" style="177" bestFit="1" customWidth="1"/>
    <col min="17" max="26" width="3.125" style="177" customWidth="1"/>
    <col min="27" max="27" width="11.625" style="177" customWidth="1"/>
    <col min="28" max="29" width="3.125" style="177" customWidth="1"/>
    <col min="30" max="30" width="4.375" style="177" customWidth="1"/>
    <col min="31" max="31" width="6.375" style="177" customWidth="1"/>
    <col min="32" max="36" width="3.125" style="177" customWidth="1"/>
    <col min="37" max="37" width="2.875" style="177" customWidth="1"/>
    <col min="38" max="38" width="8.125" style="177" customWidth="1"/>
    <col min="39" max="46" width="3.125" style="177" customWidth="1"/>
    <col min="47" max="47" width="16.625" style="177" customWidth="1"/>
    <col min="48" max="49" width="11" style="177"/>
    <col min="50" max="50" width="11" style="177" hidden="1" customWidth="1"/>
    <col min="51" max="16384" width="11" style="177"/>
  </cols>
  <sheetData>
    <row r="1" spans="2:50" s="215" customFormat="1" x14ac:dyDescent="0.3">
      <c r="AX1" s="216" t="s">
        <v>117</v>
      </c>
    </row>
    <row r="2" spans="2:50" s="215" customFormat="1" ht="27.75" customHeight="1" x14ac:dyDescent="0.3">
      <c r="B2" s="306" t="s">
        <v>159</v>
      </c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6"/>
      <c r="AM2" s="306"/>
      <c r="AN2" s="306"/>
      <c r="AO2" s="306"/>
      <c r="AP2" s="306"/>
      <c r="AQ2" s="306"/>
      <c r="AR2" s="306"/>
      <c r="AS2" s="306"/>
      <c r="AT2" s="306"/>
      <c r="AU2" s="306"/>
      <c r="AX2" s="216" t="s">
        <v>118</v>
      </c>
    </row>
    <row r="3" spans="2:50" s="217" customFormat="1" ht="6" customHeight="1" thickBot="1" x14ac:dyDescent="0.35"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7"/>
      <c r="AQ3" s="307"/>
      <c r="AR3" s="307"/>
      <c r="AS3" s="307"/>
      <c r="AT3" s="307"/>
      <c r="AU3" s="308"/>
    </row>
    <row r="4" spans="2:50" s="215" customFormat="1" ht="26.25" thickBot="1" x14ac:dyDescent="0.35">
      <c r="B4" s="309" t="s">
        <v>43</v>
      </c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0"/>
      <c r="AR4" s="310"/>
      <c r="AS4" s="310"/>
      <c r="AT4" s="310"/>
      <c r="AU4" s="311"/>
    </row>
    <row r="5" spans="2:50" s="215" customFormat="1" ht="24" customHeight="1" outlineLevel="1" thickBot="1" x14ac:dyDescent="0.35">
      <c r="C5" s="218"/>
      <c r="D5" s="218"/>
      <c r="E5" s="218"/>
      <c r="F5" s="218"/>
      <c r="G5" s="219" t="s">
        <v>44</v>
      </c>
      <c r="H5" s="289" t="str">
        <f>SIMULADOR!$E$3</f>
        <v>MANGLAR</v>
      </c>
      <c r="I5" s="289"/>
      <c r="J5" s="289"/>
      <c r="K5" s="289"/>
      <c r="L5" s="289"/>
      <c r="M5" s="289"/>
      <c r="N5" s="289"/>
      <c r="O5" s="289"/>
      <c r="P5" s="289"/>
      <c r="Q5" s="289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20"/>
      <c r="AJ5" s="220"/>
      <c r="AK5" s="220"/>
      <c r="AL5" s="220"/>
      <c r="AM5" s="220"/>
      <c r="AN5" s="220"/>
      <c r="AO5" s="220"/>
      <c r="AP5" s="220"/>
      <c r="AQ5" s="218"/>
      <c r="AR5" s="218"/>
      <c r="AS5" s="218"/>
      <c r="AT5" s="221" t="s">
        <v>45</v>
      </c>
      <c r="AU5" s="222"/>
    </row>
    <row r="6" spans="2:50" s="215" customFormat="1" ht="24" customHeight="1" outlineLevel="1" thickBot="1" x14ac:dyDescent="0.35">
      <c r="B6" s="223"/>
      <c r="C6" s="223"/>
      <c r="D6" s="223"/>
      <c r="E6" s="223"/>
      <c r="F6" s="223"/>
      <c r="G6" s="223"/>
      <c r="H6" s="290"/>
      <c r="I6" s="290"/>
      <c r="J6" s="290"/>
      <c r="K6" s="290"/>
      <c r="L6" s="290"/>
      <c r="M6" s="290"/>
      <c r="N6" s="290"/>
      <c r="O6" s="290"/>
      <c r="P6" s="290"/>
      <c r="Q6" s="290"/>
      <c r="T6" s="223"/>
      <c r="U6" s="223"/>
      <c r="V6" s="223"/>
      <c r="W6" s="223"/>
      <c r="X6" s="223"/>
      <c r="Y6" s="223"/>
      <c r="Z6" s="223"/>
      <c r="AA6" s="224" t="s">
        <v>46</v>
      </c>
      <c r="AB6" s="291">
        <f>IF(SIMULADOR!$D$9="","",SIMULADOR!$D$9)</f>
        <v>128</v>
      </c>
      <c r="AC6" s="291"/>
      <c r="AD6" s="291"/>
      <c r="AE6" s="291"/>
      <c r="AF6" s="291"/>
      <c r="AG6" s="291"/>
      <c r="AH6" s="291"/>
      <c r="AI6" s="291"/>
      <c r="AQ6" s="223"/>
      <c r="AR6" s="223"/>
      <c r="AS6" s="223"/>
      <c r="AT6" s="225" t="s">
        <v>47</v>
      </c>
      <c r="AU6" s="226">
        <f>IF(SIMULADOR!$I$15="","",SIMULADOR!$I$15)</f>
        <v>565027.77600000007</v>
      </c>
      <c r="AX6" s="216" t="s">
        <v>119</v>
      </c>
    </row>
    <row r="7" spans="2:50" s="215" customFormat="1" ht="24" customHeight="1" outlineLevel="1" thickBot="1" x14ac:dyDescent="0.35">
      <c r="C7" s="227"/>
      <c r="D7" s="227"/>
      <c r="E7" s="227"/>
      <c r="F7" s="227"/>
      <c r="G7" s="228" t="s">
        <v>48</v>
      </c>
      <c r="H7" s="289" t="str">
        <f>IF(SIMULADOR!$D$9="","",SIMULADOR!$D$7)</f>
        <v>MANGLAR 2</v>
      </c>
      <c r="I7" s="289"/>
      <c r="J7" s="289"/>
      <c r="K7" s="289"/>
      <c r="L7" s="289"/>
      <c r="M7" s="289"/>
      <c r="N7" s="289"/>
      <c r="O7" s="289"/>
      <c r="P7" s="289"/>
      <c r="Q7" s="289"/>
      <c r="T7" s="227"/>
      <c r="U7" s="227"/>
      <c r="V7" s="227"/>
      <c r="W7" s="227"/>
      <c r="X7" s="227"/>
      <c r="Y7" s="227"/>
      <c r="Z7" s="227"/>
      <c r="AA7" s="224" t="s">
        <v>49</v>
      </c>
      <c r="AB7" s="292">
        <f>IF(SIMULADOR!$D$12="","",SIMULADOR!$D$12)</f>
        <v>4904.7550000000001</v>
      </c>
      <c r="AC7" s="292"/>
      <c r="AD7" s="292"/>
      <c r="AE7" s="292"/>
      <c r="AF7" s="292"/>
      <c r="AG7" s="292"/>
      <c r="AH7" s="292"/>
      <c r="AI7" s="292"/>
      <c r="AQ7" s="227"/>
      <c r="AR7" s="227"/>
      <c r="AS7" s="227"/>
      <c r="AT7" s="224" t="s">
        <v>50</v>
      </c>
      <c r="AU7" s="229">
        <f>IF(SIMULADOR!$D$18="","",SIMULADOR!$D$18)</f>
        <v>15</v>
      </c>
      <c r="AX7" s="216" t="s">
        <v>120</v>
      </c>
    </row>
    <row r="8" spans="2:50" s="215" customFormat="1" ht="24" customHeight="1" outlineLevel="1" thickBot="1" x14ac:dyDescent="0.35">
      <c r="B8" s="223"/>
      <c r="C8" s="223"/>
      <c r="D8" s="223"/>
      <c r="E8" s="223"/>
      <c r="F8" s="223"/>
      <c r="G8" s="223"/>
      <c r="H8" s="290"/>
      <c r="I8" s="290"/>
      <c r="J8" s="290"/>
      <c r="K8" s="290"/>
      <c r="L8" s="290"/>
      <c r="M8" s="290"/>
      <c r="N8" s="290"/>
      <c r="O8" s="290"/>
      <c r="P8" s="290"/>
      <c r="Q8" s="290"/>
      <c r="T8" s="223"/>
      <c r="U8" s="223"/>
      <c r="V8" s="223"/>
      <c r="W8" s="223"/>
      <c r="X8" s="223"/>
      <c r="Y8" s="223"/>
      <c r="Z8" s="223"/>
      <c r="AA8" s="224" t="s">
        <v>96</v>
      </c>
      <c r="AB8" s="293">
        <f>IF(SIMULADOR!$I$14="","",SIMULADOR!$I$14)</f>
        <v>621530.5536000001</v>
      </c>
      <c r="AC8" s="294"/>
      <c r="AD8" s="294"/>
      <c r="AE8" s="294"/>
      <c r="AF8" s="294"/>
      <c r="AG8" s="294"/>
      <c r="AH8" s="294"/>
      <c r="AI8" s="295"/>
      <c r="AQ8" s="223"/>
      <c r="AR8" s="223"/>
      <c r="AS8" s="223"/>
      <c r="AT8" s="230" t="s">
        <v>51</v>
      </c>
      <c r="AU8" s="231">
        <f>IF(SIMULADOR!$E$20="","",SIMULADOR!$E$20)</f>
        <v>0.01</v>
      </c>
      <c r="AX8" s="216" t="s">
        <v>121</v>
      </c>
    </row>
    <row r="9" spans="2:50" s="215" customFormat="1" ht="24" customHeight="1" outlineLevel="1" x14ac:dyDescent="0.3">
      <c r="B9" s="223"/>
      <c r="C9" s="223"/>
      <c r="D9" s="223"/>
      <c r="E9" s="223"/>
      <c r="F9" s="223"/>
      <c r="G9" s="228" t="s">
        <v>52</v>
      </c>
      <c r="H9" s="289">
        <f>IF(SIMULADOR!$D$12="","",SIMULADOR!$D$8)</f>
        <v>45</v>
      </c>
      <c r="I9" s="289"/>
      <c r="J9" s="289"/>
      <c r="K9" s="289"/>
      <c r="L9" s="289"/>
      <c r="M9" s="289"/>
      <c r="N9" s="289"/>
      <c r="O9" s="289"/>
      <c r="P9" s="289"/>
      <c r="Q9" s="289"/>
      <c r="T9" s="223"/>
      <c r="U9" s="223"/>
      <c r="V9" s="223"/>
      <c r="W9" s="223"/>
      <c r="X9" s="223"/>
      <c r="Y9" s="223"/>
      <c r="Z9" s="223"/>
      <c r="AA9" s="224" t="s">
        <v>53</v>
      </c>
      <c r="AB9" s="296">
        <f>IF(SIMULADOR!$I$10="","",SIMULADOR!$I$10)</f>
        <v>62780.864000000001</v>
      </c>
      <c r="AC9" s="296"/>
      <c r="AD9" s="296"/>
      <c r="AE9" s="296"/>
      <c r="AF9" s="296"/>
      <c r="AG9" s="296"/>
      <c r="AH9" s="296"/>
      <c r="AI9" s="296"/>
      <c r="AQ9" s="223"/>
      <c r="AR9" s="223"/>
      <c r="AS9" s="223"/>
      <c r="AT9" s="230" t="s">
        <v>54</v>
      </c>
      <c r="AU9" s="232">
        <f>IF(SIMULADOR!$E$21="","",SIMULADOR!$E$21)</f>
        <v>1.2500000000000001E-2</v>
      </c>
      <c r="AX9" s="216" t="s">
        <v>122</v>
      </c>
    </row>
    <row r="10" spans="2:50" s="215" customFormat="1" ht="24" customHeight="1" outlineLevel="1" thickBot="1" x14ac:dyDescent="0.35">
      <c r="B10" s="227"/>
      <c r="C10" s="227"/>
      <c r="D10" s="227"/>
      <c r="E10" s="227"/>
      <c r="F10" s="227"/>
      <c r="G10" s="22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T10" s="227"/>
      <c r="U10" s="227"/>
      <c r="V10" s="227"/>
      <c r="W10" s="227"/>
      <c r="X10" s="227"/>
      <c r="Y10" s="227"/>
      <c r="Z10" s="227"/>
      <c r="AA10" s="233" t="s">
        <v>55</v>
      </c>
      <c r="AB10" s="292">
        <f>$AB$9-$AB$11</f>
        <v>6278.0864000000001</v>
      </c>
      <c r="AC10" s="292"/>
      <c r="AD10" s="292"/>
      <c r="AE10" s="292"/>
      <c r="AF10" s="292"/>
      <c r="AG10" s="292"/>
      <c r="AH10" s="292"/>
      <c r="AI10" s="292"/>
      <c r="AJ10" s="217"/>
      <c r="AK10" s="217"/>
      <c r="AL10" s="217"/>
      <c r="AM10" s="217"/>
      <c r="AQ10" s="227"/>
      <c r="AR10" s="227"/>
      <c r="AS10" s="227"/>
      <c r="AT10" s="227"/>
      <c r="AU10" s="234"/>
    </row>
    <row r="11" spans="2:50" s="215" customFormat="1" ht="24" customHeight="1" outlineLevel="1" thickBot="1" x14ac:dyDescent="0.35"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8" t="s">
        <v>56</v>
      </c>
      <c r="AB11" s="293">
        <f>SIMULADOR!I13</f>
        <v>56502.777600000001</v>
      </c>
      <c r="AC11" s="294"/>
      <c r="AD11" s="294"/>
      <c r="AE11" s="294"/>
      <c r="AF11" s="294"/>
      <c r="AG11" s="294"/>
      <c r="AH11" s="294"/>
      <c r="AI11" s="295"/>
      <c r="AJ11" s="235"/>
    </row>
    <row r="12" spans="2:50" s="215" customFormat="1" ht="24" customHeight="1" outlineLevel="1" thickBot="1" x14ac:dyDescent="0.35"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8"/>
      <c r="AB12" s="303"/>
      <c r="AC12" s="303"/>
      <c r="AD12" s="303"/>
      <c r="AE12" s="303"/>
      <c r="AF12" s="303"/>
      <c r="AG12" s="303"/>
      <c r="AH12" s="303"/>
      <c r="AI12" s="303"/>
      <c r="AJ12" s="235"/>
    </row>
    <row r="13" spans="2:50" s="215" customFormat="1" ht="24" customHeight="1" outlineLevel="1" x14ac:dyDescent="0.3">
      <c r="B13" s="227"/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4"/>
      <c r="AD13" s="227"/>
      <c r="AF13" s="227"/>
      <c r="AG13" s="227"/>
      <c r="AH13" s="227"/>
      <c r="AI13" s="227"/>
      <c r="AJ13" s="227"/>
      <c r="AK13" s="235"/>
      <c r="AL13" s="235"/>
      <c r="AM13" s="235"/>
      <c r="AQ13" s="227"/>
      <c r="AR13" s="227"/>
      <c r="AS13" s="227"/>
      <c r="AT13" s="224" t="s">
        <v>57</v>
      </c>
      <c r="AU13" s="236">
        <f>IF(SIMULADOR!$J$19="","",SIMULADOR!$J$19)</f>
        <v>3139.0432000000005</v>
      </c>
    </row>
    <row r="14" spans="2:50" s="215" customFormat="1" ht="24" customHeight="1" outlineLevel="1" x14ac:dyDescent="0.3">
      <c r="B14" s="227"/>
      <c r="C14" s="227"/>
      <c r="D14" s="227"/>
      <c r="E14" s="227"/>
      <c r="F14" s="227"/>
      <c r="G14" s="227"/>
      <c r="H14" s="227"/>
      <c r="I14" s="227"/>
      <c r="J14" s="227"/>
      <c r="K14" s="227"/>
      <c r="T14" s="227"/>
      <c r="U14" s="227"/>
      <c r="V14" s="227"/>
      <c r="W14" s="227"/>
      <c r="X14" s="227"/>
      <c r="Y14" s="227"/>
      <c r="Z14" s="227"/>
      <c r="AA14" s="227"/>
      <c r="AB14" s="227"/>
      <c r="AC14" s="224"/>
      <c r="AD14" s="227"/>
      <c r="AF14" s="235"/>
      <c r="AG14" s="235"/>
      <c r="AH14" s="235"/>
      <c r="AI14" s="235"/>
      <c r="AJ14" s="235"/>
      <c r="AK14" s="227"/>
      <c r="AL14" s="227"/>
      <c r="AM14" s="227"/>
      <c r="AQ14" s="227"/>
      <c r="AR14" s="227"/>
      <c r="AS14" s="227"/>
      <c r="AT14" s="224" t="s">
        <v>58</v>
      </c>
      <c r="AU14" s="237">
        <f>IF(SIMULADOR!$J$20="","",SIMULADOR!$J$20)</f>
        <v>5667.4797136841753</v>
      </c>
    </row>
    <row r="15" spans="2:50" s="215" customFormat="1" ht="24" customHeight="1" outlineLevel="1" thickBot="1" x14ac:dyDescent="0.35">
      <c r="C15" s="227"/>
      <c r="D15" s="227"/>
      <c r="E15" s="227"/>
      <c r="F15" s="227"/>
      <c r="G15" s="227"/>
      <c r="H15" s="227"/>
      <c r="I15" s="227"/>
      <c r="J15" s="227"/>
      <c r="K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4"/>
      <c r="AD15" s="227"/>
      <c r="AF15" s="235"/>
      <c r="AG15" s="235"/>
      <c r="AH15" s="235"/>
      <c r="AI15" s="235"/>
      <c r="AJ15" s="235"/>
      <c r="AK15" s="235"/>
      <c r="AL15" s="235"/>
      <c r="AM15" s="235"/>
      <c r="AQ15" s="227"/>
      <c r="AR15" s="227"/>
      <c r="AS15" s="227"/>
      <c r="AT15" s="224" t="s">
        <v>59</v>
      </c>
      <c r="AU15" s="238">
        <f>IF(SIMULADOR!$J$21="","",SIMULADOR!$J$21)</f>
        <v>6061.2404526418959</v>
      </c>
    </row>
    <row r="16" spans="2:50" s="215" customFormat="1" ht="21" customHeight="1" thickBot="1" x14ac:dyDescent="0.35">
      <c r="C16" s="227"/>
      <c r="D16" s="227"/>
      <c r="E16" s="227"/>
      <c r="F16" s="227"/>
      <c r="G16" s="227"/>
      <c r="H16" s="227"/>
      <c r="I16" s="227"/>
      <c r="J16" s="227"/>
      <c r="K16" s="227"/>
      <c r="T16" s="227"/>
      <c r="U16" s="227"/>
      <c r="V16" s="227"/>
      <c r="X16" s="312"/>
      <c r="Y16" s="312"/>
      <c r="Z16" s="312"/>
      <c r="AA16" s="312"/>
      <c r="AB16" s="312"/>
      <c r="AC16" s="312"/>
      <c r="AS16" s="227"/>
      <c r="AT16" s="224"/>
      <c r="AU16" s="313"/>
    </row>
    <row r="17" spans="2:48" ht="24" customHeight="1" thickBot="1" x14ac:dyDescent="0.35">
      <c r="C17" s="181"/>
      <c r="D17" s="181"/>
      <c r="E17" s="181"/>
      <c r="F17" s="181"/>
      <c r="H17" s="183" t="s">
        <v>168</v>
      </c>
      <c r="I17" s="258">
        <v>1</v>
      </c>
      <c r="J17" s="259"/>
      <c r="K17" s="259"/>
      <c r="L17" s="259"/>
      <c r="M17" s="259"/>
      <c r="N17" s="260"/>
      <c r="P17" s="184" t="s">
        <v>227</v>
      </c>
      <c r="Q17" s="314">
        <v>36</v>
      </c>
      <c r="R17" s="315"/>
      <c r="S17" s="315"/>
      <c r="T17" s="315"/>
      <c r="U17" s="315"/>
      <c r="V17" s="316"/>
      <c r="X17" s="183"/>
      <c r="Y17" s="183"/>
      <c r="AB17" s="183" t="s">
        <v>228</v>
      </c>
      <c r="AC17" s="320">
        <f>VLOOKUP(Q17,SIMULADOR!A44:I96,2)</f>
        <v>45839</v>
      </c>
      <c r="AD17" s="321"/>
      <c r="AE17" s="321"/>
      <c r="AF17" s="321"/>
      <c r="AG17" s="321"/>
      <c r="AH17" s="322"/>
      <c r="AP17" s="185" t="s">
        <v>229</v>
      </c>
      <c r="AQ17" s="320">
        <f>SIMULADOR!B45</f>
        <v>44774</v>
      </c>
      <c r="AR17" s="321"/>
      <c r="AS17" s="321"/>
      <c r="AT17" s="321"/>
      <c r="AU17" s="322"/>
    </row>
    <row r="18" spans="2:48" ht="18" customHeight="1" thickBot="1" x14ac:dyDescent="0.35">
      <c r="C18" s="181"/>
      <c r="D18" s="181"/>
      <c r="E18" s="181"/>
      <c r="F18" s="181"/>
      <c r="G18" s="181"/>
      <c r="H18" s="181"/>
      <c r="I18" s="181"/>
      <c r="J18" s="181"/>
      <c r="K18" s="181"/>
      <c r="Q18" s="261"/>
      <c r="R18" s="261"/>
      <c r="S18" s="261"/>
      <c r="T18" s="261"/>
      <c r="U18" s="261"/>
      <c r="V18" s="261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Q18" s="261"/>
      <c r="AR18" s="261"/>
      <c r="AS18" s="261"/>
      <c r="AT18" s="261"/>
      <c r="AU18" s="261"/>
    </row>
    <row r="19" spans="2:48" ht="24" customHeight="1" thickBot="1" x14ac:dyDescent="0.35">
      <c r="B19" s="301" t="s">
        <v>154</v>
      </c>
      <c r="C19" s="301"/>
      <c r="D19" s="301"/>
      <c r="E19" s="301"/>
      <c r="F19" s="301"/>
      <c r="G19" s="301"/>
      <c r="H19" s="301"/>
      <c r="I19" s="298" t="s">
        <v>217</v>
      </c>
      <c r="J19" s="299"/>
      <c r="K19" s="299"/>
      <c r="L19" s="299"/>
      <c r="M19" s="299"/>
      <c r="N19" s="300"/>
      <c r="P19" s="186" t="s">
        <v>167</v>
      </c>
      <c r="Q19" s="317">
        <f>IF(SIMULADOR!$E$3="LAGO",20%,IF(SIMULADOR!E3="DESIERTO",20%,IF(SIMULADOR!E3="ESTEPA",20%,IF(SIMULADOR!E3="TAIGA",20%,IF(SIMULADOR!E3="PÁRAMO",20%,IF(SIMULADOR!E3="SELVA",20%,IF(SIMULADOR!E3="BOSQUE",20%,IF(SIMULADOR!E3="LOMAS",35%,IF(SIMULADOR!E3="MANGLAR",20%,"")))))))))</f>
        <v>0.2</v>
      </c>
      <c r="R19" s="318"/>
      <c r="S19" s="318"/>
      <c r="T19" s="318"/>
      <c r="U19" s="318"/>
      <c r="V19" s="319"/>
      <c r="W19" s="187"/>
      <c r="X19" s="187"/>
      <c r="Y19" s="187"/>
      <c r="Z19" s="187"/>
      <c r="AA19" s="187"/>
      <c r="AB19" s="187"/>
      <c r="AC19" s="187"/>
      <c r="AD19" s="187"/>
      <c r="AK19" s="182"/>
      <c r="AL19" s="302" t="s">
        <v>160</v>
      </c>
      <c r="AM19" s="302"/>
      <c r="AN19" s="302"/>
      <c r="AO19" s="302"/>
      <c r="AP19" s="302"/>
      <c r="AQ19" s="258" t="s">
        <v>119</v>
      </c>
      <c r="AR19" s="259"/>
      <c r="AS19" s="259"/>
      <c r="AT19" s="259"/>
      <c r="AU19" s="260"/>
    </row>
    <row r="20" spans="2:48" ht="7.5" customHeight="1" thickBot="1" x14ac:dyDescent="0.35"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Q20" s="304"/>
      <c r="R20" s="304"/>
      <c r="S20" s="304"/>
      <c r="T20" s="304"/>
      <c r="U20" s="304"/>
      <c r="V20" s="181"/>
      <c r="W20" s="181"/>
      <c r="X20" s="181"/>
      <c r="Y20" s="181"/>
      <c r="Z20" s="181"/>
      <c r="AA20" s="181"/>
      <c r="AB20" s="181"/>
      <c r="AC20" s="180"/>
      <c r="AD20" s="181"/>
      <c r="AF20" s="182"/>
      <c r="AG20" s="182"/>
      <c r="AH20" s="182"/>
      <c r="AI20" s="182"/>
      <c r="AJ20" s="182"/>
      <c r="AK20" s="182"/>
      <c r="AL20" s="182"/>
      <c r="AM20" s="182"/>
      <c r="AQ20" s="181"/>
      <c r="AR20" s="181"/>
      <c r="AS20" s="181"/>
      <c r="AT20" s="180"/>
      <c r="AU20" s="181"/>
      <c r="AV20" s="181"/>
    </row>
    <row r="21" spans="2:48" s="188" customFormat="1" ht="26.1" customHeight="1" thickBot="1" x14ac:dyDescent="0.35">
      <c r="B21" s="268" t="s">
        <v>145</v>
      </c>
      <c r="C21" s="269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269"/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69"/>
      <c r="AD21" s="269"/>
      <c r="AE21" s="269"/>
      <c r="AF21" s="269"/>
      <c r="AG21" s="269"/>
      <c r="AH21" s="269"/>
      <c r="AI21" s="269"/>
      <c r="AJ21" s="269"/>
      <c r="AK21" s="269"/>
      <c r="AL21" s="269"/>
      <c r="AM21" s="269"/>
      <c r="AN21" s="269"/>
      <c r="AO21" s="269"/>
      <c r="AP21" s="269"/>
      <c r="AQ21" s="269"/>
      <c r="AR21" s="269"/>
      <c r="AS21" s="269"/>
      <c r="AT21" s="269"/>
      <c r="AU21" s="270"/>
    </row>
    <row r="22" spans="2:48" ht="24" customHeight="1" outlineLevel="1" x14ac:dyDescent="0.3">
      <c r="B22" s="182" t="s">
        <v>60</v>
      </c>
      <c r="C22" s="182"/>
      <c r="D22" s="182"/>
      <c r="E22" s="182"/>
      <c r="F22" s="182"/>
      <c r="G22" s="182"/>
      <c r="H22" s="182"/>
      <c r="I22" s="182"/>
      <c r="J22" s="182"/>
      <c r="K22" s="257" t="s">
        <v>151</v>
      </c>
      <c r="L22" s="257"/>
      <c r="M22" s="257"/>
      <c r="N22" s="257"/>
      <c r="O22" s="257"/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189"/>
      <c r="AD22" s="190"/>
      <c r="AE22" s="191" t="s">
        <v>61</v>
      </c>
      <c r="AF22" s="256" t="s">
        <v>152</v>
      </c>
      <c r="AG22" s="256"/>
      <c r="AH22" s="256"/>
      <c r="AI22" s="256"/>
      <c r="AJ22" s="256"/>
      <c r="AK22" s="256"/>
      <c r="AL22" s="256"/>
      <c r="AM22" s="256"/>
      <c r="AN22" s="256"/>
      <c r="AO22" s="256"/>
      <c r="AP22" s="256"/>
      <c r="AQ22" s="179"/>
      <c r="AR22" s="179"/>
      <c r="AS22" s="179"/>
      <c r="AT22" s="240"/>
      <c r="AU22" s="179"/>
    </row>
    <row r="23" spans="2:48" ht="24" customHeight="1" outlineLevel="1" x14ac:dyDescent="0.3">
      <c r="B23" s="182" t="s">
        <v>62</v>
      </c>
      <c r="C23" s="182"/>
      <c r="D23" s="182"/>
      <c r="E23" s="182"/>
      <c r="F23" s="182"/>
      <c r="G23" s="182"/>
      <c r="H23" s="182"/>
      <c r="I23" s="182"/>
      <c r="J23" s="182"/>
      <c r="K23" s="257" t="s">
        <v>151</v>
      </c>
      <c r="L23" s="257"/>
      <c r="M23" s="257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</row>
    <row r="24" spans="2:48" ht="24" customHeight="1" outlineLevel="1" x14ac:dyDescent="0.3">
      <c r="B24" s="182" t="s">
        <v>63</v>
      </c>
      <c r="C24" s="182"/>
      <c r="D24" s="182"/>
      <c r="E24" s="182"/>
      <c r="F24" s="182"/>
      <c r="G24" s="182"/>
      <c r="H24" s="192" t="str">
        <f>IF([2]CAPTURA!D6="","",[2]CAPTURA!D6)</f>
        <v/>
      </c>
      <c r="I24" s="192"/>
      <c r="J24" s="192"/>
      <c r="K24" s="256" t="s">
        <v>210</v>
      </c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41"/>
      <c r="AD24" s="241"/>
      <c r="AE24" s="241"/>
      <c r="AF24" s="256"/>
      <c r="AG24" s="256"/>
      <c r="AH24" s="256"/>
      <c r="AI24" s="256"/>
      <c r="AJ24" s="256"/>
      <c r="AK24" s="256"/>
      <c r="AL24" s="256"/>
      <c r="AM24" s="256"/>
      <c r="AN24" s="256"/>
      <c r="AO24" s="256"/>
      <c r="AP24" s="256"/>
      <c r="AQ24" s="179"/>
      <c r="AR24" s="179"/>
      <c r="AS24" s="179"/>
      <c r="AT24" s="240"/>
      <c r="AU24" s="179"/>
    </row>
    <row r="25" spans="2:48" ht="24" customHeight="1" outlineLevel="1" x14ac:dyDescent="0.3">
      <c r="B25" s="182" t="s">
        <v>64</v>
      </c>
      <c r="C25" s="182"/>
      <c r="D25" s="182"/>
      <c r="E25" s="182"/>
      <c r="F25" s="182"/>
      <c r="G25" s="182"/>
      <c r="H25" s="182"/>
      <c r="I25" s="182"/>
      <c r="J25" s="182"/>
      <c r="K25" s="257" t="s">
        <v>151</v>
      </c>
      <c r="L25" s="257"/>
      <c r="M25" s="257"/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190"/>
      <c r="AC25" s="189"/>
      <c r="AD25" s="190"/>
      <c r="AE25" s="190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179"/>
      <c r="AR25" s="179"/>
      <c r="AS25" s="179"/>
      <c r="AT25" s="240"/>
      <c r="AU25" s="179"/>
    </row>
    <row r="26" spans="2:48" ht="24" customHeight="1" outlineLevel="1" x14ac:dyDescent="0.3">
      <c r="B26" s="182" t="s">
        <v>67</v>
      </c>
      <c r="C26" s="182"/>
      <c r="D26" s="182"/>
      <c r="E26" s="182"/>
      <c r="F26" s="182"/>
      <c r="G26" s="182"/>
      <c r="H26" s="182"/>
      <c r="I26" s="182"/>
      <c r="J26" s="241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189"/>
      <c r="AA26" s="189"/>
      <c r="AB26" s="189"/>
      <c r="AC26" s="189"/>
      <c r="AD26" s="189"/>
      <c r="AE26" s="191" t="s">
        <v>68</v>
      </c>
      <c r="AF26" s="256" t="s">
        <v>237</v>
      </c>
      <c r="AG26" s="256"/>
      <c r="AH26" s="256"/>
      <c r="AI26" s="256"/>
      <c r="AJ26" s="256"/>
      <c r="AK26" s="256"/>
      <c r="AL26" s="256"/>
      <c r="AM26" s="256"/>
      <c r="AN26" s="256"/>
      <c r="AO26" s="256"/>
      <c r="AP26" s="256"/>
      <c r="AQ26" s="179"/>
      <c r="AR26" s="179"/>
      <c r="AS26" s="179"/>
      <c r="AT26" s="240"/>
      <c r="AU26" s="179"/>
    </row>
    <row r="27" spans="2:48" ht="24" customHeight="1" outlineLevel="1" x14ac:dyDescent="0.3">
      <c r="B27" s="182" t="s">
        <v>133</v>
      </c>
      <c r="C27" s="182"/>
      <c r="D27" s="182"/>
      <c r="E27" s="182"/>
      <c r="F27" s="182"/>
      <c r="G27" s="182"/>
      <c r="H27" s="182"/>
      <c r="I27" s="182"/>
      <c r="J27" s="241"/>
      <c r="K27" s="256" t="s">
        <v>234</v>
      </c>
      <c r="L27" s="256"/>
      <c r="M27" s="256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189"/>
      <c r="AA27" s="189"/>
      <c r="AB27" s="189"/>
      <c r="AC27" s="189"/>
      <c r="AD27" s="189"/>
      <c r="AE27" s="191"/>
      <c r="AF27" s="240"/>
      <c r="AG27" s="240"/>
      <c r="AH27" s="240"/>
      <c r="AI27" s="240"/>
      <c r="AJ27" s="240"/>
      <c r="AK27" s="240"/>
      <c r="AL27" s="240"/>
      <c r="AM27" s="240"/>
      <c r="AN27" s="240"/>
      <c r="AO27" s="240"/>
      <c r="AP27" s="240"/>
      <c r="AQ27" s="179"/>
      <c r="AR27" s="179"/>
      <c r="AS27" s="179"/>
      <c r="AT27" s="240"/>
      <c r="AU27" s="179"/>
    </row>
    <row r="28" spans="2:48" ht="24" customHeight="1" outlineLevel="1" x14ac:dyDescent="0.3">
      <c r="B28" s="182" t="s">
        <v>134</v>
      </c>
      <c r="C28" s="182"/>
      <c r="D28" s="182"/>
      <c r="E28" s="182"/>
      <c r="F28" s="182"/>
      <c r="G28" s="182"/>
      <c r="H28" s="182"/>
      <c r="I28" s="182"/>
      <c r="J28" s="241"/>
      <c r="K28" s="256" t="s">
        <v>235</v>
      </c>
      <c r="L28" s="256"/>
      <c r="M28" s="256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189"/>
      <c r="AA28" s="189"/>
      <c r="AB28" s="189"/>
      <c r="AC28" s="189"/>
      <c r="AD28" s="189"/>
      <c r="AE28" s="191"/>
      <c r="AF28" s="240"/>
      <c r="AG28" s="240"/>
      <c r="AH28" s="240"/>
      <c r="AI28" s="240"/>
      <c r="AJ28" s="240"/>
      <c r="AK28" s="240"/>
      <c r="AL28" s="240"/>
      <c r="AM28" s="240"/>
      <c r="AN28" s="240"/>
      <c r="AO28" s="240"/>
      <c r="AP28" s="240"/>
      <c r="AQ28" s="179"/>
      <c r="AR28" s="179"/>
      <c r="AS28" s="179"/>
      <c r="AT28" s="240"/>
      <c r="AU28" s="179"/>
    </row>
    <row r="29" spans="2:48" ht="24" customHeight="1" outlineLevel="1" x14ac:dyDescent="0.3">
      <c r="B29" s="182" t="s">
        <v>233</v>
      </c>
      <c r="C29" s="182"/>
      <c r="D29" s="182"/>
      <c r="E29" s="182"/>
      <c r="F29" s="182"/>
      <c r="G29" s="182"/>
      <c r="H29" s="182"/>
      <c r="I29" s="182"/>
      <c r="J29" s="241"/>
      <c r="K29" s="256" t="s">
        <v>235</v>
      </c>
      <c r="L29" s="256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6"/>
      <c r="Z29" s="189"/>
      <c r="AA29" s="189"/>
      <c r="AB29" s="189"/>
      <c r="AC29" s="189"/>
      <c r="AD29" s="189"/>
      <c r="AE29" s="191"/>
      <c r="AF29" s="240"/>
      <c r="AG29" s="240"/>
      <c r="AH29" s="240"/>
      <c r="AI29" s="240"/>
      <c r="AJ29" s="240"/>
      <c r="AK29" s="240"/>
      <c r="AL29" s="240"/>
      <c r="AM29" s="240"/>
      <c r="AN29" s="240"/>
      <c r="AO29" s="240"/>
      <c r="AP29" s="240"/>
      <c r="AQ29" s="179"/>
      <c r="AR29" s="179"/>
      <c r="AS29" s="179"/>
      <c r="AT29" s="240"/>
      <c r="AU29" s="179"/>
    </row>
    <row r="30" spans="2:48" ht="24" customHeight="1" outlineLevel="1" x14ac:dyDescent="0.3">
      <c r="B30" s="182" t="s">
        <v>69</v>
      </c>
      <c r="C30" s="182"/>
      <c r="D30" s="182"/>
      <c r="E30" s="182"/>
      <c r="F30" s="182"/>
      <c r="G30" s="182"/>
      <c r="H30" s="182"/>
      <c r="I30" s="182"/>
      <c r="J30" s="182"/>
      <c r="K30" s="262" t="s">
        <v>210</v>
      </c>
      <c r="L30" s="262"/>
      <c r="M30" s="262"/>
      <c r="N30" s="262"/>
      <c r="O30" s="262"/>
      <c r="P30" s="262"/>
      <c r="Q30" s="262"/>
      <c r="R30" s="262"/>
      <c r="S30" s="193" t="s">
        <v>148</v>
      </c>
      <c r="T30" s="179"/>
      <c r="U30" s="179"/>
      <c r="V30" s="179"/>
      <c r="W30" s="263" t="s">
        <v>240</v>
      </c>
      <c r="X30" s="264"/>
      <c r="Y30" s="264"/>
      <c r="Z30" s="264"/>
      <c r="AA30" s="264"/>
      <c r="AB30" s="189"/>
      <c r="AC30" s="189"/>
      <c r="AD30" s="189"/>
      <c r="AE30" s="189"/>
      <c r="AF30" s="265"/>
      <c r="AG30" s="265"/>
      <c r="AH30" s="265"/>
      <c r="AI30" s="265"/>
      <c r="AJ30" s="265"/>
      <c r="AK30" s="265"/>
      <c r="AL30" s="265"/>
      <c r="AM30" s="265"/>
      <c r="AN30" s="265"/>
      <c r="AO30" s="265"/>
      <c r="AP30" s="265"/>
      <c r="AQ30" s="179"/>
      <c r="AR30" s="179"/>
      <c r="AS30" s="179"/>
      <c r="AT30" s="241"/>
      <c r="AU30" s="179"/>
    </row>
    <row r="31" spans="2:48" ht="24" customHeight="1" outlineLevel="1" x14ac:dyDescent="0.3">
      <c r="B31" s="182" t="s">
        <v>70</v>
      </c>
      <c r="C31" s="182"/>
      <c r="D31" s="182"/>
      <c r="E31" s="182"/>
      <c r="F31" s="182"/>
      <c r="G31" s="182"/>
      <c r="H31" s="182"/>
      <c r="I31" s="182"/>
      <c r="J31" s="182"/>
      <c r="K31" s="257" t="s">
        <v>149</v>
      </c>
      <c r="L31" s="257"/>
      <c r="M31" s="257"/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  <c r="AA31" s="189"/>
      <c r="AB31" s="189"/>
      <c r="AC31" s="189"/>
      <c r="AD31" s="189"/>
      <c r="AE31" s="191" t="s">
        <v>71</v>
      </c>
      <c r="AF31" s="256" t="s">
        <v>150</v>
      </c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179"/>
      <c r="AR31" s="179"/>
      <c r="AS31" s="179"/>
      <c r="AT31" s="240"/>
      <c r="AU31" s="179"/>
    </row>
    <row r="32" spans="2:48" ht="24" customHeight="1" outlineLevel="1" x14ac:dyDescent="0.3">
      <c r="B32" s="182" t="s">
        <v>73</v>
      </c>
      <c r="C32" s="182"/>
      <c r="D32" s="182"/>
      <c r="E32" s="182"/>
      <c r="F32" s="182"/>
      <c r="G32" s="182"/>
      <c r="H32" s="182"/>
      <c r="I32" s="182"/>
      <c r="J32" s="182"/>
      <c r="K32" s="257" t="s">
        <v>149</v>
      </c>
      <c r="L32" s="257"/>
      <c r="M32" s="257"/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  <c r="AA32" s="257"/>
      <c r="AB32" s="257"/>
      <c r="AC32" s="189"/>
      <c r="AD32" s="189"/>
      <c r="AE32" s="191" t="s">
        <v>72</v>
      </c>
      <c r="AF32" s="256" t="s">
        <v>150</v>
      </c>
      <c r="AG32" s="256"/>
      <c r="AH32" s="256"/>
      <c r="AI32" s="256"/>
      <c r="AJ32" s="256"/>
      <c r="AK32" s="256"/>
      <c r="AL32" s="256"/>
      <c r="AM32" s="256"/>
      <c r="AN32" s="256"/>
      <c r="AO32" s="256"/>
      <c r="AP32" s="256"/>
      <c r="AQ32" s="179"/>
      <c r="AR32" s="179"/>
      <c r="AS32" s="179"/>
      <c r="AT32" s="240"/>
      <c r="AU32" s="179"/>
    </row>
    <row r="33" spans="2:47" ht="9.75" customHeight="1" outlineLevel="1" x14ac:dyDescent="0.3">
      <c r="AC33" s="189"/>
      <c r="AD33" s="189"/>
      <c r="AE33" s="191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241"/>
    </row>
    <row r="34" spans="2:47" ht="14.25" customHeight="1" outlineLevel="1" x14ac:dyDescent="0.3">
      <c r="B34" s="182" t="s">
        <v>65</v>
      </c>
      <c r="C34" s="182"/>
      <c r="D34" s="182"/>
      <c r="E34" s="182"/>
      <c r="F34" s="182"/>
      <c r="G34" s="182"/>
      <c r="H34" s="182"/>
      <c r="I34" s="182"/>
      <c r="J34" s="182"/>
      <c r="K34" s="257" t="s">
        <v>203</v>
      </c>
      <c r="L34" s="257"/>
      <c r="M34" s="257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67"/>
      <c r="Y34" s="267"/>
      <c r="Z34" s="267"/>
      <c r="AA34" s="267"/>
      <c r="AB34" s="267"/>
      <c r="AC34" s="267"/>
      <c r="AD34" s="267"/>
      <c r="AE34" s="267"/>
      <c r="AF34" s="256"/>
      <c r="AG34" s="256"/>
      <c r="AH34" s="256"/>
      <c r="AI34" s="256"/>
      <c r="AJ34" s="256"/>
      <c r="AK34" s="256"/>
      <c r="AL34" s="256"/>
      <c r="AM34" s="256"/>
      <c r="AN34" s="256"/>
      <c r="AO34" s="256"/>
      <c r="AP34" s="256"/>
      <c r="AQ34" s="194"/>
      <c r="AR34" s="179"/>
      <c r="AS34" s="256"/>
      <c r="AT34" s="256"/>
      <c r="AU34" s="256"/>
    </row>
    <row r="35" spans="2:47" ht="12.75" customHeight="1" outlineLevel="1" x14ac:dyDescent="0.3">
      <c r="B35" s="182" t="s">
        <v>238</v>
      </c>
      <c r="C35" s="182"/>
      <c r="D35" s="182"/>
      <c r="E35" s="182"/>
      <c r="F35" s="182"/>
      <c r="G35" s="182"/>
      <c r="H35" s="182"/>
      <c r="I35" s="182"/>
      <c r="J35" s="182"/>
      <c r="K35" s="257" t="s">
        <v>118</v>
      </c>
      <c r="L35" s="257"/>
      <c r="M35" s="257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190"/>
      <c r="AB35" s="190"/>
      <c r="AC35" s="190"/>
      <c r="AD35" s="190"/>
      <c r="AE35" s="190"/>
      <c r="AF35" s="256"/>
      <c r="AG35" s="256"/>
      <c r="AH35" s="256"/>
      <c r="AI35" s="256"/>
      <c r="AJ35" s="256"/>
      <c r="AK35" s="256"/>
      <c r="AL35" s="256"/>
      <c r="AM35" s="256"/>
      <c r="AN35" s="256"/>
      <c r="AO35" s="256"/>
      <c r="AP35" s="256"/>
      <c r="AQ35" s="179"/>
      <c r="AR35" s="179"/>
      <c r="AS35" s="179"/>
      <c r="AT35" s="240"/>
      <c r="AU35" s="179"/>
    </row>
    <row r="36" spans="2:47" ht="2.25" customHeight="1" outlineLevel="1" x14ac:dyDescent="0.3">
      <c r="B36" s="182"/>
      <c r="C36" s="182"/>
      <c r="D36" s="182"/>
      <c r="E36" s="182"/>
      <c r="F36" s="182"/>
      <c r="G36" s="182"/>
      <c r="H36" s="182"/>
      <c r="I36" s="182"/>
      <c r="J36" s="182"/>
      <c r="K36" s="239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190"/>
      <c r="AB36" s="190"/>
      <c r="AC36" s="190"/>
      <c r="AD36" s="190"/>
      <c r="AE36" s="190"/>
      <c r="AF36" s="240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179"/>
      <c r="AR36" s="179"/>
      <c r="AS36" s="179"/>
      <c r="AT36" s="240"/>
      <c r="AU36" s="179"/>
    </row>
    <row r="37" spans="2:47" ht="35.25" customHeight="1" outlineLevel="1" x14ac:dyDescent="0.3">
      <c r="B37" s="267" t="s">
        <v>66</v>
      </c>
      <c r="C37" s="267"/>
      <c r="D37" s="267"/>
      <c r="E37" s="267"/>
      <c r="F37" s="267"/>
      <c r="G37" s="267"/>
      <c r="H37" s="267"/>
      <c r="I37" s="267"/>
      <c r="J37" s="182"/>
      <c r="K37" s="256" t="s">
        <v>149</v>
      </c>
      <c r="L37" s="256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39"/>
      <c r="AA37" s="190"/>
      <c r="AB37" s="190"/>
      <c r="AC37" s="190"/>
      <c r="AD37" s="190"/>
      <c r="AE37" s="191" t="s">
        <v>61</v>
      </c>
      <c r="AF37" s="256" t="s">
        <v>152</v>
      </c>
      <c r="AG37" s="256"/>
      <c r="AH37" s="256"/>
      <c r="AI37" s="256"/>
      <c r="AJ37" s="256"/>
      <c r="AK37" s="256"/>
      <c r="AL37" s="256"/>
      <c r="AM37" s="256"/>
      <c r="AN37" s="256"/>
      <c r="AO37" s="256"/>
      <c r="AP37" s="256"/>
      <c r="AQ37" s="179"/>
      <c r="AR37" s="179"/>
      <c r="AS37" s="179"/>
      <c r="AT37" s="240"/>
      <c r="AU37" s="179"/>
    </row>
    <row r="38" spans="2:47" ht="24" customHeight="1" outlineLevel="1" x14ac:dyDescent="0.3">
      <c r="B38" s="182" t="s">
        <v>67</v>
      </c>
      <c r="C38" s="182"/>
      <c r="D38" s="182"/>
      <c r="E38" s="182"/>
      <c r="F38" s="182"/>
      <c r="G38" s="182"/>
      <c r="H38" s="182"/>
      <c r="I38" s="182"/>
      <c r="J38" s="241"/>
      <c r="K38" s="256" t="s">
        <v>149</v>
      </c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189"/>
      <c r="AA38" s="189"/>
      <c r="AB38" s="189"/>
      <c r="AC38" s="189"/>
      <c r="AD38" s="189"/>
      <c r="AE38" s="191" t="s">
        <v>68</v>
      </c>
      <c r="AF38" s="256" t="s">
        <v>237</v>
      </c>
      <c r="AG38" s="256"/>
      <c r="AH38" s="256"/>
      <c r="AI38" s="256"/>
      <c r="AJ38" s="256"/>
      <c r="AK38" s="256"/>
      <c r="AL38" s="256"/>
      <c r="AM38" s="256"/>
      <c r="AN38" s="256"/>
      <c r="AO38" s="256"/>
      <c r="AP38" s="256"/>
      <c r="AQ38" s="179"/>
      <c r="AR38" s="179"/>
      <c r="AS38" s="179"/>
      <c r="AT38" s="240"/>
      <c r="AU38" s="179"/>
    </row>
    <row r="39" spans="2:47" ht="24" customHeight="1" outlineLevel="1" x14ac:dyDescent="0.3">
      <c r="B39" s="182" t="s">
        <v>133</v>
      </c>
      <c r="C39" s="182"/>
      <c r="D39" s="182"/>
      <c r="E39" s="182"/>
      <c r="F39" s="182"/>
      <c r="G39" s="182"/>
      <c r="H39" s="182"/>
      <c r="I39" s="182"/>
      <c r="J39" s="241"/>
      <c r="K39" s="256" t="s">
        <v>149</v>
      </c>
      <c r="L39" s="256"/>
      <c r="M39" s="256"/>
      <c r="N39" s="256"/>
      <c r="O39" s="256"/>
      <c r="P39" s="256"/>
      <c r="Q39" s="256"/>
      <c r="R39" s="256"/>
      <c r="S39" s="256"/>
      <c r="T39" s="256"/>
      <c r="U39" s="256"/>
      <c r="V39" s="256"/>
      <c r="W39" s="256"/>
      <c r="X39" s="256"/>
      <c r="Y39" s="256"/>
      <c r="Z39" s="189"/>
      <c r="AA39" s="189"/>
      <c r="AB39" s="189"/>
      <c r="AC39" s="189"/>
      <c r="AD39" s="189"/>
      <c r="AE39" s="191"/>
      <c r="AF39" s="240"/>
      <c r="AG39" s="240"/>
      <c r="AH39" s="240"/>
      <c r="AI39" s="240"/>
      <c r="AJ39" s="240"/>
      <c r="AK39" s="240"/>
      <c r="AL39" s="240"/>
      <c r="AM39" s="240"/>
      <c r="AN39" s="240"/>
      <c r="AO39" s="240"/>
      <c r="AP39" s="240"/>
      <c r="AQ39" s="179"/>
      <c r="AR39" s="179"/>
      <c r="AS39" s="179"/>
      <c r="AT39" s="240"/>
      <c r="AU39" s="179"/>
    </row>
    <row r="40" spans="2:47" ht="24" customHeight="1" outlineLevel="1" x14ac:dyDescent="0.3">
      <c r="B40" s="182" t="s">
        <v>69</v>
      </c>
      <c r="C40" s="182"/>
      <c r="D40" s="182"/>
      <c r="E40" s="182"/>
      <c r="F40" s="182"/>
      <c r="G40" s="182"/>
      <c r="H40" s="182"/>
      <c r="I40" s="182"/>
      <c r="J40" s="182"/>
      <c r="K40" s="262" t="s">
        <v>210</v>
      </c>
      <c r="L40" s="262"/>
      <c r="M40" s="262"/>
      <c r="N40" s="262"/>
      <c r="O40" s="262"/>
      <c r="P40" s="262"/>
      <c r="Q40" s="262"/>
      <c r="R40" s="262"/>
      <c r="S40" s="193" t="s">
        <v>148</v>
      </c>
      <c r="T40" s="179"/>
      <c r="U40" s="179"/>
      <c r="V40" s="179"/>
      <c r="W40" s="263" t="s">
        <v>240</v>
      </c>
      <c r="X40" s="264"/>
      <c r="Y40" s="264"/>
      <c r="Z40" s="264"/>
      <c r="AA40" s="264"/>
      <c r="AB40" s="189"/>
      <c r="AC40" s="189"/>
      <c r="AD40" s="189"/>
      <c r="AE40" s="189"/>
      <c r="AF40" s="265"/>
      <c r="AG40" s="265"/>
      <c r="AH40" s="265"/>
      <c r="AI40" s="265"/>
      <c r="AJ40" s="265"/>
      <c r="AK40" s="265"/>
      <c r="AL40" s="265"/>
      <c r="AM40" s="265"/>
      <c r="AN40" s="265"/>
      <c r="AO40" s="265"/>
      <c r="AP40" s="265"/>
      <c r="AQ40" s="179"/>
      <c r="AR40" s="179"/>
      <c r="AS40" s="179"/>
      <c r="AT40" s="241"/>
      <c r="AU40" s="179"/>
    </row>
    <row r="41" spans="2:47" ht="24" customHeight="1" outlineLevel="1" x14ac:dyDescent="0.3">
      <c r="B41" s="182" t="s">
        <v>70</v>
      </c>
      <c r="C41" s="182"/>
      <c r="D41" s="182"/>
      <c r="E41" s="182"/>
      <c r="F41" s="182"/>
      <c r="G41" s="182"/>
      <c r="H41" s="182"/>
      <c r="I41" s="182"/>
      <c r="J41" s="182"/>
      <c r="K41" s="257" t="s">
        <v>149</v>
      </c>
      <c r="L41" s="257"/>
      <c r="M41" s="257"/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  <c r="AA41" s="189"/>
      <c r="AB41" s="189"/>
      <c r="AC41" s="189"/>
      <c r="AD41" s="189"/>
      <c r="AE41" s="191" t="s">
        <v>71</v>
      </c>
      <c r="AF41" s="256" t="s">
        <v>150</v>
      </c>
      <c r="AG41" s="256"/>
      <c r="AH41" s="256"/>
      <c r="AI41" s="256"/>
      <c r="AJ41" s="256"/>
      <c r="AK41" s="256"/>
      <c r="AL41" s="256"/>
      <c r="AM41" s="256"/>
      <c r="AN41" s="256"/>
      <c r="AO41" s="256"/>
      <c r="AP41" s="256"/>
      <c r="AQ41" s="179"/>
      <c r="AR41" s="179"/>
      <c r="AS41" s="179"/>
      <c r="AT41" s="240"/>
      <c r="AU41" s="179"/>
    </row>
    <row r="42" spans="2:47" ht="24" customHeight="1" outlineLevel="1" x14ac:dyDescent="0.3">
      <c r="B42" s="182" t="s">
        <v>73</v>
      </c>
      <c r="C42" s="182"/>
      <c r="D42" s="182"/>
      <c r="E42" s="182"/>
      <c r="F42" s="182"/>
      <c r="G42" s="182"/>
      <c r="H42" s="182"/>
      <c r="I42" s="182"/>
      <c r="J42" s="182"/>
      <c r="K42" s="257" t="s">
        <v>149</v>
      </c>
      <c r="L42" s="257"/>
      <c r="M42" s="257"/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  <c r="AA42" s="257"/>
      <c r="AB42" s="189"/>
      <c r="AC42" s="189"/>
      <c r="AD42" s="189"/>
      <c r="AE42" s="191" t="s">
        <v>72</v>
      </c>
      <c r="AF42" s="256" t="s">
        <v>150</v>
      </c>
      <c r="AG42" s="256"/>
      <c r="AH42" s="256"/>
      <c r="AI42" s="256"/>
      <c r="AJ42" s="256"/>
      <c r="AK42" s="256"/>
      <c r="AL42" s="256"/>
      <c r="AM42" s="256"/>
      <c r="AN42" s="256"/>
      <c r="AO42" s="256"/>
      <c r="AP42" s="256"/>
      <c r="AQ42" s="179"/>
      <c r="AR42" s="179"/>
      <c r="AS42" s="179"/>
      <c r="AT42" s="240"/>
      <c r="AU42" s="179"/>
    </row>
    <row r="43" spans="2:47" ht="9.75" customHeight="1" outlineLevel="1" thickBot="1" x14ac:dyDescent="0.35"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240"/>
    </row>
    <row r="44" spans="2:47" s="188" customFormat="1" ht="26.1" customHeight="1" thickBot="1" x14ac:dyDescent="0.35">
      <c r="B44" s="268" t="s">
        <v>161</v>
      </c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9"/>
      <c r="AI44" s="269"/>
      <c r="AJ44" s="269"/>
      <c r="AK44" s="269"/>
      <c r="AL44" s="269"/>
      <c r="AM44" s="269"/>
      <c r="AN44" s="269"/>
      <c r="AO44" s="269"/>
      <c r="AP44" s="269"/>
      <c r="AQ44" s="269"/>
      <c r="AR44" s="269"/>
      <c r="AS44" s="269"/>
      <c r="AT44" s="269"/>
      <c r="AU44" s="270"/>
    </row>
    <row r="45" spans="2:47" ht="24" hidden="1" customHeight="1" outlineLevel="1" x14ac:dyDescent="0.3">
      <c r="B45" s="182" t="s">
        <v>162</v>
      </c>
      <c r="C45" s="182"/>
      <c r="D45" s="182"/>
      <c r="E45" s="182"/>
      <c r="F45" s="182"/>
      <c r="G45" s="182"/>
      <c r="H45" s="182"/>
      <c r="I45" s="182"/>
      <c r="J45" s="182"/>
      <c r="K45" s="266" t="s">
        <v>236</v>
      </c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189"/>
      <c r="AD45" s="190"/>
      <c r="AE45" s="191" t="s">
        <v>61</v>
      </c>
      <c r="AF45" s="256" t="s">
        <v>152</v>
      </c>
      <c r="AG45" s="256"/>
      <c r="AH45" s="256"/>
      <c r="AI45" s="256"/>
      <c r="AJ45" s="256"/>
      <c r="AK45" s="256"/>
      <c r="AL45" s="256"/>
      <c r="AM45" s="256"/>
      <c r="AN45" s="256"/>
      <c r="AO45" s="256"/>
      <c r="AP45" s="256"/>
      <c r="AQ45" s="179"/>
      <c r="AR45" s="179"/>
      <c r="AS45" s="179"/>
      <c r="AT45" s="240"/>
      <c r="AU45" s="179"/>
    </row>
    <row r="46" spans="2:47" ht="24" hidden="1" customHeight="1" outlineLevel="1" x14ac:dyDescent="0.3">
      <c r="B46" s="182" t="s">
        <v>62</v>
      </c>
      <c r="C46" s="182"/>
      <c r="D46" s="182"/>
      <c r="E46" s="182"/>
      <c r="F46" s="182"/>
      <c r="G46" s="182"/>
      <c r="H46" s="182"/>
      <c r="I46" s="182"/>
      <c r="J46" s="182"/>
      <c r="K46" s="257" t="s">
        <v>236</v>
      </c>
      <c r="L46" s="257"/>
      <c r="M46" s="257"/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57"/>
      <c r="AR46" s="257"/>
      <c r="AS46" s="257"/>
      <c r="AT46" s="257"/>
      <c r="AU46" s="257"/>
    </row>
    <row r="47" spans="2:47" ht="24" hidden="1" customHeight="1" outlineLevel="1" x14ac:dyDescent="0.3">
      <c r="B47" s="182" t="s">
        <v>63</v>
      </c>
      <c r="C47" s="182"/>
      <c r="D47" s="182"/>
      <c r="E47" s="182"/>
      <c r="F47" s="182"/>
      <c r="G47" s="182"/>
      <c r="H47" s="192"/>
      <c r="I47" s="192"/>
      <c r="J47" s="192"/>
      <c r="K47" s="256" t="s">
        <v>210</v>
      </c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6"/>
      <c r="Y47" s="256"/>
      <c r="Z47" s="256"/>
      <c r="AA47" s="256"/>
      <c r="AB47" s="256"/>
      <c r="AC47" s="241"/>
      <c r="AD47" s="241"/>
      <c r="AE47" s="241"/>
      <c r="AF47" s="256"/>
      <c r="AG47" s="256"/>
      <c r="AH47" s="256"/>
      <c r="AI47" s="256"/>
      <c r="AJ47" s="256"/>
      <c r="AK47" s="256"/>
      <c r="AL47" s="256"/>
      <c r="AM47" s="256"/>
      <c r="AN47" s="256"/>
      <c r="AO47" s="256"/>
      <c r="AP47" s="256"/>
      <c r="AQ47" s="179"/>
      <c r="AR47" s="179"/>
      <c r="AS47" s="179"/>
      <c r="AT47" s="240"/>
      <c r="AU47" s="179"/>
    </row>
    <row r="48" spans="2:47" ht="24" hidden="1" customHeight="1" outlineLevel="1" x14ac:dyDescent="0.3">
      <c r="B48" s="182" t="s">
        <v>64</v>
      </c>
      <c r="C48" s="182"/>
      <c r="D48" s="182"/>
      <c r="E48" s="182"/>
      <c r="F48" s="182"/>
      <c r="G48" s="182"/>
      <c r="H48" s="182"/>
      <c r="I48" s="182"/>
      <c r="J48" s="182"/>
      <c r="K48" s="257" t="s">
        <v>236</v>
      </c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190"/>
      <c r="AC48" s="189"/>
      <c r="AD48" s="190"/>
      <c r="AE48" s="190"/>
      <c r="AF48" s="256"/>
      <c r="AG48" s="256"/>
      <c r="AH48" s="256"/>
      <c r="AI48" s="256"/>
      <c r="AJ48" s="256"/>
      <c r="AK48" s="256"/>
      <c r="AL48" s="256"/>
      <c r="AM48" s="256"/>
      <c r="AN48" s="256"/>
      <c r="AO48" s="256"/>
      <c r="AP48" s="256"/>
      <c r="AQ48" s="179"/>
      <c r="AR48" s="179"/>
      <c r="AS48" s="179"/>
      <c r="AT48" s="240"/>
      <c r="AU48" s="179"/>
    </row>
    <row r="49" spans="2:47" ht="24" hidden="1" customHeight="1" outlineLevel="1" x14ac:dyDescent="0.3">
      <c r="B49" s="182" t="s">
        <v>67</v>
      </c>
      <c r="C49" s="182"/>
      <c r="D49" s="182"/>
      <c r="E49" s="182"/>
      <c r="F49" s="182"/>
      <c r="G49" s="182"/>
      <c r="H49" s="182"/>
      <c r="I49" s="182"/>
      <c r="J49" s="241"/>
      <c r="K49" s="256" t="s">
        <v>236</v>
      </c>
      <c r="L49" s="256"/>
      <c r="M49" s="256"/>
      <c r="N49" s="256"/>
      <c r="O49" s="256"/>
      <c r="P49" s="256"/>
      <c r="Q49" s="256"/>
      <c r="R49" s="256"/>
      <c r="S49" s="256"/>
      <c r="T49" s="256"/>
      <c r="U49" s="256"/>
      <c r="V49" s="256"/>
      <c r="W49" s="256"/>
      <c r="X49" s="256"/>
      <c r="Y49" s="256"/>
      <c r="Z49" s="189"/>
      <c r="AA49" s="189"/>
      <c r="AB49" s="189"/>
      <c r="AC49" s="189"/>
      <c r="AD49" s="189"/>
      <c r="AE49" s="191" t="s">
        <v>68</v>
      </c>
      <c r="AF49" s="256" t="s">
        <v>237</v>
      </c>
      <c r="AG49" s="256"/>
      <c r="AH49" s="256"/>
      <c r="AI49" s="256"/>
      <c r="AJ49" s="256"/>
      <c r="AK49" s="256"/>
      <c r="AL49" s="256"/>
      <c r="AM49" s="256"/>
      <c r="AN49" s="256"/>
      <c r="AO49" s="256"/>
      <c r="AP49" s="256"/>
      <c r="AQ49" s="179"/>
      <c r="AR49" s="179"/>
      <c r="AS49" s="179"/>
      <c r="AT49" s="240"/>
      <c r="AU49" s="179"/>
    </row>
    <row r="50" spans="2:47" ht="24" hidden="1" customHeight="1" outlineLevel="1" x14ac:dyDescent="0.3">
      <c r="B50" s="182" t="s">
        <v>133</v>
      </c>
      <c r="C50" s="182"/>
      <c r="D50" s="182"/>
      <c r="E50" s="182"/>
      <c r="F50" s="182"/>
      <c r="G50" s="182"/>
      <c r="H50" s="182"/>
      <c r="I50" s="182"/>
      <c r="J50" s="241"/>
      <c r="K50" s="256" t="s">
        <v>236</v>
      </c>
      <c r="L50" s="256"/>
      <c r="M50" s="256"/>
      <c r="N50" s="256"/>
      <c r="O50" s="256"/>
      <c r="P50" s="256"/>
      <c r="Q50" s="256"/>
      <c r="R50" s="256"/>
      <c r="S50" s="256"/>
      <c r="T50" s="256"/>
      <c r="U50" s="256"/>
      <c r="V50" s="256"/>
      <c r="W50" s="256"/>
      <c r="X50" s="256"/>
      <c r="Y50" s="256"/>
      <c r="Z50" s="189"/>
      <c r="AA50" s="189"/>
      <c r="AB50" s="189"/>
      <c r="AC50" s="189"/>
      <c r="AD50" s="189"/>
      <c r="AE50" s="191"/>
      <c r="AF50" s="240"/>
      <c r="AG50" s="240"/>
      <c r="AH50" s="240"/>
      <c r="AI50" s="240"/>
      <c r="AJ50" s="240"/>
      <c r="AK50" s="240"/>
      <c r="AL50" s="240"/>
      <c r="AM50" s="240"/>
      <c r="AN50" s="240"/>
      <c r="AO50" s="240"/>
      <c r="AP50" s="240"/>
      <c r="AQ50" s="179"/>
      <c r="AR50" s="179"/>
      <c r="AS50" s="179"/>
      <c r="AT50" s="240"/>
      <c r="AU50" s="179"/>
    </row>
    <row r="51" spans="2:47" ht="24" hidden="1" customHeight="1" outlineLevel="1" x14ac:dyDescent="0.3">
      <c r="B51" s="182" t="s">
        <v>134</v>
      </c>
      <c r="C51" s="182"/>
      <c r="D51" s="182"/>
      <c r="E51" s="182"/>
      <c r="F51" s="182"/>
      <c r="G51" s="182"/>
      <c r="H51" s="182"/>
      <c r="I51" s="182"/>
      <c r="J51" s="241"/>
      <c r="K51" s="256" t="s">
        <v>236</v>
      </c>
      <c r="L51" s="256"/>
      <c r="M51" s="256"/>
      <c r="N51" s="256"/>
      <c r="O51" s="256"/>
      <c r="P51" s="256"/>
      <c r="Q51" s="256"/>
      <c r="R51" s="256"/>
      <c r="S51" s="256"/>
      <c r="T51" s="256"/>
      <c r="U51" s="256"/>
      <c r="V51" s="256"/>
      <c r="W51" s="256"/>
      <c r="X51" s="256"/>
      <c r="Y51" s="256"/>
      <c r="Z51" s="189"/>
      <c r="AA51" s="189"/>
      <c r="AB51" s="189"/>
      <c r="AC51" s="189"/>
      <c r="AD51" s="189"/>
      <c r="AE51" s="191"/>
      <c r="AF51" s="240"/>
      <c r="AG51" s="240"/>
      <c r="AH51" s="240"/>
      <c r="AI51" s="240"/>
      <c r="AJ51" s="240"/>
      <c r="AK51" s="240"/>
      <c r="AL51" s="240"/>
      <c r="AM51" s="240"/>
      <c r="AN51" s="240"/>
      <c r="AO51" s="240"/>
      <c r="AP51" s="240"/>
      <c r="AQ51" s="179"/>
      <c r="AR51" s="179"/>
      <c r="AS51" s="179"/>
      <c r="AT51" s="240"/>
      <c r="AU51" s="179"/>
    </row>
    <row r="52" spans="2:47" ht="24" hidden="1" customHeight="1" outlineLevel="1" x14ac:dyDescent="0.3">
      <c r="B52" s="182" t="s">
        <v>233</v>
      </c>
      <c r="C52" s="182"/>
      <c r="D52" s="182"/>
      <c r="E52" s="182"/>
      <c r="F52" s="182"/>
      <c r="G52" s="182"/>
      <c r="H52" s="182"/>
      <c r="I52" s="182"/>
      <c r="J52" s="241"/>
      <c r="K52" s="256" t="s">
        <v>236</v>
      </c>
      <c r="L52" s="256"/>
      <c r="M52" s="256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256"/>
      <c r="Y52" s="256"/>
      <c r="Z52" s="189"/>
      <c r="AA52" s="189"/>
      <c r="AB52" s="189"/>
      <c r="AC52" s="189"/>
      <c r="AD52" s="189"/>
      <c r="AE52" s="191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  <c r="AP52" s="240"/>
      <c r="AQ52" s="179"/>
      <c r="AR52" s="179"/>
      <c r="AS52" s="179"/>
      <c r="AT52" s="240"/>
      <c r="AU52" s="179"/>
    </row>
    <row r="53" spans="2:47" ht="24" hidden="1" customHeight="1" outlineLevel="1" x14ac:dyDescent="0.3">
      <c r="B53" s="182" t="s">
        <v>69</v>
      </c>
      <c r="C53" s="182"/>
      <c r="D53" s="182"/>
      <c r="E53" s="182"/>
      <c r="F53" s="182"/>
      <c r="G53" s="182"/>
      <c r="H53" s="182"/>
      <c r="I53" s="182"/>
      <c r="J53" s="182"/>
      <c r="K53" s="262" t="s">
        <v>210</v>
      </c>
      <c r="L53" s="262"/>
      <c r="M53" s="262"/>
      <c r="N53" s="262"/>
      <c r="O53" s="262"/>
      <c r="P53" s="262"/>
      <c r="Q53" s="262"/>
      <c r="R53" s="262"/>
      <c r="S53" s="193" t="s">
        <v>148</v>
      </c>
      <c r="T53" s="179"/>
      <c r="U53" s="179"/>
      <c r="V53" s="179"/>
      <c r="W53" s="263" t="s">
        <v>240</v>
      </c>
      <c r="X53" s="264"/>
      <c r="Y53" s="264"/>
      <c r="Z53" s="264"/>
      <c r="AA53" s="264"/>
      <c r="AB53" s="189"/>
      <c r="AC53" s="189"/>
      <c r="AD53" s="189"/>
      <c r="AE53" s="189"/>
      <c r="AF53" s="265"/>
      <c r="AG53" s="265"/>
      <c r="AH53" s="265"/>
      <c r="AI53" s="265"/>
      <c r="AJ53" s="265"/>
      <c r="AK53" s="265"/>
      <c r="AL53" s="265"/>
      <c r="AM53" s="265"/>
      <c r="AN53" s="265"/>
      <c r="AO53" s="265"/>
      <c r="AP53" s="265"/>
      <c r="AQ53" s="179"/>
      <c r="AR53" s="179"/>
      <c r="AS53" s="179"/>
      <c r="AT53" s="241"/>
      <c r="AU53" s="179"/>
    </row>
    <row r="54" spans="2:47" ht="24" hidden="1" customHeight="1" outlineLevel="1" x14ac:dyDescent="0.3">
      <c r="B54" s="182" t="s">
        <v>70</v>
      </c>
      <c r="C54" s="182"/>
      <c r="D54" s="182"/>
      <c r="E54" s="182"/>
      <c r="F54" s="182"/>
      <c r="G54" s="182"/>
      <c r="H54" s="182"/>
      <c r="I54" s="182"/>
      <c r="J54" s="182"/>
      <c r="K54" s="257" t="s">
        <v>149</v>
      </c>
      <c r="L54" s="257"/>
      <c r="M54" s="257"/>
      <c r="N54" s="257"/>
      <c r="O54" s="257"/>
      <c r="P54" s="257"/>
      <c r="Q54" s="257"/>
      <c r="R54" s="257"/>
      <c r="S54" s="257"/>
      <c r="T54" s="257"/>
      <c r="U54" s="257"/>
      <c r="V54" s="257"/>
      <c r="W54" s="257"/>
      <c r="X54" s="257"/>
      <c r="Y54" s="257"/>
      <c r="Z54" s="257"/>
      <c r="AA54" s="189"/>
      <c r="AB54" s="189"/>
      <c r="AC54" s="189"/>
      <c r="AD54" s="189"/>
      <c r="AE54" s="191" t="s">
        <v>71</v>
      </c>
      <c r="AF54" s="256" t="s">
        <v>150</v>
      </c>
      <c r="AG54" s="256"/>
      <c r="AH54" s="256"/>
      <c r="AI54" s="256"/>
      <c r="AJ54" s="256"/>
      <c r="AK54" s="256"/>
      <c r="AL54" s="256"/>
      <c r="AM54" s="256"/>
      <c r="AN54" s="256"/>
      <c r="AO54" s="256"/>
      <c r="AP54" s="256"/>
      <c r="AQ54" s="179"/>
      <c r="AR54" s="179"/>
      <c r="AS54" s="179"/>
      <c r="AT54" s="240"/>
      <c r="AU54" s="179"/>
    </row>
    <row r="55" spans="2:47" ht="24" hidden="1" customHeight="1" outlineLevel="1" x14ac:dyDescent="0.3">
      <c r="B55" s="182" t="s">
        <v>73</v>
      </c>
      <c r="C55" s="182"/>
      <c r="D55" s="182"/>
      <c r="E55" s="182"/>
      <c r="F55" s="182"/>
      <c r="G55" s="182"/>
      <c r="H55" s="182"/>
      <c r="I55" s="182"/>
      <c r="J55" s="182"/>
      <c r="K55" s="257" t="s">
        <v>149</v>
      </c>
      <c r="L55" s="257"/>
      <c r="M55" s="257"/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7"/>
      <c r="AA55" s="257"/>
      <c r="AB55" s="257"/>
      <c r="AC55" s="189"/>
      <c r="AD55" s="189"/>
      <c r="AE55" s="191" t="s">
        <v>72</v>
      </c>
      <c r="AF55" s="256" t="s">
        <v>150</v>
      </c>
      <c r="AG55" s="256"/>
      <c r="AH55" s="256"/>
      <c r="AI55" s="256"/>
      <c r="AJ55" s="256"/>
      <c r="AK55" s="256"/>
      <c r="AL55" s="256"/>
      <c r="AM55" s="256"/>
      <c r="AN55" s="256"/>
      <c r="AO55" s="256"/>
      <c r="AP55" s="256"/>
      <c r="AQ55" s="179"/>
      <c r="AR55" s="179"/>
      <c r="AS55" s="179"/>
      <c r="AT55" s="240"/>
      <c r="AU55" s="179"/>
    </row>
    <row r="56" spans="2:47" ht="9.75" hidden="1" customHeight="1" outlineLevel="1" x14ac:dyDescent="0.3">
      <c r="AC56" s="189"/>
      <c r="AD56" s="189"/>
      <c r="AE56" s="191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241"/>
    </row>
    <row r="57" spans="2:47" ht="14.25" hidden="1" customHeight="1" outlineLevel="1" x14ac:dyDescent="0.3">
      <c r="B57" s="182" t="s">
        <v>65</v>
      </c>
      <c r="C57" s="182"/>
      <c r="D57" s="182"/>
      <c r="E57" s="182"/>
      <c r="F57" s="182"/>
      <c r="G57" s="182"/>
      <c r="H57" s="182"/>
      <c r="I57" s="182"/>
      <c r="J57" s="182"/>
      <c r="K57" s="257" t="s">
        <v>203</v>
      </c>
      <c r="L57" s="257"/>
      <c r="M57" s="257"/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67"/>
      <c r="Y57" s="267"/>
      <c r="Z57" s="267"/>
      <c r="AA57" s="267"/>
      <c r="AB57" s="267"/>
      <c r="AC57" s="267"/>
      <c r="AD57" s="267"/>
      <c r="AE57" s="26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194"/>
      <c r="AR57" s="179"/>
      <c r="AS57" s="256"/>
      <c r="AT57" s="256"/>
      <c r="AU57" s="256"/>
    </row>
    <row r="58" spans="2:47" ht="14.25" hidden="1" customHeight="1" outlineLevel="1" x14ac:dyDescent="0.3">
      <c r="B58" s="182" t="s">
        <v>238</v>
      </c>
      <c r="C58" s="182"/>
      <c r="D58" s="182"/>
      <c r="E58" s="182"/>
      <c r="F58" s="182"/>
      <c r="G58" s="182"/>
      <c r="H58" s="182"/>
      <c r="I58" s="182"/>
      <c r="J58" s="182"/>
      <c r="K58" s="257" t="s">
        <v>118</v>
      </c>
      <c r="L58" s="257"/>
      <c r="M58" s="257"/>
      <c r="N58" s="257"/>
      <c r="O58" s="257"/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7"/>
      <c r="AA58" s="190"/>
      <c r="AB58" s="190"/>
      <c r="AC58" s="190"/>
      <c r="AD58" s="190"/>
      <c r="AE58" s="190"/>
      <c r="AF58" s="256"/>
      <c r="AG58" s="256"/>
      <c r="AH58" s="256"/>
      <c r="AI58" s="256"/>
      <c r="AJ58" s="256"/>
      <c r="AK58" s="256"/>
      <c r="AL58" s="256"/>
      <c r="AM58" s="256"/>
      <c r="AN58" s="256"/>
      <c r="AO58" s="256"/>
      <c r="AP58" s="256"/>
      <c r="AQ58" s="179"/>
      <c r="AR58" s="179"/>
      <c r="AS58" s="179"/>
      <c r="AT58" s="240"/>
      <c r="AU58" s="179"/>
    </row>
    <row r="59" spans="2:47" ht="11.25" hidden="1" customHeight="1" outlineLevel="1" x14ac:dyDescent="0.3">
      <c r="B59" s="182"/>
      <c r="C59" s="182"/>
      <c r="D59" s="182"/>
      <c r="E59" s="182"/>
      <c r="F59" s="182"/>
      <c r="G59" s="182"/>
      <c r="H59" s="182"/>
      <c r="I59" s="182"/>
      <c r="J59" s="182"/>
      <c r="K59" s="239"/>
      <c r="L59" s="239"/>
      <c r="M59" s="239"/>
      <c r="N59" s="239"/>
      <c r="O59" s="239"/>
      <c r="P59" s="239"/>
      <c r="Q59" s="239"/>
      <c r="R59" s="239"/>
      <c r="S59" s="239"/>
      <c r="T59" s="239"/>
      <c r="U59" s="239"/>
      <c r="V59" s="239"/>
      <c r="W59" s="239"/>
      <c r="X59" s="239"/>
      <c r="Y59" s="239"/>
      <c r="Z59" s="239"/>
      <c r="AA59" s="190"/>
      <c r="AB59" s="190"/>
      <c r="AC59" s="190"/>
      <c r="AD59" s="190"/>
      <c r="AE59" s="190"/>
      <c r="AF59" s="240"/>
      <c r="AG59" s="240"/>
      <c r="AH59" s="240"/>
      <c r="AI59" s="240"/>
      <c r="AJ59" s="240"/>
      <c r="AK59" s="240"/>
      <c r="AL59" s="240"/>
      <c r="AM59" s="240"/>
      <c r="AN59" s="240"/>
      <c r="AO59" s="240"/>
      <c r="AP59" s="240"/>
      <c r="AQ59" s="179"/>
      <c r="AR59" s="179"/>
      <c r="AS59" s="179"/>
      <c r="AT59" s="240"/>
      <c r="AU59" s="179"/>
    </row>
    <row r="60" spans="2:47" ht="24" hidden="1" customHeight="1" outlineLevel="1" x14ac:dyDescent="0.3">
      <c r="B60" s="271" t="s">
        <v>163</v>
      </c>
      <c r="C60" s="271"/>
      <c r="D60" s="271"/>
      <c r="E60" s="271"/>
      <c r="F60" s="271"/>
      <c r="G60" s="271"/>
      <c r="H60" s="271"/>
      <c r="I60" s="271"/>
      <c r="J60" s="182"/>
      <c r="K60" s="256" t="s">
        <v>149</v>
      </c>
      <c r="L60" s="256"/>
      <c r="M60" s="256"/>
      <c r="N60" s="256"/>
      <c r="O60" s="256"/>
      <c r="P60" s="256"/>
      <c r="Q60" s="256"/>
      <c r="R60" s="256"/>
      <c r="S60" s="256"/>
      <c r="T60" s="256"/>
      <c r="U60" s="256"/>
      <c r="V60" s="256"/>
      <c r="W60" s="256"/>
      <c r="X60" s="256"/>
      <c r="Y60" s="256"/>
      <c r="Z60" s="239"/>
      <c r="AA60" s="190"/>
      <c r="AB60" s="190"/>
      <c r="AC60" s="190"/>
      <c r="AD60" s="190"/>
      <c r="AE60" s="191" t="s">
        <v>61</v>
      </c>
      <c r="AF60" s="256" t="s">
        <v>152</v>
      </c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179"/>
      <c r="AR60" s="179"/>
      <c r="AS60" s="179"/>
      <c r="AT60" s="240"/>
      <c r="AU60" s="179"/>
    </row>
    <row r="61" spans="2:47" ht="24" hidden="1" customHeight="1" outlineLevel="1" x14ac:dyDescent="0.3">
      <c r="B61" s="182" t="s">
        <v>67</v>
      </c>
      <c r="C61" s="182"/>
      <c r="D61" s="182"/>
      <c r="E61" s="182"/>
      <c r="F61" s="182"/>
      <c r="G61" s="182"/>
      <c r="H61" s="182"/>
      <c r="I61" s="182"/>
      <c r="J61" s="241"/>
      <c r="K61" s="256" t="s">
        <v>149</v>
      </c>
      <c r="L61" s="256"/>
      <c r="M61" s="256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6"/>
      <c r="Y61" s="256"/>
      <c r="Z61" s="189"/>
      <c r="AA61" s="189"/>
      <c r="AB61" s="189"/>
      <c r="AC61" s="189"/>
      <c r="AD61" s="189"/>
      <c r="AE61" s="191" t="s">
        <v>68</v>
      </c>
      <c r="AF61" s="256" t="s">
        <v>152</v>
      </c>
      <c r="AG61" s="256"/>
      <c r="AH61" s="256"/>
      <c r="AI61" s="256"/>
      <c r="AJ61" s="256"/>
      <c r="AK61" s="256"/>
      <c r="AL61" s="256"/>
      <c r="AM61" s="256"/>
      <c r="AN61" s="256"/>
      <c r="AO61" s="256"/>
      <c r="AP61" s="256"/>
      <c r="AQ61" s="179"/>
      <c r="AR61" s="179"/>
      <c r="AS61" s="179"/>
      <c r="AT61" s="240"/>
      <c r="AU61" s="179"/>
    </row>
    <row r="62" spans="2:47" ht="24" hidden="1" customHeight="1" outlineLevel="1" x14ac:dyDescent="0.3">
      <c r="B62" s="182" t="s">
        <v>133</v>
      </c>
      <c r="C62" s="182"/>
      <c r="D62" s="182"/>
      <c r="E62" s="182"/>
      <c r="F62" s="182"/>
      <c r="G62" s="182"/>
      <c r="H62" s="182"/>
      <c r="I62" s="182"/>
      <c r="J62" s="241"/>
      <c r="K62" s="256" t="s">
        <v>149</v>
      </c>
      <c r="L62" s="256"/>
      <c r="M62" s="256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  <c r="Z62" s="189"/>
      <c r="AA62" s="189"/>
      <c r="AB62" s="189"/>
      <c r="AC62" s="189"/>
      <c r="AD62" s="189"/>
      <c r="AE62" s="191"/>
      <c r="AF62" s="240"/>
      <c r="AG62" s="240"/>
      <c r="AH62" s="240"/>
      <c r="AI62" s="240"/>
      <c r="AJ62" s="240"/>
      <c r="AK62" s="240"/>
      <c r="AL62" s="240"/>
      <c r="AM62" s="240"/>
      <c r="AN62" s="240"/>
      <c r="AO62" s="240"/>
      <c r="AP62" s="240"/>
      <c r="AQ62" s="179"/>
      <c r="AR62" s="179"/>
      <c r="AS62" s="179"/>
      <c r="AT62" s="240"/>
      <c r="AU62" s="179"/>
    </row>
    <row r="63" spans="2:47" ht="24" hidden="1" customHeight="1" outlineLevel="1" x14ac:dyDescent="0.3">
      <c r="B63" s="182" t="s">
        <v>69</v>
      </c>
      <c r="C63" s="182"/>
      <c r="D63" s="182"/>
      <c r="E63" s="182"/>
      <c r="F63" s="182"/>
      <c r="G63" s="182"/>
      <c r="H63" s="182"/>
      <c r="I63" s="182"/>
      <c r="J63" s="182"/>
      <c r="K63" s="262" t="s">
        <v>210</v>
      </c>
      <c r="L63" s="262"/>
      <c r="M63" s="262"/>
      <c r="N63" s="262"/>
      <c r="O63" s="262"/>
      <c r="P63" s="262"/>
      <c r="Q63" s="262"/>
      <c r="R63" s="262"/>
      <c r="S63" s="193" t="s">
        <v>148</v>
      </c>
      <c r="T63" s="179"/>
      <c r="U63" s="179"/>
      <c r="V63" s="179"/>
      <c r="W63" s="263" t="s">
        <v>240</v>
      </c>
      <c r="X63" s="264"/>
      <c r="Y63" s="264"/>
      <c r="Z63" s="264"/>
      <c r="AA63" s="264"/>
      <c r="AB63" s="189"/>
      <c r="AC63" s="189"/>
      <c r="AD63" s="189"/>
      <c r="AE63" s="189"/>
      <c r="AF63" s="265"/>
      <c r="AG63" s="265"/>
      <c r="AH63" s="265"/>
      <c r="AI63" s="265"/>
      <c r="AJ63" s="265"/>
      <c r="AK63" s="265"/>
      <c r="AL63" s="265"/>
      <c r="AM63" s="265"/>
      <c r="AN63" s="265"/>
      <c r="AO63" s="265"/>
      <c r="AP63" s="265"/>
      <c r="AQ63" s="179"/>
      <c r="AR63" s="179"/>
      <c r="AS63" s="179"/>
      <c r="AT63" s="241"/>
      <c r="AU63" s="179"/>
    </row>
    <row r="64" spans="2:47" ht="24" hidden="1" customHeight="1" outlineLevel="1" x14ac:dyDescent="0.3">
      <c r="B64" s="182" t="s">
        <v>70</v>
      </c>
      <c r="C64" s="182"/>
      <c r="D64" s="182"/>
      <c r="E64" s="182"/>
      <c r="F64" s="182"/>
      <c r="G64" s="182"/>
      <c r="H64" s="182"/>
      <c r="I64" s="182"/>
      <c r="J64" s="182"/>
      <c r="K64" s="257" t="s">
        <v>149</v>
      </c>
      <c r="L64" s="257"/>
      <c r="M64" s="257"/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  <c r="AA64" s="189"/>
      <c r="AB64" s="189"/>
      <c r="AC64" s="189"/>
      <c r="AD64" s="189"/>
      <c r="AE64" s="191" t="s">
        <v>71</v>
      </c>
      <c r="AF64" s="256" t="s">
        <v>150</v>
      </c>
      <c r="AG64" s="256"/>
      <c r="AH64" s="256"/>
      <c r="AI64" s="256"/>
      <c r="AJ64" s="256"/>
      <c r="AK64" s="256"/>
      <c r="AL64" s="256"/>
      <c r="AM64" s="256"/>
      <c r="AN64" s="256"/>
      <c r="AO64" s="256"/>
      <c r="AP64" s="256"/>
      <c r="AQ64" s="179"/>
      <c r="AR64" s="179"/>
      <c r="AS64" s="179"/>
      <c r="AT64" s="240"/>
      <c r="AU64" s="179"/>
    </row>
    <row r="65" spans="2:47" ht="24" hidden="1" customHeight="1" outlineLevel="1" x14ac:dyDescent="0.3">
      <c r="B65" s="182" t="s">
        <v>73</v>
      </c>
      <c r="C65" s="182"/>
      <c r="D65" s="182"/>
      <c r="E65" s="182"/>
      <c r="F65" s="182"/>
      <c r="G65" s="182"/>
      <c r="H65" s="182"/>
      <c r="I65" s="182"/>
      <c r="J65" s="182"/>
      <c r="K65" s="257" t="s">
        <v>149</v>
      </c>
      <c r="L65" s="257"/>
      <c r="M65" s="257"/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  <c r="AA65" s="257"/>
      <c r="AB65" s="189"/>
      <c r="AC65" s="189"/>
      <c r="AD65" s="189"/>
      <c r="AE65" s="191" t="s">
        <v>72</v>
      </c>
      <c r="AF65" s="256" t="s">
        <v>150</v>
      </c>
      <c r="AG65" s="256"/>
      <c r="AH65" s="256"/>
      <c r="AI65" s="256"/>
      <c r="AJ65" s="256"/>
      <c r="AK65" s="256"/>
      <c r="AL65" s="256"/>
      <c r="AM65" s="256"/>
      <c r="AN65" s="256"/>
      <c r="AO65" s="256"/>
      <c r="AP65" s="256"/>
      <c r="AQ65" s="179"/>
      <c r="AR65" s="179"/>
      <c r="AS65" s="179"/>
      <c r="AT65" s="240"/>
      <c r="AU65" s="179"/>
    </row>
    <row r="66" spans="2:47" ht="24" hidden="1" customHeight="1" outlineLevel="1" x14ac:dyDescent="0.3">
      <c r="B66" s="271" t="s">
        <v>226</v>
      </c>
      <c r="C66" s="271"/>
      <c r="D66" s="271"/>
      <c r="E66" s="271"/>
      <c r="F66" s="271"/>
      <c r="G66" s="271"/>
      <c r="H66" s="271"/>
      <c r="I66" s="271"/>
      <c r="J66" s="182"/>
      <c r="K66" s="256" t="s">
        <v>149</v>
      </c>
      <c r="L66" s="256"/>
      <c r="M66" s="256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39"/>
      <c r="AA66" s="190"/>
      <c r="AB66" s="190"/>
      <c r="AC66" s="190"/>
      <c r="AD66" s="190"/>
      <c r="AE66" s="191" t="s">
        <v>61</v>
      </c>
      <c r="AF66" s="256" t="s">
        <v>150</v>
      </c>
      <c r="AG66" s="256"/>
      <c r="AH66" s="256"/>
      <c r="AI66" s="256"/>
      <c r="AJ66" s="256"/>
      <c r="AK66" s="256"/>
      <c r="AL66" s="256"/>
      <c r="AM66" s="256"/>
      <c r="AN66" s="256"/>
      <c r="AO66" s="256"/>
      <c r="AP66" s="256"/>
      <c r="AQ66" s="179"/>
      <c r="AR66" s="179"/>
      <c r="AS66" s="179"/>
      <c r="AT66" s="240"/>
      <c r="AU66" s="179"/>
    </row>
    <row r="67" spans="2:47" ht="24" hidden="1" customHeight="1" outlineLevel="1" x14ac:dyDescent="0.3">
      <c r="B67" s="182" t="s">
        <v>67</v>
      </c>
      <c r="C67" s="182"/>
      <c r="D67" s="182"/>
      <c r="E67" s="182"/>
      <c r="F67" s="182"/>
      <c r="G67" s="182"/>
      <c r="H67" s="182"/>
      <c r="I67" s="182"/>
      <c r="J67" s="241"/>
      <c r="K67" s="256" t="s">
        <v>149</v>
      </c>
      <c r="L67" s="256"/>
      <c r="M67" s="256"/>
      <c r="N67" s="256"/>
      <c r="O67" s="256"/>
      <c r="P67" s="256"/>
      <c r="Q67" s="256"/>
      <c r="R67" s="256"/>
      <c r="S67" s="256"/>
      <c r="T67" s="256"/>
      <c r="U67" s="256"/>
      <c r="V67" s="256"/>
      <c r="W67" s="256"/>
      <c r="X67" s="256"/>
      <c r="Y67" s="256"/>
      <c r="Z67" s="189"/>
      <c r="AA67" s="189"/>
      <c r="AB67" s="189"/>
      <c r="AC67" s="189"/>
      <c r="AD67" s="189"/>
      <c r="AE67" s="191" t="s">
        <v>68</v>
      </c>
      <c r="AF67" s="256" t="s">
        <v>150</v>
      </c>
      <c r="AG67" s="256"/>
      <c r="AH67" s="256"/>
      <c r="AI67" s="256"/>
      <c r="AJ67" s="256"/>
      <c r="AK67" s="256"/>
      <c r="AL67" s="256"/>
      <c r="AM67" s="256"/>
      <c r="AN67" s="256"/>
      <c r="AO67" s="256"/>
      <c r="AP67" s="256"/>
      <c r="AQ67" s="179"/>
      <c r="AR67" s="179"/>
      <c r="AS67" s="179"/>
      <c r="AT67" s="240"/>
      <c r="AU67" s="179"/>
    </row>
    <row r="68" spans="2:47" ht="24" hidden="1" customHeight="1" outlineLevel="1" x14ac:dyDescent="0.3">
      <c r="B68" s="182" t="s">
        <v>133</v>
      </c>
      <c r="C68" s="182"/>
      <c r="D68" s="182"/>
      <c r="E68" s="182"/>
      <c r="F68" s="182"/>
      <c r="G68" s="182"/>
      <c r="H68" s="182"/>
      <c r="I68" s="182"/>
      <c r="J68" s="241"/>
      <c r="K68" s="256" t="s">
        <v>149</v>
      </c>
      <c r="L68" s="256"/>
      <c r="M68" s="256"/>
      <c r="N68" s="256"/>
      <c r="O68" s="256"/>
      <c r="P68" s="256"/>
      <c r="Q68" s="256"/>
      <c r="R68" s="256"/>
      <c r="S68" s="256"/>
      <c r="T68" s="256"/>
      <c r="U68" s="256"/>
      <c r="V68" s="256"/>
      <c r="W68" s="256"/>
      <c r="X68" s="256"/>
      <c r="Y68" s="256"/>
      <c r="Z68" s="189"/>
      <c r="AA68" s="189"/>
      <c r="AB68" s="189"/>
      <c r="AC68" s="189"/>
      <c r="AD68" s="189"/>
      <c r="AE68" s="191"/>
      <c r="AF68" s="240"/>
      <c r="AG68" s="240"/>
      <c r="AH68" s="240"/>
      <c r="AI68" s="240"/>
      <c r="AJ68" s="240"/>
      <c r="AK68" s="240"/>
      <c r="AL68" s="240"/>
      <c r="AM68" s="240"/>
      <c r="AN68" s="240"/>
      <c r="AO68" s="240"/>
      <c r="AP68" s="240"/>
      <c r="AQ68" s="179"/>
      <c r="AR68" s="179"/>
      <c r="AS68" s="179"/>
      <c r="AT68" s="240"/>
      <c r="AU68" s="179"/>
    </row>
    <row r="69" spans="2:47" ht="24" hidden="1" customHeight="1" outlineLevel="1" x14ac:dyDescent="0.3">
      <c r="B69" s="182" t="s">
        <v>134</v>
      </c>
      <c r="C69" s="182"/>
      <c r="D69" s="182"/>
      <c r="E69" s="182"/>
      <c r="F69" s="182"/>
      <c r="G69" s="182"/>
      <c r="H69" s="182"/>
      <c r="I69" s="182"/>
      <c r="J69" s="241"/>
      <c r="K69" s="256" t="s">
        <v>149</v>
      </c>
      <c r="L69" s="256"/>
      <c r="M69" s="256"/>
      <c r="N69" s="256"/>
      <c r="O69" s="256"/>
      <c r="P69" s="256"/>
      <c r="Q69" s="256"/>
      <c r="R69" s="256"/>
      <c r="S69" s="256"/>
      <c r="T69" s="256"/>
      <c r="U69" s="256"/>
      <c r="V69" s="256"/>
      <c r="W69" s="256"/>
      <c r="X69" s="256"/>
      <c r="Y69" s="256"/>
      <c r="Z69" s="189"/>
      <c r="AA69" s="189"/>
      <c r="AB69" s="189"/>
      <c r="AC69" s="189"/>
      <c r="AD69" s="189"/>
      <c r="AE69" s="191"/>
      <c r="AF69" s="240"/>
      <c r="AG69" s="240"/>
      <c r="AH69" s="240"/>
      <c r="AI69" s="240"/>
      <c r="AJ69" s="240"/>
      <c r="AK69" s="240"/>
      <c r="AL69" s="240"/>
      <c r="AM69" s="240"/>
      <c r="AN69" s="240"/>
      <c r="AO69" s="240"/>
      <c r="AP69" s="240"/>
      <c r="AQ69" s="179"/>
      <c r="AR69" s="179"/>
      <c r="AS69" s="179"/>
      <c r="AT69" s="240"/>
      <c r="AU69" s="179"/>
    </row>
    <row r="70" spans="2:47" ht="24" hidden="1" customHeight="1" outlineLevel="1" x14ac:dyDescent="0.3">
      <c r="B70" s="182" t="s">
        <v>233</v>
      </c>
      <c r="C70" s="182"/>
      <c r="D70" s="182"/>
      <c r="E70" s="182"/>
      <c r="F70" s="182"/>
      <c r="G70" s="182"/>
      <c r="H70" s="182"/>
      <c r="I70" s="182"/>
      <c r="J70" s="241"/>
      <c r="K70" s="256" t="s">
        <v>149</v>
      </c>
      <c r="L70" s="256"/>
      <c r="M70" s="256"/>
      <c r="N70" s="256"/>
      <c r="O70" s="256"/>
      <c r="P70" s="256"/>
      <c r="Q70" s="256"/>
      <c r="R70" s="256"/>
      <c r="S70" s="256"/>
      <c r="T70" s="256"/>
      <c r="U70" s="256"/>
      <c r="V70" s="256"/>
      <c r="W70" s="256"/>
      <c r="X70" s="256"/>
      <c r="Y70" s="256"/>
      <c r="Z70" s="189"/>
      <c r="AA70" s="189"/>
      <c r="AB70" s="189"/>
      <c r="AC70" s="189"/>
      <c r="AD70" s="189"/>
      <c r="AE70" s="191"/>
      <c r="AF70" s="240"/>
      <c r="AG70" s="240"/>
      <c r="AH70" s="240"/>
      <c r="AI70" s="240"/>
      <c r="AJ70" s="240"/>
      <c r="AK70" s="240"/>
      <c r="AL70" s="240"/>
      <c r="AM70" s="240"/>
      <c r="AN70" s="240"/>
      <c r="AO70" s="240"/>
      <c r="AP70" s="240"/>
      <c r="AQ70" s="179"/>
      <c r="AR70" s="179"/>
      <c r="AS70" s="179"/>
      <c r="AT70" s="240"/>
      <c r="AU70" s="179"/>
    </row>
    <row r="71" spans="2:47" ht="24" hidden="1" customHeight="1" outlineLevel="1" x14ac:dyDescent="0.3">
      <c r="B71" s="182" t="s">
        <v>69</v>
      </c>
      <c r="C71" s="182"/>
      <c r="D71" s="182"/>
      <c r="E71" s="182"/>
      <c r="F71" s="182"/>
      <c r="G71" s="182"/>
      <c r="H71" s="182"/>
      <c r="I71" s="182"/>
      <c r="J71" s="182"/>
      <c r="K71" s="262" t="s">
        <v>210</v>
      </c>
      <c r="L71" s="262"/>
      <c r="M71" s="262"/>
      <c r="N71" s="262"/>
      <c r="O71" s="262"/>
      <c r="P71" s="262"/>
      <c r="Q71" s="262"/>
      <c r="R71" s="262"/>
      <c r="S71" s="193" t="s">
        <v>148</v>
      </c>
      <c r="T71" s="179"/>
      <c r="U71" s="179"/>
      <c r="V71" s="179"/>
      <c r="W71" s="263" t="s">
        <v>240</v>
      </c>
      <c r="X71" s="264"/>
      <c r="Y71" s="264"/>
      <c r="Z71" s="264"/>
      <c r="AA71" s="264"/>
      <c r="AB71" s="189"/>
      <c r="AC71" s="189"/>
      <c r="AD71" s="189"/>
      <c r="AE71" s="189"/>
      <c r="AF71" s="265"/>
      <c r="AG71" s="265"/>
      <c r="AH71" s="265"/>
      <c r="AI71" s="265"/>
      <c r="AJ71" s="265"/>
      <c r="AK71" s="265"/>
      <c r="AL71" s="265"/>
      <c r="AM71" s="265"/>
      <c r="AN71" s="265"/>
      <c r="AO71" s="265"/>
      <c r="AP71" s="265"/>
      <c r="AQ71" s="179"/>
      <c r="AR71" s="179"/>
      <c r="AS71" s="179"/>
      <c r="AT71" s="241"/>
      <c r="AU71" s="179"/>
    </row>
    <row r="72" spans="2:47" ht="24" hidden="1" customHeight="1" outlineLevel="1" x14ac:dyDescent="0.3">
      <c r="B72" s="182" t="s">
        <v>70</v>
      </c>
      <c r="C72" s="182"/>
      <c r="D72" s="182"/>
      <c r="E72" s="182"/>
      <c r="F72" s="182"/>
      <c r="G72" s="182"/>
      <c r="H72" s="182"/>
      <c r="I72" s="182"/>
      <c r="J72" s="182"/>
      <c r="K72" s="257" t="s">
        <v>149</v>
      </c>
      <c r="L72" s="257"/>
      <c r="M72" s="257"/>
      <c r="N72" s="257"/>
      <c r="O72" s="257"/>
      <c r="P72" s="257"/>
      <c r="Q72" s="257"/>
      <c r="R72" s="257"/>
      <c r="S72" s="257"/>
      <c r="T72" s="257"/>
      <c r="U72" s="257"/>
      <c r="V72" s="257"/>
      <c r="W72" s="257"/>
      <c r="X72" s="257"/>
      <c r="Y72" s="257"/>
      <c r="Z72" s="257"/>
      <c r="AA72" s="189"/>
      <c r="AB72" s="189"/>
      <c r="AC72" s="189"/>
      <c r="AD72" s="189"/>
      <c r="AE72" s="191" t="s">
        <v>71</v>
      </c>
      <c r="AF72" s="256" t="s">
        <v>150</v>
      </c>
      <c r="AG72" s="256"/>
      <c r="AH72" s="256"/>
      <c r="AI72" s="256"/>
      <c r="AJ72" s="256"/>
      <c r="AK72" s="256"/>
      <c r="AL72" s="256"/>
      <c r="AM72" s="256"/>
      <c r="AN72" s="256"/>
      <c r="AO72" s="256"/>
      <c r="AP72" s="256"/>
      <c r="AQ72" s="179"/>
      <c r="AR72" s="179"/>
      <c r="AS72" s="179"/>
      <c r="AT72" s="240"/>
      <c r="AU72" s="179"/>
    </row>
    <row r="73" spans="2:47" ht="24" hidden="1" customHeight="1" outlineLevel="1" x14ac:dyDescent="0.3">
      <c r="B73" s="182" t="s">
        <v>73</v>
      </c>
      <c r="C73" s="182"/>
      <c r="D73" s="182"/>
      <c r="E73" s="182"/>
      <c r="F73" s="182"/>
      <c r="G73" s="182"/>
      <c r="H73" s="182"/>
      <c r="I73" s="182"/>
      <c r="J73" s="182"/>
      <c r="K73" s="257" t="s">
        <v>149</v>
      </c>
      <c r="L73" s="257"/>
      <c r="M73" s="257"/>
      <c r="N73" s="257"/>
      <c r="O73" s="257"/>
      <c r="P73" s="257"/>
      <c r="Q73" s="257"/>
      <c r="R73" s="257"/>
      <c r="S73" s="257"/>
      <c r="T73" s="257"/>
      <c r="U73" s="257"/>
      <c r="V73" s="257"/>
      <c r="W73" s="257"/>
      <c r="X73" s="257"/>
      <c r="Y73" s="257"/>
      <c r="Z73" s="257"/>
      <c r="AA73" s="257"/>
      <c r="AB73" s="189"/>
      <c r="AC73" s="189"/>
      <c r="AD73" s="189"/>
      <c r="AE73" s="191" t="s">
        <v>72</v>
      </c>
      <c r="AF73" s="256" t="s">
        <v>150</v>
      </c>
      <c r="AG73" s="256"/>
      <c r="AH73" s="256"/>
      <c r="AI73" s="256"/>
      <c r="AJ73" s="256"/>
      <c r="AK73" s="256"/>
      <c r="AL73" s="256"/>
      <c r="AM73" s="256"/>
      <c r="AN73" s="256"/>
      <c r="AO73" s="256"/>
      <c r="AP73" s="256"/>
      <c r="AQ73" s="179"/>
      <c r="AR73" s="179"/>
      <c r="AS73" s="179"/>
      <c r="AT73" s="240"/>
      <c r="AU73" s="179"/>
    </row>
    <row r="74" spans="2:47" ht="9.75" hidden="1" customHeight="1" outlineLevel="1" thickBot="1" x14ac:dyDescent="0.35"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240"/>
    </row>
    <row r="75" spans="2:47" s="195" customFormat="1" ht="26.1" customHeight="1" collapsed="1" thickBot="1" x14ac:dyDescent="0.35">
      <c r="B75" s="268" t="s">
        <v>146</v>
      </c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  <c r="AA75" s="269"/>
      <c r="AB75" s="269"/>
      <c r="AC75" s="269"/>
      <c r="AD75" s="269"/>
      <c r="AE75" s="269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9"/>
      <c r="AT75" s="269"/>
      <c r="AU75" s="270"/>
    </row>
    <row r="76" spans="2:47" ht="24" hidden="1" customHeight="1" outlineLevel="1" x14ac:dyDescent="0.3">
      <c r="B76" s="182" t="s">
        <v>60</v>
      </c>
      <c r="C76" s="182"/>
      <c r="D76" s="182"/>
      <c r="E76" s="182"/>
      <c r="F76" s="182"/>
      <c r="G76" s="182"/>
      <c r="H76" s="182"/>
      <c r="I76" s="182"/>
      <c r="J76" s="182"/>
      <c r="K76" s="266" t="s">
        <v>149</v>
      </c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189"/>
      <c r="AD76" s="190"/>
      <c r="AE76" s="191" t="s">
        <v>61</v>
      </c>
      <c r="AF76" s="256" t="s">
        <v>155</v>
      </c>
      <c r="AG76" s="256"/>
      <c r="AH76" s="256"/>
      <c r="AI76" s="256"/>
      <c r="AJ76" s="256"/>
      <c r="AK76" s="256"/>
      <c r="AL76" s="256"/>
      <c r="AM76" s="256"/>
      <c r="AN76" s="256"/>
      <c r="AO76" s="256"/>
      <c r="AP76" s="256"/>
      <c r="AQ76" s="179"/>
      <c r="AR76" s="179"/>
      <c r="AS76" s="179"/>
      <c r="AT76" s="240"/>
      <c r="AU76" s="179"/>
    </row>
    <row r="77" spans="2:47" ht="24" hidden="1" customHeight="1" outlineLevel="1" x14ac:dyDescent="0.3">
      <c r="B77" s="182" t="s">
        <v>62</v>
      </c>
      <c r="C77" s="182"/>
      <c r="D77" s="182"/>
      <c r="E77" s="182"/>
      <c r="F77" s="182"/>
      <c r="G77" s="182"/>
      <c r="H77" s="182"/>
      <c r="I77" s="182"/>
      <c r="J77" s="182"/>
      <c r="K77" s="257" t="s">
        <v>149</v>
      </c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  <c r="AA77" s="257"/>
      <c r="AB77" s="257"/>
      <c r="AC77" s="257"/>
      <c r="AD77" s="257"/>
      <c r="AE77" s="257"/>
      <c r="AF77" s="257"/>
      <c r="AG77" s="257"/>
      <c r="AH77" s="257"/>
      <c r="AI77" s="257"/>
      <c r="AJ77" s="257"/>
      <c r="AK77" s="257"/>
      <c r="AL77" s="257"/>
      <c r="AM77" s="257"/>
      <c r="AN77" s="257"/>
      <c r="AO77" s="257"/>
      <c r="AP77" s="257"/>
      <c r="AQ77" s="257"/>
      <c r="AR77" s="257"/>
      <c r="AS77" s="257"/>
      <c r="AT77" s="257"/>
      <c r="AU77" s="257"/>
    </row>
    <row r="78" spans="2:47" ht="24" hidden="1" customHeight="1" outlineLevel="1" x14ac:dyDescent="0.3">
      <c r="B78" s="182"/>
      <c r="C78" s="182"/>
      <c r="D78" s="182"/>
      <c r="E78" s="182"/>
      <c r="F78" s="182"/>
      <c r="G78" s="182"/>
      <c r="H78" s="182"/>
      <c r="I78" s="182"/>
      <c r="J78" s="182"/>
      <c r="K78" s="257" t="s">
        <v>149</v>
      </c>
      <c r="L78" s="257"/>
      <c r="M78" s="257"/>
      <c r="N78" s="257"/>
      <c r="O78" s="257"/>
      <c r="P78" s="257"/>
      <c r="Q78" s="257"/>
      <c r="R78" s="257"/>
      <c r="S78" s="257"/>
      <c r="T78" s="257"/>
      <c r="U78" s="257"/>
      <c r="V78" s="257"/>
      <c r="W78" s="257"/>
      <c r="X78" s="257"/>
      <c r="Y78" s="257"/>
      <c r="Z78" s="257"/>
      <c r="AA78" s="257"/>
      <c r="AB78" s="257"/>
      <c r="AC78" s="189"/>
      <c r="AD78" s="189"/>
      <c r="AE78" s="191"/>
      <c r="AF78" s="182"/>
      <c r="AG78" s="182"/>
      <c r="AH78" s="182"/>
      <c r="AI78" s="182"/>
      <c r="AJ78" s="182"/>
      <c r="AK78" s="182"/>
      <c r="AL78" s="182"/>
      <c r="AM78" s="182"/>
      <c r="AN78" s="182"/>
      <c r="AO78" s="182"/>
      <c r="AP78" s="182"/>
      <c r="AQ78" s="182"/>
      <c r="AR78" s="182"/>
      <c r="AS78" s="182"/>
      <c r="AT78" s="182"/>
      <c r="AU78" s="241"/>
    </row>
    <row r="79" spans="2:47" ht="24" hidden="1" customHeight="1" outlineLevel="1" x14ac:dyDescent="0.3">
      <c r="B79" s="182" t="s">
        <v>64</v>
      </c>
      <c r="C79" s="182"/>
      <c r="D79" s="182"/>
      <c r="E79" s="182"/>
      <c r="F79" s="182"/>
      <c r="G79" s="182"/>
      <c r="H79" s="182"/>
      <c r="I79" s="182"/>
      <c r="J79" s="182"/>
      <c r="K79" s="257" t="s">
        <v>149</v>
      </c>
      <c r="L79" s="257"/>
      <c r="M79" s="257"/>
      <c r="N79" s="257"/>
      <c r="O79" s="257"/>
      <c r="P79" s="257"/>
      <c r="Q79" s="257"/>
      <c r="R79" s="257"/>
      <c r="S79" s="257"/>
      <c r="T79" s="257"/>
      <c r="U79" s="257"/>
      <c r="V79" s="257"/>
      <c r="W79" s="257"/>
      <c r="X79" s="257"/>
      <c r="Y79" s="257"/>
      <c r="Z79" s="257"/>
      <c r="AA79" s="257"/>
      <c r="AB79" s="257"/>
      <c r="AC79" s="189"/>
      <c r="AD79" s="189"/>
      <c r="AE79" s="191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241"/>
    </row>
    <row r="80" spans="2:47" ht="24" hidden="1" customHeight="1" outlineLevel="1" x14ac:dyDescent="0.3">
      <c r="B80" s="182" t="s">
        <v>134</v>
      </c>
      <c r="C80" s="182"/>
      <c r="D80" s="182"/>
      <c r="E80" s="182"/>
      <c r="F80" s="182"/>
      <c r="G80" s="182"/>
      <c r="H80" s="182"/>
      <c r="I80" s="182"/>
      <c r="J80" s="182"/>
      <c r="K80" s="257" t="s">
        <v>149</v>
      </c>
      <c r="L80" s="257"/>
      <c r="M80" s="257"/>
      <c r="N80" s="257"/>
      <c r="O80" s="257"/>
      <c r="P80" s="257"/>
      <c r="Q80" s="257"/>
      <c r="R80" s="257"/>
      <c r="S80" s="257"/>
      <c r="T80" s="257"/>
      <c r="U80" s="257"/>
      <c r="V80" s="257"/>
      <c r="W80" s="257"/>
      <c r="X80" s="257"/>
      <c r="Y80" s="257"/>
      <c r="Z80" s="257"/>
      <c r="AA80" s="257"/>
      <c r="AB80" s="257"/>
      <c r="AC80" s="189"/>
      <c r="AD80" s="189"/>
      <c r="AE80" s="191"/>
      <c r="AF80" s="182"/>
      <c r="AG80" s="182"/>
      <c r="AH80" s="182"/>
      <c r="AI80" s="182"/>
      <c r="AJ80" s="182"/>
      <c r="AK80" s="182"/>
      <c r="AL80" s="182"/>
      <c r="AM80" s="182"/>
      <c r="AN80" s="182"/>
      <c r="AO80" s="182"/>
      <c r="AP80" s="182"/>
      <c r="AQ80" s="182"/>
      <c r="AR80" s="182"/>
      <c r="AS80" s="182"/>
      <c r="AT80" s="182"/>
      <c r="AU80" s="241"/>
    </row>
    <row r="81" spans="2:47" ht="24" hidden="1" customHeight="1" outlineLevel="1" x14ac:dyDescent="0.3">
      <c r="B81" s="182" t="s">
        <v>135</v>
      </c>
      <c r="C81" s="182"/>
      <c r="D81" s="182"/>
      <c r="E81" s="182"/>
      <c r="F81" s="182"/>
      <c r="G81" s="182"/>
      <c r="H81" s="182"/>
      <c r="I81" s="182"/>
      <c r="J81" s="182"/>
      <c r="K81" s="257" t="s">
        <v>149</v>
      </c>
      <c r="L81" s="257"/>
      <c r="M81" s="257"/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7"/>
      <c r="AB81" s="257"/>
      <c r="AC81" s="189"/>
      <c r="AD81" s="189"/>
      <c r="AE81" s="191" t="s">
        <v>136</v>
      </c>
      <c r="AF81" s="256" t="s">
        <v>155</v>
      </c>
      <c r="AG81" s="256"/>
      <c r="AH81" s="256"/>
      <c r="AI81" s="256"/>
      <c r="AJ81" s="256"/>
      <c r="AK81" s="256"/>
      <c r="AL81" s="256"/>
      <c r="AM81" s="256"/>
      <c r="AN81" s="256"/>
      <c r="AO81" s="256"/>
      <c r="AP81" s="256"/>
      <c r="AQ81" s="182"/>
      <c r="AR81" s="182"/>
      <c r="AS81" s="182"/>
      <c r="AT81" s="182"/>
      <c r="AU81" s="241"/>
    </row>
    <row r="82" spans="2:47" ht="24" hidden="1" customHeight="1" outlineLevel="1" x14ac:dyDescent="0.3">
      <c r="B82" s="305" t="s">
        <v>137</v>
      </c>
      <c r="C82" s="305"/>
      <c r="D82" s="305"/>
      <c r="E82" s="305"/>
      <c r="F82" s="305"/>
      <c r="G82" s="305"/>
      <c r="H82" s="305"/>
      <c r="I82" s="305"/>
      <c r="J82" s="305"/>
      <c r="K82" s="305"/>
      <c r="L82" s="305"/>
      <c r="M82" s="305"/>
      <c r="N82" s="305"/>
      <c r="O82" s="305"/>
      <c r="P82" s="305"/>
      <c r="Q82" s="305"/>
      <c r="R82" s="305"/>
      <c r="S82" s="305"/>
      <c r="T82" s="305"/>
      <c r="U82" s="305"/>
      <c r="V82" s="305"/>
      <c r="W82" s="305"/>
      <c r="X82" s="305"/>
      <c r="Y82" s="305"/>
      <c r="Z82" s="305"/>
      <c r="AA82" s="305"/>
      <c r="AB82" s="305"/>
      <c r="AC82" s="305"/>
      <c r="AD82" s="305"/>
      <c r="AE82" s="305"/>
      <c r="AF82" s="305"/>
      <c r="AG82" s="305"/>
      <c r="AH82" s="305"/>
      <c r="AI82" s="305"/>
      <c r="AJ82" s="305"/>
      <c r="AK82" s="305"/>
      <c r="AL82" s="305"/>
      <c r="AM82" s="305"/>
      <c r="AN82" s="305"/>
      <c r="AO82" s="305"/>
      <c r="AP82" s="305"/>
      <c r="AQ82" s="305"/>
      <c r="AR82" s="305"/>
      <c r="AS82" s="305"/>
      <c r="AT82" s="305"/>
    </row>
    <row r="83" spans="2:47" ht="24" hidden="1" customHeight="1" outlineLevel="1" x14ac:dyDescent="0.3">
      <c r="B83" s="182" t="s">
        <v>138</v>
      </c>
      <c r="C83" s="182"/>
      <c r="D83" s="182"/>
      <c r="E83" s="182"/>
      <c r="F83" s="182"/>
      <c r="G83" s="182"/>
      <c r="H83" s="182"/>
      <c r="I83" s="182"/>
      <c r="J83" s="182"/>
      <c r="K83" s="257" t="s">
        <v>149</v>
      </c>
      <c r="L83" s="257"/>
      <c r="M83" s="257"/>
      <c r="N83" s="257"/>
      <c r="O83" s="257"/>
      <c r="P83" s="257"/>
      <c r="Q83" s="257"/>
      <c r="R83" s="257"/>
      <c r="S83" s="257"/>
      <c r="T83" s="257"/>
      <c r="U83" s="257"/>
      <c r="V83" s="257"/>
      <c r="W83" s="257"/>
      <c r="X83" s="257"/>
      <c r="Y83" s="257"/>
      <c r="Z83" s="257"/>
      <c r="AA83" s="257"/>
      <c r="AB83" s="257"/>
      <c r="AC83" s="189"/>
      <c r="AD83" s="194" t="s">
        <v>139</v>
      </c>
      <c r="AE83" s="191"/>
      <c r="AF83" s="182"/>
      <c r="AG83" s="182"/>
      <c r="AH83" s="182"/>
      <c r="AI83" s="182"/>
      <c r="AJ83" s="182"/>
      <c r="AK83" s="256" t="s">
        <v>155</v>
      </c>
      <c r="AL83" s="256"/>
      <c r="AM83" s="256"/>
      <c r="AN83" s="256"/>
      <c r="AO83" s="256"/>
      <c r="AP83" s="256"/>
      <c r="AQ83" s="256"/>
      <c r="AR83" s="256"/>
      <c r="AS83" s="256"/>
      <c r="AT83" s="256"/>
      <c r="AU83" s="256"/>
    </row>
    <row r="84" spans="2:47" ht="24" hidden="1" customHeight="1" outlineLevel="1" x14ac:dyDescent="0.3">
      <c r="B84" s="182" t="s">
        <v>140</v>
      </c>
      <c r="C84" s="182"/>
      <c r="D84" s="182"/>
      <c r="E84" s="182"/>
      <c r="F84" s="182"/>
      <c r="G84" s="182"/>
      <c r="H84" s="182"/>
      <c r="I84" s="182"/>
      <c r="J84" s="182"/>
      <c r="K84" s="257" t="s">
        <v>149</v>
      </c>
      <c r="L84" s="257"/>
      <c r="M84" s="257"/>
      <c r="N84" s="257"/>
      <c r="O84" s="257"/>
      <c r="P84" s="257"/>
      <c r="Q84" s="257"/>
      <c r="R84" s="257"/>
      <c r="S84" s="257"/>
      <c r="T84" s="257"/>
      <c r="U84" s="257"/>
      <c r="V84" s="257"/>
      <c r="W84" s="257"/>
      <c r="X84" s="257"/>
      <c r="Y84" s="257"/>
      <c r="Z84" s="257"/>
      <c r="AA84" s="257"/>
      <c r="AB84" s="257"/>
      <c r="AC84" s="189"/>
      <c r="AD84" s="194" t="s">
        <v>141</v>
      </c>
      <c r="AE84" s="191"/>
      <c r="AF84" s="182"/>
      <c r="AG84" s="182"/>
      <c r="AH84" s="182"/>
      <c r="AI84" s="182"/>
      <c r="AJ84" s="182"/>
      <c r="AK84" s="256" t="s">
        <v>155</v>
      </c>
      <c r="AL84" s="256"/>
      <c r="AM84" s="256"/>
      <c r="AN84" s="256"/>
      <c r="AO84" s="256"/>
      <c r="AP84" s="256"/>
      <c r="AQ84" s="256"/>
      <c r="AR84" s="256"/>
      <c r="AS84" s="256"/>
      <c r="AT84" s="256"/>
      <c r="AU84" s="256"/>
    </row>
    <row r="85" spans="2:47" ht="24" hidden="1" customHeight="1" outlineLevel="1" x14ac:dyDescent="0.3">
      <c r="B85" s="182" t="s">
        <v>142</v>
      </c>
      <c r="C85" s="182"/>
      <c r="D85" s="182"/>
      <c r="E85" s="182"/>
      <c r="F85" s="182"/>
      <c r="G85" s="182"/>
      <c r="H85" s="182"/>
      <c r="I85" s="182"/>
      <c r="J85" s="182"/>
      <c r="K85" s="257" t="s">
        <v>149</v>
      </c>
      <c r="L85" s="257"/>
      <c r="M85" s="257"/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  <c r="AC85" s="189"/>
      <c r="AD85" s="194" t="s">
        <v>143</v>
      </c>
      <c r="AE85" s="191"/>
      <c r="AF85" s="182"/>
      <c r="AG85" s="182"/>
      <c r="AH85" s="182"/>
      <c r="AI85" s="182"/>
      <c r="AJ85" s="182"/>
      <c r="AK85" s="256" t="s">
        <v>155</v>
      </c>
      <c r="AL85" s="256"/>
      <c r="AM85" s="256"/>
      <c r="AN85" s="256"/>
      <c r="AO85" s="256"/>
      <c r="AP85" s="256"/>
      <c r="AQ85" s="256"/>
      <c r="AR85" s="256"/>
      <c r="AS85" s="256"/>
      <c r="AT85" s="256"/>
      <c r="AU85" s="256"/>
    </row>
    <row r="86" spans="2:47" ht="24" hidden="1" customHeight="1" outlineLevel="1" x14ac:dyDescent="0.3">
      <c r="B86" s="182" t="s">
        <v>144</v>
      </c>
      <c r="C86" s="182"/>
      <c r="D86" s="182"/>
      <c r="E86" s="182"/>
      <c r="F86" s="182"/>
      <c r="G86" s="182"/>
      <c r="H86" s="182"/>
      <c r="I86" s="182"/>
      <c r="J86" s="182"/>
      <c r="K86" s="257" t="s">
        <v>149</v>
      </c>
      <c r="L86" s="257"/>
      <c r="M86" s="257"/>
      <c r="N86" s="257"/>
      <c r="O86" s="257"/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  <c r="AC86" s="189"/>
      <c r="AD86" s="189"/>
      <c r="AE86" s="191"/>
      <c r="AF86" s="182"/>
      <c r="AG86" s="182"/>
      <c r="AH86" s="182"/>
      <c r="AI86" s="182"/>
      <c r="AJ86" s="182"/>
      <c r="AK86" s="182"/>
      <c r="AL86" s="182"/>
      <c r="AM86" s="182"/>
      <c r="AN86" s="182"/>
      <c r="AO86" s="182"/>
      <c r="AP86" s="182"/>
      <c r="AQ86" s="182"/>
      <c r="AR86" s="182"/>
      <c r="AS86" s="182"/>
      <c r="AT86" s="182"/>
      <c r="AU86" s="241"/>
    </row>
    <row r="87" spans="2:47" ht="24" hidden="1" customHeight="1" outlineLevel="1" x14ac:dyDescent="0.3">
      <c r="B87" s="182"/>
      <c r="C87" s="182"/>
      <c r="D87" s="182"/>
      <c r="E87" s="182"/>
      <c r="F87" s="182"/>
      <c r="G87" s="182"/>
      <c r="H87" s="182"/>
      <c r="I87" s="182"/>
      <c r="J87" s="182"/>
      <c r="K87" s="239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39"/>
      <c r="AA87" s="239"/>
      <c r="AB87" s="239"/>
      <c r="AC87" s="189"/>
      <c r="AD87" s="189"/>
      <c r="AE87" s="191"/>
      <c r="AF87" s="182"/>
      <c r="AG87" s="182"/>
      <c r="AH87" s="182"/>
      <c r="AI87" s="182"/>
      <c r="AJ87" s="182"/>
      <c r="AK87" s="182"/>
      <c r="AL87" s="182"/>
      <c r="AM87" s="182"/>
      <c r="AN87" s="182"/>
      <c r="AO87" s="182"/>
      <c r="AP87" s="182"/>
      <c r="AQ87" s="182"/>
      <c r="AR87" s="182"/>
      <c r="AS87" s="182"/>
      <c r="AT87" s="182"/>
      <c r="AU87" s="241"/>
    </row>
    <row r="88" spans="2:47" ht="24" hidden="1" customHeight="1" outlineLevel="1" x14ac:dyDescent="0.3">
      <c r="B88" s="182" t="s">
        <v>156</v>
      </c>
      <c r="C88" s="182"/>
      <c r="D88" s="182"/>
      <c r="E88" s="182"/>
      <c r="F88" s="182"/>
      <c r="G88" s="182"/>
      <c r="H88" s="182"/>
      <c r="I88" s="182"/>
      <c r="J88" s="182"/>
      <c r="K88" s="257" t="s">
        <v>149</v>
      </c>
      <c r="L88" s="257"/>
      <c r="M88" s="257"/>
      <c r="N88" s="257"/>
      <c r="O88" s="257"/>
      <c r="P88" s="257"/>
      <c r="Q88" s="257"/>
      <c r="R88" s="257"/>
      <c r="S88" s="257"/>
      <c r="T88" s="257"/>
      <c r="U88" s="257"/>
      <c r="V88" s="257"/>
      <c r="W88" s="257"/>
      <c r="X88" s="257"/>
      <c r="Y88" s="257"/>
      <c r="Z88" s="257"/>
      <c r="AA88" s="257"/>
      <c r="AB88" s="257"/>
      <c r="AC88" s="189"/>
      <c r="AD88" s="189"/>
      <c r="AE88" s="191" t="s">
        <v>61</v>
      </c>
      <c r="AF88" s="256" t="s">
        <v>152</v>
      </c>
      <c r="AG88" s="256"/>
      <c r="AH88" s="256"/>
      <c r="AI88" s="256"/>
      <c r="AJ88" s="256"/>
      <c r="AK88" s="256"/>
      <c r="AL88" s="256"/>
      <c r="AM88" s="256"/>
      <c r="AN88" s="256"/>
      <c r="AO88" s="256"/>
      <c r="AP88" s="256"/>
      <c r="AQ88" s="182"/>
      <c r="AR88" s="182"/>
      <c r="AS88" s="182"/>
      <c r="AT88" s="182"/>
      <c r="AU88" s="241"/>
    </row>
    <row r="89" spans="2:47" ht="24" hidden="1" customHeight="1" outlineLevel="1" x14ac:dyDescent="0.3">
      <c r="B89" s="182" t="s">
        <v>64</v>
      </c>
      <c r="C89" s="182"/>
      <c r="D89" s="182"/>
      <c r="E89" s="182"/>
      <c r="F89" s="182"/>
      <c r="G89" s="182"/>
      <c r="H89" s="182"/>
      <c r="I89" s="182"/>
      <c r="J89" s="182"/>
      <c r="K89" s="257" t="s">
        <v>149</v>
      </c>
      <c r="L89" s="257"/>
      <c r="M89" s="257"/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  <c r="AA89" s="189"/>
      <c r="AB89" s="189"/>
      <c r="AC89" s="189"/>
      <c r="AD89" s="189"/>
      <c r="AE89" s="191" t="s">
        <v>68</v>
      </c>
      <c r="AF89" s="256" t="s">
        <v>150</v>
      </c>
      <c r="AG89" s="256"/>
      <c r="AH89" s="256"/>
      <c r="AI89" s="256"/>
      <c r="AJ89" s="256"/>
      <c r="AK89" s="256"/>
      <c r="AL89" s="256"/>
      <c r="AM89" s="256"/>
      <c r="AN89" s="256"/>
      <c r="AO89" s="256"/>
      <c r="AP89" s="256"/>
      <c r="AQ89" s="182"/>
      <c r="AR89" s="182"/>
      <c r="AS89" s="182"/>
      <c r="AT89" s="182"/>
      <c r="AU89" s="241"/>
    </row>
    <row r="90" spans="2:47" ht="24" hidden="1" customHeight="1" outlineLevel="1" x14ac:dyDescent="0.3">
      <c r="B90" s="182" t="s">
        <v>67</v>
      </c>
      <c r="C90" s="182"/>
      <c r="D90" s="182"/>
      <c r="E90" s="182"/>
      <c r="F90" s="182"/>
      <c r="G90" s="182"/>
      <c r="H90" s="182"/>
      <c r="I90" s="182"/>
      <c r="J90" s="182"/>
      <c r="K90" s="257" t="s">
        <v>149</v>
      </c>
      <c r="L90" s="257"/>
      <c r="M90" s="257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189"/>
      <c r="AD90" s="189"/>
      <c r="AE90" s="191"/>
      <c r="AF90" s="182"/>
      <c r="AG90" s="182"/>
      <c r="AH90" s="182"/>
      <c r="AI90" s="182"/>
      <c r="AJ90" s="182"/>
      <c r="AK90" s="182"/>
      <c r="AL90" s="182"/>
      <c r="AM90" s="182"/>
      <c r="AN90" s="182"/>
      <c r="AO90" s="182"/>
      <c r="AP90" s="182"/>
      <c r="AQ90" s="182"/>
      <c r="AR90" s="182"/>
      <c r="AS90" s="182"/>
      <c r="AT90" s="182"/>
      <c r="AU90" s="241"/>
    </row>
    <row r="91" spans="2:47" ht="24" hidden="1" customHeight="1" outlineLevel="1" x14ac:dyDescent="0.3">
      <c r="B91" s="182" t="s">
        <v>157</v>
      </c>
      <c r="C91" s="182"/>
      <c r="D91" s="182"/>
      <c r="E91" s="182"/>
      <c r="F91" s="182"/>
      <c r="G91" s="182"/>
      <c r="H91" s="182"/>
      <c r="I91" s="182"/>
      <c r="J91" s="182"/>
      <c r="K91" s="262" t="s">
        <v>210</v>
      </c>
      <c r="L91" s="262"/>
      <c r="M91" s="262"/>
      <c r="N91" s="262"/>
      <c r="O91" s="262"/>
      <c r="P91" s="262"/>
      <c r="Q91" s="262"/>
      <c r="R91" s="262"/>
      <c r="S91" s="193" t="s">
        <v>148</v>
      </c>
      <c r="T91" s="179"/>
      <c r="U91" s="179"/>
      <c r="V91" s="179"/>
      <c r="W91" s="263" t="s">
        <v>239</v>
      </c>
      <c r="X91" s="264"/>
      <c r="Y91" s="264"/>
      <c r="Z91" s="264"/>
      <c r="AA91" s="264"/>
      <c r="AB91" s="189"/>
      <c r="AC91" s="189"/>
      <c r="AD91" s="189"/>
      <c r="AE91" s="191"/>
      <c r="AF91" s="182"/>
      <c r="AG91" s="182"/>
      <c r="AH91" s="182"/>
      <c r="AI91" s="182"/>
      <c r="AJ91" s="182"/>
      <c r="AK91" s="182"/>
      <c r="AL91" s="182"/>
      <c r="AM91" s="182"/>
      <c r="AN91" s="182"/>
      <c r="AO91" s="182"/>
      <c r="AP91" s="182"/>
      <c r="AQ91" s="182"/>
      <c r="AR91" s="182"/>
      <c r="AS91" s="182"/>
      <c r="AT91" s="182"/>
      <c r="AU91" s="241"/>
    </row>
    <row r="92" spans="2:47" ht="9.75" hidden="1" customHeight="1" outlineLevel="1" thickBot="1" x14ac:dyDescent="0.35">
      <c r="B92" s="182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240"/>
    </row>
    <row r="93" spans="2:47" ht="26.1" customHeight="1" collapsed="1" thickBot="1" x14ac:dyDescent="0.35">
      <c r="B93" s="268" t="s">
        <v>74</v>
      </c>
      <c r="C93" s="269"/>
      <c r="D93" s="269"/>
      <c r="E93" s="269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  <c r="AA93" s="269"/>
      <c r="AB93" s="269"/>
      <c r="AC93" s="269"/>
      <c r="AD93" s="269"/>
      <c r="AE93" s="269"/>
      <c r="AF93" s="269"/>
      <c r="AG93" s="269"/>
      <c r="AH93" s="269"/>
      <c r="AI93" s="269"/>
      <c r="AJ93" s="269"/>
      <c r="AK93" s="269"/>
      <c r="AL93" s="269"/>
      <c r="AM93" s="269"/>
      <c r="AN93" s="269"/>
      <c r="AO93" s="269"/>
      <c r="AP93" s="269"/>
      <c r="AQ93" s="269"/>
      <c r="AR93" s="269"/>
      <c r="AS93" s="269"/>
      <c r="AT93" s="269"/>
      <c r="AU93" s="270"/>
    </row>
    <row r="94" spans="2:47" x14ac:dyDescent="0.3">
      <c r="B94" s="196" t="s">
        <v>75</v>
      </c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U94" s="197"/>
    </row>
    <row r="95" spans="2:47" x14ac:dyDescent="0.3">
      <c r="B95" s="278" t="s">
        <v>76</v>
      </c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278"/>
      <c r="V95" s="278"/>
      <c r="W95" s="278"/>
      <c r="X95" s="196"/>
      <c r="Y95" s="278" t="s">
        <v>77</v>
      </c>
      <c r="Z95" s="278"/>
      <c r="AA95" s="278"/>
      <c r="AB95" s="278"/>
      <c r="AC95" s="278"/>
      <c r="AD95" s="278"/>
      <c r="AE95" s="278"/>
      <c r="AF95" s="278"/>
      <c r="AG95" s="278"/>
      <c r="AH95" s="278"/>
      <c r="AI95" s="278"/>
      <c r="AJ95" s="278"/>
      <c r="AK95" s="278"/>
      <c r="AL95" s="278"/>
      <c r="AM95" s="278"/>
      <c r="AN95" s="278"/>
      <c r="AO95" s="278"/>
      <c r="AP95" s="278"/>
      <c r="AQ95" s="278"/>
      <c r="AR95" s="278"/>
      <c r="AS95" s="278"/>
      <c r="AT95" s="278"/>
      <c r="AU95" s="197"/>
    </row>
    <row r="96" spans="2:47" ht="24" customHeight="1" x14ac:dyDescent="0.3">
      <c r="B96" s="198"/>
      <c r="C96" s="198" t="s">
        <v>82</v>
      </c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9"/>
      <c r="Q96" s="198"/>
      <c r="R96" s="198"/>
      <c r="S96" s="198"/>
      <c r="T96" s="198"/>
      <c r="U96" s="198"/>
      <c r="V96" s="198"/>
      <c r="W96" s="198"/>
      <c r="X96" s="199"/>
      <c r="Y96" s="198"/>
      <c r="Z96" s="198"/>
      <c r="AA96" s="198"/>
      <c r="AB96" s="198"/>
      <c r="AC96" s="198" t="s">
        <v>79</v>
      </c>
      <c r="AD96" s="198"/>
      <c r="AE96" s="198"/>
      <c r="AF96" s="198"/>
      <c r="AG96" s="198"/>
      <c r="AH96" s="198"/>
      <c r="AI96" s="198"/>
      <c r="AJ96" s="198"/>
      <c r="AK96" s="198"/>
      <c r="AL96" s="198"/>
      <c r="AM96" s="200"/>
      <c r="AN96" s="198"/>
      <c r="AO96" s="198"/>
      <c r="AP96" s="198"/>
      <c r="AQ96" s="198"/>
      <c r="AR96" s="198"/>
      <c r="AS96" s="198"/>
      <c r="AT96" s="198"/>
      <c r="AU96" s="198"/>
    </row>
    <row r="97" spans="2:47" ht="24" customHeight="1" x14ac:dyDescent="0.3">
      <c r="B97" s="199"/>
      <c r="C97" s="200" t="s">
        <v>80</v>
      </c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200" t="s">
        <v>81</v>
      </c>
      <c r="AD97" s="199"/>
      <c r="AE97" s="199"/>
      <c r="AF97" s="199"/>
      <c r="AG97" s="199"/>
      <c r="AH97" s="199"/>
      <c r="AI97" s="199"/>
      <c r="AJ97" s="199"/>
      <c r="AK97" s="199"/>
      <c r="AL97" s="201"/>
      <c r="AM97" s="200"/>
      <c r="AN97" s="199"/>
      <c r="AO97" s="199"/>
      <c r="AP97" s="199"/>
      <c r="AQ97" s="199"/>
      <c r="AR97" s="199"/>
      <c r="AS97" s="199"/>
      <c r="AT97" s="199"/>
      <c r="AU97" s="201"/>
    </row>
    <row r="98" spans="2:47" ht="24" customHeight="1" x14ac:dyDescent="0.3">
      <c r="B98" s="199"/>
      <c r="C98" s="200" t="s">
        <v>125</v>
      </c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8" t="s">
        <v>116</v>
      </c>
      <c r="AD98" s="199"/>
      <c r="AE98" s="199"/>
      <c r="AF98" s="199"/>
      <c r="AG98" s="199"/>
      <c r="AH98" s="199"/>
      <c r="AI98" s="199"/>
      <c r="AJ98" s="199"/>
      <c r="AK98" s="199"/>
      <c r="AL98" s="201"/>
      <c r="AM98" s="200"/>
      <c r="AN98" s="199"/>
      <c r="AO98" s="199"/>
      <c r="AP98" s="199"/>
      <c r="AQ98" s="199"/>
      <c r="AR98" s="199"/>
      <c r="AS98" s="199"/>
      <c r="AT98" s="199"/>
      <c r="AU98" s="201"/>
    </row>
    <row r="99" spans="2:47" ht="24" customHeight="1" x14ac:dyDescent="0.3">
      <c r="B99" s="199"/>
      <c r="C99" s="200" t="s">
        <v>83</v>
      </c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200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200" t="s">
        <v>78</v>
      </c>
      <c r="AD99" s="199"/>
      <c r="AE99" s="199"/>
      <c r="AF99" s="199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202"/>
    </row>
    <row r="100" spans="2:47" ht="24" customHeight="1" x14ac:dyDescent="0.3">
      <c r="B100" s="199"/>
      <c r="C100" s="200" t="s">
        <v>84</v>
      </c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203"/>
      <c r="Y100" s="199"/>
      <c r="Z100" s="199"/>
      <c r="AA100" s="199"/>
      <c r="AB100" s="199"/>
      <c r="AD100" s="199"/>
      <c r="AE100" s="199"/>
      <c r="AF100" s="199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202"/>
    </row>
    <row r="101" spans="2:47" ht="24" customHeight="1" x14ac:dyDescent="0.3">
      <c r="B101" s="199"/>
      <c r="C101" s="200" t="s">
        <v>123</v>
      </c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200"/>
      <c r="AD101" s="199"/>
      <c r="AE101" s="199"/>
      <c r="AF101" s="199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202"/>
    </row>
    <row r="102" spans="2:47" ht="24" customHeight="1" x14ac:dyDescent="0.3">
      <c r="B102" s="199"/>
      <c r="C102" s="204" t="s">
        <v>126</v>
      </c>
      <c r="D102" s="205"/>
      <c r="E102" s="205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200"/>
      <c r="AD102" s="199"/>
      <c r="AE102" s="199"/>
      <c r="AF102" s="199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202"/>
    </row>
    <row r="103" spans="2:47" ht="24" customHeight="1" x14ac:dyDescent="0.3">
      <c r="B103" s="199"/>
      <c r="C103" s="200" t="s">
        <v>127</v>
      </c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200"/>
      <c r="AD103" s="199"/>
      <c r="AE103" s="199"/>
      <c r="AF103" s="199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202"/>
    </row>
    <row r="104" spans="2:47" ht="24" customHeight="1" x14ac:dyDescent="0.3">
      <c r="B104" s="199"/>
      <c r="C104" s="200" t="s">
        <v>158</v>
      </c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200"/>
      <c r="AD104" s="199"/>
      <c r="AE104" s="199"/>
      <c r="AF104" s="199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202"/>
    </row>
    <row r="105" spans="2:47" ht="24" customHeight="1" x14ac:dyDescent="0.3">
      <c r="B105" s="199"/>
      <c r="C105" s="200" t="s">
        <v>128</v>
      </c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202"/>
    </row>
    <row r="106" spans="2:47" ht="24" customHeight="1" x14ac:dyDescent="0.3">
      <c r="B106" s="199"/>
      <c r="C106" s="200" t="s">
        <v>129</v>
      </c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202"/>
    </row>
    <row r="107" spans="2:47" ht="24" customHeight="1" x14ac:dyDescent="0.3">
      <c r="B107" s="206"/>
      <c r="C107" s="200" t="s">
        <v>130</v>
      </c>
      <c r="D107" s="207"/>
      <c r="E107" s="207"/>
      <c r="F107" s="207"/>
      <c r="G107" s="207"/>
      <c r="H107" s="207"/>
      <c r="I107" s="207"/>
      <c r="J107" s="207"/>
      <c r="K107" s="207"/>
      <c r="L107" s="207"/>
      <c r="M107" s="207"/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  <c r="AB107" s="207"/>
      <c r="AC107" s="207"/>
      <c r="AD107" s="207"/>
      <c r="AE107" s="207"/>
      <c r="AF107" s="207"/>
      <c r="AG107" s="207"/>
      <c r="AH107" s="207"/>
      <c r="AI107" s="207"/>
      <c r="AJ107" s="207"/>
      <c r="AK107" s="207"/>
      <c r="AL107" s="207"/>
      <c r="AM107" s="207"/>
      <c r="AN107" s="207"/>
      <c r="AO107" s="207"/>
      <c r="AP107" s="207"/>
      <c r="AQ107" s="207"/>
      <c r="AR107" s="207"/>
      <c r="AS107" s="207"/>
      <c r="AT107" s="207"/>
      <c r="AU107" s="202"/>
    </row>
    <row r="108" spans="2:47" ht="24" customHeight="1" x14ac:dyDescent="0.3">
      <c r="B108" s="206"/>
      <c r="C108" s="200"/>
      <c r="D108" s="207"/>
      <c r="E108" s="207"/>
      <c r="F108" s="207"/>
      <c r="G108" s="207"/>
      <c r="H108" s="207"/>
      <c r="I108" s="207"/>
      <c r="J108" s="207"/>
      <c r="K108" s="207"/>
      <c r="L108" s="207"/>
      <c r="M108" s="207"/>
      <c r="N108" s="207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2"/>
    </row>
    <row r="109" spans="2:47" ht="18" customHeight="1" x14ac:dyDescent="0.3">
      <c r="B109" s="206" t="s">
        <v>131</v>
      </c>
      <c r="C109" s="200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7"/>
      <c r="AH109" s="207"/>
      <c r="AI109" s="207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07"/>
      <c r="AU109" s="202"/>
    </row>
    <row r="110" spans="2:47" ht="24" customHeight="1" x14ac:dyDescent="0.3">
      <c r="B110" s="206" t="s">
        <v>132</v>
      </c>
      <c r="C110" s="200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2"/>
    </row>
    <row r="111" spans="2:47" ht="25.5" x14ac:dyDescent="0.3">
      <c r="B111" s="280" t="s">
        <v>86</v>
      </c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O111" s="281"/>
      <c r="P111" s="281"/>
      <c r="Q111" s="281"/>
      <c r="R111" s="281"/>
      <c r="S111" s="281"/>
      <c r="T111" s="281"/>
      <c r="U111" s="281"/>
      <c r="V111" s="281"/>
      <c r="W111" s="281"/>
      <c r="X111" s="281"/>
      <c r="Y111" s="281"/>
      <c r="Z111" s="281"/>
      <c r="AA111" s="281"/>
      <c r="AB111" s="281"/>
      <c r="AC111" s="281"/>
      <c r="AD111" s="281"/>
      <c r="AE111" s="281"/>
      <c r="AF111" s="281"/>
      <c r="AG111" s="281"/>
      <c r="AH111" s="281"/>
      <c r="AI111" s="281"/>
      <c r="AJ111" s="281"/>
      <c r="AK111" s="281"/>
      <c r="AL111" s="281"/>
      <c r="AM111" s="281"/>
      <c r="AN111" s="281"/>
      <c r="AO111" s="281"/>
      <c r="AP111" s="281"/>
      <c r="AQ111" s="281"/>
      <c r="AR111" s="281"/>
      <c r="AS111" s="281"/>
      <c r="AT111" s="281"/>
      <c r="AU111" s="281"/>
    </row>
    <row r="112" spans="2:47" ht="27" customHeight="1" x14ac:dyDescent="0.3">
      <c r="B112" s="208"/>
      <c r="C112" s="208"/>
      <c r="D112" s="208"/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  <c r="AF112" s="208"/>
      <c r="AG112" s="208"/>
      <c r="AH112" s="208"/>
      <c r="AI112" s="208"/>
      <c r="AJ112" s="208"/>
      <c r="AK112" s="208"/>
      <c r="AL112" s="208"/>
      <c r="AM112" s="208"/>
      <c r="AN112" s="208"/>
      <c r="AO112" s="208"/>
      <c r="AP112" s="208"/>
      <c r="AQ112" s="208"/>
      <c r="AR112" s="208"/>
      <c r="AS112" s="208"/>
      <c r="AT112" s="208"/>
      <c r="AU112" s="208"/>
    </row>
    <row r="113" spans="2:47" ht="27" customHeight="1" x14ac:dyDescent="0.3">
      <c r="B113" s="208"/>
      <c r="C113" s="208"/>
      <c r="D113" s="208"/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  <c r="AF113" s="208"/>
      <c r="AG113" s="208"/>
      <c r="AH113" s="208"/>
      <c r="AI113" s="208"/>
      <c r="AJ113" s="208"/>
      <c r="AK113" s="208"/>
      <c r="AL113" s="208"/>
      <c r="AM113" s="208"/>
      <c r="AN113" s="208"/>
      <c r="AO113" s="208"/>
      <c r="AP113" s="208"/>
      <c r="AQ113" s="208"/>
      <c r="AR113" s="208"/>
      <c r="AS113" s="208"/>
      <c r="AT113" s="208"/>
      <c r="AU113" s="208"/>
    </row>
    <row r="114" spans="2:47" ht="27" customHeight="1" x14ac:dyDescent="0.3">
      <c r="B114" s="208"/>
      <c r="C114" s="208"/>
      <c r="D114" s="208"/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  <c r="AF114" s="208"/>
      <c r="AG114" s="208"/>
      <c r="AH114" s="208"/>
      <c r="AI114" s="208"/>
      <c r="AJ114" s="208"/>
      <c r="AK114" s="208"/>
      <c r="AL114" s="208"/>
      <c r="AM114" s="208"/>
      <c r="AN114" s="208"/>
      <c r="AO114" s="208"/>
      <c r="AP114" s="208"/>
      <c r="AQ114" s="208"/>
      <c r="AR114" s="208"/>
      <c r="AS114" s="208"/>
      <c r="AT114" s="208"/>
      <c r="AU114" s="208"/>
    </row>
    <row r="115" spans="2:47" ht="27" customHeight="1" x14ac:dyDescent="0.3">
      <c r="B115" s="208"/>
      <c r="C115" s="208"/>
      <c r="D115" s="208"/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  <c r="AF115" s="208"/>
      <c r="AG115" s="208"/>
      <c r="AH115" s="208"/>
      <c r="AI115" s="208"/>
      <c r="AJ115" s="208"/>
      <c r="AK115" s="208"/>
      <c r="AL115" s="208"/>
      <c r="AM115" s="208"/>
      <c r="AN115" s="208"/>
      <c r="AO115" s="208"/>
      <c r="AP115" s="208"/>
      <c r="AQ115" s="208"/>
      <c r="AR115" s="208"/>
      <c r="AS115" s="208"/>
      <c r="AT115" s="208"/>
      <c r="AU115" s="208"/>
    </row>
    <row r="116" spans="2:47" ht="27" customHeight="1" x14ac:dyDescent="0.3">
      <c r="B116" s="208"/>
      <c r="C116" s="208"/>
      <c r="D116" s="208"/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  <c r="AF116" s="208"/>
      <c r="AG116" s="208"/>
      <c r="AH116" s="208"/>
      <c r="AI116" s="208"/>
      <c r="AJ116" s="208"/>
      <c r="AK116" s="208"/>
      <c r="AL116" s="208"/>
      <c r="AM116" s="208"/>
      <c r="AN116" s="208"/>
      <c r="AO116" s="208"/>
      <c r="AP116" s="208"/>
      <c r="AQ116" s="208"/>
      <c r="AR116" s="208"/>
      <c r="AS116" s="208"/>
      <c r="AT116" s="208"/>
      <c r="AU116" s="208"/>
    </row>
    <row r="117" spans="2:47" ht="21" customHeight="1" x14ac:dyDescent="0.3">
      <c r="B117" s="209"/>
      <c r="C117" s="209"/>
      <c r="D117" s="209"/>
      <c r="E117" s="209"/>
      <c r="F117" s="209"/>
      <c r="G117" s="209"/>
      <c r="H117" s="209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09"/>
      <c r="AA117" s="209"/>
      <c r="AB117" s="209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</row>
    <row r="118" spans="2:47" ht="21" customHeight="1" x14ac:dyDescent="0.3">
      <c r="B118" s="178"/>
      <c r="C118" s="178"/>
      <c r="D118" s="178"/>
      <c r="E118" s="178"/>
      <c r="F118" s="178"/>
      <c r="G118" s="178"/>
      <c r="H118" s="178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78"/>
      <c r="AA118" s="178"/>
      <c r="AB118" s="178"/>
      <c r="AC118" s="199"/>
      <c r="AD118" s="199"/>
      <c r="AE118" s="199"/>
      <c r="AF118" s="199"/>
      <c r="AG118" s="199"/>
      <c r="AH118" s="199"/>
      <c r="AI118" s="199"/>
      <c r="AJ118" s="199"/>
      <c r="AK118" s="199"/>
      <c r="AL118" s="199"/>
      <c r="AM118" s="199"/>
      <c r="AN118" s="199"/>
      <c r="AO118" s="199"/>
      <c r="AP118" s="199"/>
      <c r="AQ118" s="199"/>
      <c r="AR118" s="199"/>
      <c r="AS118" s="199"/>
      <c r="AT118" s="199"/>
      <c r="AU118" s="199"/>
    </row>
    <row r="119" spans="2:47" ht="21" customHeight="1" x14ac:dyDescent="0.3">
      <c r="B119" s="178"/>
      <c r="C119" s="178"/>
      <c r="D119" s="178"/>
      <c r="E119" s="178"/>
      <c r="F119" s="178"/>
      <c r="G119" s="178"/>
      <c r="H119" s="178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78"/>
      <c r="AA119" s="178"/>
      <c r="AB119" s="178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199"/>
      <c r="AM119" s="199"/>
      <c r="AN119" s="199"/>
      <c r="AO119" s="199"/>
      <c r="AP119" s="199"/>
      <c r="AQ119" s="199"/>
      <c r="AR119" s="199"/>
      <c r="AS119" s="199"/>
      <c r="AT119" s="199"/>
      <c r="AU119" s="199"/>
    </row>
    <row r="120" spans="2:47" ht="21" customHeight="1" x14ac:dyDescent="0.3">
      <c r="B120" s="182" t="s">
        <v>87</v>
      </c>
      <c r="C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  <c r="AU120" s="179"/>
    </row>
    <row r="121" spans="2:47" ht="21" customHeight="1" x14ac:dyDescent="0.3">
      <c r="F121" s="282"/>
      <c r="G121" s="283"/>
      <c r="H121" s="283"/>
      <c r="I121" s="283"/>
      <c r="J121" s="283"/>
      <c r="K121" s="283"/>
      <c r="L121" s="283"/>
      <c r="M121" s="283"/>
      <c r="N121" s="283"/>
      <c r="O121" s="283"/>
      <c r="P121" s="283"/>
      <c r="Q121" s="283"/>
      <c r="R121" s="283"/>
      <c r="S121" s="283"/>
      <c r="T121" s="283"/>
      <c r="U121" s="284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U121" s="199"/>
    </row>
    <row r="122" spans="2:47" ht="12" customHeight="1" x14ac:dyDescent="0.3">
      <c r="C122" s="241"/>
      <c r="D122" s="241"/>
      <c r="E122" s="211"/>
      <c r="F122" s="286" t="s">
        <v>88</v>
      </c>
      <c r="G122" s="287"/>
      <c r="H122" s="287"/>
      <c r="I122" s="287"/>
      <c r="J122" s="287"/>
      <c r="K122" s="287"/>
      <c r="L122" s="287"/>
      <c r="M122" s="287"/>
      <c r="N122" s="287"/>
      <c r="O122" s="287"/>
      <c r="P122" s="287"/>
      <c r="Q122" s="287"/>
      <c r="R122" s="287"/>
      <c r="S122" s="287"/>
      <c r="T122" s="287"/>
      <c r="U122" s="288"/>
      <c r="V122" s="279" t="s">
        <v>89</v>
      </c>
      <c r="W122" s="279"/>
      <c r="X122" s="279"/>
      <c r="Y122" s="279"/>
      <c r="Z122" s="279"/>
      <c r="AA122" s="279"/>
      <c r="AB122" s="279"/>
      <c r="AC122" s="279"/>
      <c r="AD122" s="279"/>
      <c r="AE122" s="279"/>
      <c r="AF122" s="279"/>
      <c r="AG122" s="279"/>
      <c r="AH122" s="279"/>
      <c r="AI122" s="279"/>
      <c r="AJ122" s="279"/>
      <c r="AK122" s="279"/>
      <c r="AL122" s="279" t="s">
        <v>90</v>
      </c>
      <c r="AM122" s="279"/>
      <c r="AN122" s="279"/>
      <c r="AO122" s="279"/>
      <c r="AP122" s="279"/>
      <c r="AQ122" s="279"/>
      <c r="AR122" s="279"/>
      <c r="AS122" s="199"/>
      <c r="AT122" s="199"/>
      <c r="AU122" s="199"/>
    </row>
    <row r="123" spans="2:47" ht="21" customHeight="1" x14ac:dyDescent="0.3">
      <c r="B123" s="182" t="s">
        <v>91</v>
      </c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  <c r="AU123" s="179"/>
    </row>
    <row r="124" spans="2:47" ht="21" customHeight="1" x14ac:dyDescent="0.3">
      <c r="F124" s="282"/>
      <c r="G124" s="283"/>
      <c r="H124" s="283"/>
      <c r="I124" s="283"/>
      <c r="J124" s="283"/>
      <c r="K124" s="283"/>
      <c r="L124" s="283"/>
      <c r="M124" s="283"/>
      <c r="N124" s="283"/>
      <c r="O124" s="283"/>
      <c r="P124" s="283"/>
      <c r="Q124" s="283"/>
      <c r="R124" s="283"/>
      <c r="S124" s="283"/>
      <c r="T124" s="283"/>
      <c r="U124" s="284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U124" s="199"/>
    </row>
    <row r="125" spans="2:47" ht="12" customHeight="1" x14ac:dyDescent="0.3">
      <c r="C125" s="241"/>
      <c r="D125" s="241"/>
      <c r="E125" s="211"/>
      <c r="F125" s="286" t="s">
        <v>88</v>
      </c>
      <c r="G125" s="287"/>
      <c r="H125" s="287"/>
      <c r="I125" s="287"/>
      <c r="J125" s="287"/>
      <c r="K125" s="287"/>
      <c r="L125" s="287"/>
      <c r="M125" s="287"/>
      <c r="N125" s="287"/>
      <c r="O125" s="287"/>
      <c r="P125" s="287"/>
      <c r="Q125" s="287"/>
      <c r="R125" s="287"/>
      <c r="S125" s="287"/>
      <c r="T125" s="287"/>
      <c r="U125" s="288"/>
      <c r="V125" s="279" t="s">
        <v>89</v>
      </c>
      <c r="W125" s="279"/>
      <c r="X125" s="279"/>
      <c r="Y125" s="279"/>
      <c r="Z125" s="279"/>
      <c r="AA125" s="279"/>
      <c r="AB125" s="279"/>
      <c r="AC125" s="279"/>
      <c r="AD125" s="279"/>
      <c r="AE125" s="279"/>
      <c r="AF125" s="279"/>
      <c r="AG125" s="279"/>
      <c r="AH125" s="279"/>
      <c r="AI125" s="279"/>
      <c r="AJ125" s="279"/>
      <c r="AK125" s="279"/>
      <c r="AL125" s="279" t="s">
        <v>90</v>
      </c>
      <c r="AM125" s="279"/>
      <c r="AN125" s="279"/>
      <c r="AO125" s="279"/>
      <c r="AP125" s="279"/>
      <c r="AQ125" s="279"/>
      <c r="AR125" s="279"/>
      <c r="AS125" s="199"/>
      <c r="AT125" s="199"/>
      <c r="AU125" s="199"/>
    </row>
    <row r="126" spans="2:47" ht="63" customHeight="1" x14ac:dyDescent="0.3">
      <c r="C126" s="241"/>
      <c r="D126" s="241"/>
      <c r="E126" s="241"/>
      <c r="F126" s="212"/>
      <c r="G126" s="212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212"/>
      <c r="AD126" s="212"/>
      <c r="AE126" s="212"/>
      <c r="AF126" s="212"/>
      <c r="AG126" s="212"/>
      <c r="AH126" s="212"/>
      <c r="AI126" s="212"/>
      <c r="AJ126" s="212"/>
      <c r="AK126" s="212"/>
      <c r="AL126" s="212"/>
      <c r="AM126" s="212"/>
      <c r="AN126" s="212"/>
      <c r="AO126" s="212"/>
      <c r="AP126" s="212"/>
      <c r="AQ126" s="212"/>
      <c r="AR126" s="212"/>
      <c r="AS126" s="212"/>
      <c r="AT126" s="212"/>
      <c r="AU126" s="199"/>
    </row>
    <row r="127" spans="2:47" ht="63" customHeight="1" x14ac:dyDescent="0.3">
      <c r="C127" s="241"/>
      <c r="D127" s="241"/>
      <c r="E127" s="241"/>
      <c r="F127" s="212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212"/>
      <c r="AD127" s="212"/>
      <c r="AE127" s="212"/>
      <c r="AF127" s="212"/>
      <c r="AG127" s="212"/>
      <c r="AH127" s="212"/>
      <c r="AI127" s="212"/>
      <c r="AJ127" s="212"/>
      <c r="AK127" s="212"/>
      <c r="AL127" s="212"/>
      <c r="AM127" s="212"/>
      <c r="AN127" s="212"/>
      <c r="AO127" s="212"/>
      <c r="AP127" s="212"/>
      <c r="AQ127" s="212"/>
      <c r="AR127" s="212"/>
      <c r="AS127" s="212"/>
      <c r="AT127" s="212"/>
      <c r="AU127" s="199"/>
    </row>
    <row r="128" spans="2:47" ht="63" customHeight="1" x14ac:dyDescent="0.3">
      <c r="C128" s="241"/>
      <c r="D128" s="241"/>
      <c r="E128" s="241"/>
      <c r="F128" s="212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212"/>
      <c r="AD128" s="212"/>
      <c r="AE128" s="212"/>
      <c r="AF128" s="212"/>
      <c r="AG128" s="212"/>
      <c r="AH128" s="212"/>
      <c r="AI128" s="212"/>
      <c r="AJ128" s="212"/>
      <c r="AK128" s="212"/>
      <c r="AL128" s="212"/>
      <c r="AM128" s="212"/>
      <c r="AN128" s="212"/>
      <c r="AO128" s="212"/>
      <c r="AP128" s="212"/>
      <c r="AQ128" s="212"/>
      <c r="AR128" s="212"/>
      <c r="AS128" s="212"/>
      <c r="AT128" s="212"/>
      <c r="AU128" s="199"/>
    </row>
    <row r="129" spans="2:49" ht="17.25" x14ac:dyDescent="0.3">
      <c r="B129" s="274"/>
      <c r="C129" s="274"/>
      <c r="D129" s="274"/>
      <c r="E129" s="274"/>
      <c r="F129" s="274"/>
      <c r="G129" s="274"/>
      <c r="H129" s="274"/>
      <c r="I129" s="274"/>
      <c r="J129" s="274"/>
      <c r="K129" s="274"/>
      <c r="L129" s="274"/>
      <c r="M129" s="274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213"/>
      <c r="Y129" s="213"/>
      <c r="Z129" s="213"/>
      <c r="AA129" s="213"/>
      <c r="AB129" s="214" t="s">
        <v>85</v>
      </c>
      <c r="AC129" s="275"/>
      <c r="AD129" s="275"/>
      <c r="AE129" s="275"/>
      <c r="AF129" s="275"/>
      <c r="AG129" s="275"/>
      <c r="AH129" s="275"/>
      <c r="AI129" s="275"/>
      <c r="AJ129" s="275"/>
      <c r="AK129" s="275"/>
      <c r="AL129" s="275"/>
      <c r="AM129" s="275"/>
      <c r="AN129" s="275"/>
      <c r="AO129" s="275"/>
      <c r="AP129" s="275"/>
      <c r="AQ129" s="275"/>
      <c r="AR129" s="275"/>
      <c r="AS129" s="275"/>
      <c r="AT129" s="275"/>
      <c r="AU129" s="213"/>
      <c r="AV129" s="213"/>
      <c r="AW129" s="213"/>
    </row>
    <row r="130" spans="2:49" ht="17.25" x14ac:dyDescent="0.3">
      <c r="B130" s="242"/>
      <c r="C130" s="242"/>
      <c r="D130" s="242"/>
      <c r="E130" s="242"/>
      <c r="F130" s="242"/>
      <c r="G130" s="242"/>
      <c r="H130" s="242"/>
      <c r="I130" s="242"/>
      <c r="J130" s="242"/>
      <c r="K130" s="242"/>
      <c r="L130" s="242"/>
      <c r="M130" s="242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213"/>
      <c r="Y130" s="213"/>
      <c r="Z130" s="213"/>
      <c r="AA130" s="213"/>
      <c r="AB130" s="214"/>
      <c r="AC130" s="277"/>
      <c r="AD130" s="277"/>
      <c r="AE130" s="277"/>
      <c r="AF130" s="277"/>
      <c r="AG130" s="277"/>
      <c r="AH130" s="277"/>
      <c r="AI130" s="277"/>
      <c r="AJ130" s="277"/>
      <c r="AK130" s="277"/>
      <c r="AL130" s="277"/>
      <c r="AM130" s="277"/>
      <c r="AN130" s="277"/>
      <c r="AO130" s="277"/>
      <c r="AP130" s="277"/>
      <c r="AQ130" s="277"/>
      <c r="AR130" s="277"/>
      <c r="AS130" s="277"/>
      <c r="AT130" s="277"/>
      <c r="AU130" s="213"/>
      <c r="AV130" s="213"/>
      <c r="AW130" s="213"/>
    </row>
    <row r="131" spans="2:49" ht="63" customHeight="1" x14ac:dyDescent="0.3">
      <c r="B131" s="178"/>
      <c r="C131" s="178"/>
      <c r="D131" s="178"/>
      <c r="E131" s="178"/>
      <c r="F131" s="178"/>
      <c r="G131" s="178"/>
      <c r="H131" s="178"/>
      <c r="I131" s="275"/>
      <c r="J131" s="275"/>
      <c r="K131" s="275"/>
      <c r="L131" s="275"/>
      <c r="M131" s="275"/>
      <c r="N131" s="275"/>
      <c r="O131" s="275"/>
      <c r="P131" s="275"/>
      <c r="Q131" s="275"/>
      <c r="R131" s="275"/>
      <c r="S131" s="275"/>
      <c r="T131" s="275"/>
      <c r="U131" s="275"/>
      <c r="V131" s="275"/>
      <c r="W131" s="275"/>
      <c r="X131" s="275"/>
      <c r="Y131" s="275"/>
      <c r="Z131" s="178"/>
      <c r="AA131" s="178"/>
      <c r="AB131" s="178"/>
      <c r="AC131" s="275"/>
      <c r="AD131" s="275"/>
      <c r="AE131" s="275"/>
      <c r="AF131" s="275"/>
      <c r="AG131" s="275"/>
      <c r="AH131" s="275"/>
      <c r="AI131" s="275"/>
      <c r="AJ131" s="275"/>
      <c r="AK131" s="275"/>
      <c r="AL131" s="275"/>
      <c r="AM131" s="275"/>
      <c r="AN131" s="275"/>
      <c r="AO131" s="275"/>
      <c r="AP131" s="275"/>
      <c r="AQ131" s="275"/>
      <c r="AR131" s="275"/>
      <c r="AS131" s="275"/>
      <c r="AT131" s="275"/>
      <c r="AU131" s="202"/>
    </row>
    <row r="132" spans="2:49" x14ac:dyDescent="0.3">
      <c r="B132" s="200"/>
      <c r="C132" s="200"/>
      <c r="D132" s="200"/>
      <c r="E132" s="200"/>
      <c r="F132" s="200"/>
      <c r="G132" s="200"/>
      <c r="H132" s="200"/>
      <c r="I132" s="276" t="s">
        <v>92</v>
      </c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276"/>
      <c r="Z132" s="200"/>
      <c r="AA132" s="200"/>
      <c r="AB132" s="200"/>
      <c r="AC132" s="276" t="s">
        <v>93</v>
      </c>
      <c r="AD132" s="276"/>
      <c r="AE132" s="276"/>
      <c r="AF132" s="276"/>
      <c r="AG132" s="276"/>
      <c r="AH132" s="276"/>
      <c r="AI132" s="276"/>
      <c r="AJ132" s="276"/>
      <c r="AK132" s="276"/>
      <c r="AL132" s="276"/>
      <c r="AM132" s="276"/>
      <c r="AN132" s="276"/>
      <c r="AO132" s="276"/>
      <c r="AP132" s="276"/>
      <c r="AQ132" s="276"/>
      <c r="AR132" s="276"/>
      <c r="AS132" s="276"/>
      <c r="AT132" s="276"/>
    </row>
    <row r="133" spans="2:49" ht="63" customHeight="1" x14ac:dyDescent="0.3">
      <c r="S133" s="272"/>
      <c r="T133" s="272"/>
      <c r="U133" s="272"/>
      <c r="V133" s="272"/>
      <c r="W133" s="272"/>
      <c r="X133" s="272"/>
      <c r="Y133" s="272"/>
      <c r="Z133" s="272"/>
      <c r="AA133" s="272"/>
      <c r="AB133" s="272"/>
      <c r="AC133" s="272"/>
      <c r="AD133" s="272"/>
      <c r="AE133" s="272"/>
      <c r="AF133" s="272"/>
      <c r="AG133" s="272"/>
      <c r="AH133" s="272"/>
      <c r="AI133" s="272"/>
      <c r="AJ133" s="272"/>
      <c r="AK133" s="272"/>
    </row>
    <row r="134" spans="2:49" x14ac:dyDescent="0.3"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73" t="s">
        <v>94</v>
      </c>
      <c r="T134" s="273"/>
      <c r="U134" s="273"/>
      <c r="V134" s="273"/>
      <c r="W134" s="273"/>
      <c r="X134" s="273"/>
      <c r="Y134" s="273"/>
      <c r="Z134" s="273"/>
      <c r="AA134" s="273"/>
      <c r="AB134" s="273"/>
      <c r="AC134" s="273"/>
      <c r="AD134" s="273"/>
      <c r="AE134" s="273"/>
      <c r="AF134" s="273"/>
      <c r="AG134" s="273"/>
      <c r="AH134" s="273"/>
      <c r="AI134" s="273"/>
      <c r="AJ134" s="273"/>
      <c r="AK134" s="273"/>
      <c r="AL134" s="213"/>
      <c r="AM134" s="213"/>
      <c r="AN134" s="213"/>
      <c r="AO134" s="213"/>
      <c r="AP134" s="213"/>
      <c r="AQ134" s="213"/>
      <c r="AR134" s="213"/>
      <c r="AS134" s="213"/>
      <c r="AT134" s="213"/>
      <c r="AU134" s="213"/>
    </row>
    <row r="135" spans="2:49" x14ac:dyDescent="0.3"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213"/>
      <c r="Y135" s="213"/>
      <c r="Z135" s="213"/>
      <c r="AA135" s="213"/>
      <c r="AB135" s="213"/>
      <c r="AC135" s="213"/>
      <c r="AD135" s="213"/>
      <c r="AE135" s="213"/>
      <c r="AF135" s="213"/>
      <c r="AG135" s="213"/>
      <c r="AH135" s="213"/>
      <c r="AI135" s="213"/>
      <c r="AJ135" s="213"/>
      <c r="AK135" s="213"/>
      <c r="AL135" s="213"/>
      <c r="AM135" s="213"/>
      <c r="AN135" s="213"/>
      <c r="AO135" s="213"/>
      <c r="AP135" s="213"/>
      <c r="AQ135" s="213"/>
      <c r="AR135" s="213"/>
      <c r="AS135" s="213"/>
      <c r="AT135" s="213"/>
      <c r="AU135" s="213"/>
    </row>
  </sheetData>
  <sheetProtection algorithmName="SHA-512" hashValue="J7qjAPWhlMpnU9NbKM0NiCQ974qbxA/i4+QT4d7Ku7SLfKUbWsk1vv1CU9zHYdpbCofe8Adl8lanOJsLgGEwqQ==" saltValue="ZAYBLNxcCyl2QUpSCrhL6A==" spinCount="100000" sheet="1" scenarios="1" formatCells="0" formatColumns="0" formatRows="0" insertColumns="0" insertRows="0" autoFilter="0" pivotTables="0"/>
  <protectedRanges>
    <protectedRange algorithmName="SHA-512" hashValue="zawoY2wFe8bprKxNA8rmkOvMOtfz5gVMmrBHJHhJv4K4M3eHJyy5xt6cYiGw3g5O83s1Mlh/m5VLAfdImdAnPQ==" saltValue="l55jfBri8LUUreIv4fWyYw==" spinCount="100000" sqref="A16:AU137" name="Rango1"/>
  </protectedRanges>
  <mergeCells count="169">
    <mergeCell ref="K89:Z89"/>
    <mergeCell ref="K40:R40"/>
    <mergeCell ref="W40:AA40"/>
    <mergeCell ref="K91:R91"/>
    <mergeCell ref="W91:AA91"/>
    <mergeCell ref="K88:AB88"/>
    <mergeCell ref="AF88:AP88"/>
    <mergeCell ref="AF89:AP89"/>
    <mergeCell ref="K90:AB90"/>
    <mergeCell ref="AK85:AU85"/>
    <mergeCell ref="K80:AB80"/>
    <mergeCell ref="K81:AB81"/>
    <mergeCell ref="K83:AB83"/>
    <mergeCell ref="K84:AB84"/>
    <mergeCell ref="K85:AB85"/>
    <mergeCell ref="K86:AB86"/>
    <mergeCell ref="AF41:AP41"/>
    <mergeCell ref="AF42:AP42"/>
    <mergeCell ref="AF53:AP53"/>
    <mergeCell ref="K54:Z54"/>
    <mergeCell ref="AF54:AP54"/>
    <mergeCell ref="K55:AB55"/>
    <mergeCell ref="AK83:AU83"/>
    <mergeCell ref="AK84:AU84"/>
    <mergeCell ref="B82:AT82"/>
    <mergeCell ref="K32:AB32"/>
    <mergeCell ref="K30:R30"/>
    <mergeCell ref="W30:AA30"/>
    <mergeCell ref="B37:I37"/>
    <mergeCell ref="K37:Y37"/>
    <mergeCell ref="AF30:AP30"/>
    <mergeCell ref="K31:Z31"/>
    <mergeCell ref="AF31:AP31"/>
    <mergeCell ref="AF32:AP32"/>
    <mergeCell ref="AF37:AP37"/>
    <mergeCell ref="AF76:AP76"/>
    <mergeCell ref="K77:AU77"/>
    <mergeCell ref="AF81:AP81"/>
    <mergeCell ref="K38:Y38"/>
    <mergeCell ref="AF38:AP38"/>
    <mergeCell ref="B75:AU75"/>
    <mergeCell ref="K76:AB76"/>
    <mergeCell ref="K78:AB78"/>
    <mergeCell ref="K79:AB79"/>
    <mergeCell ref="K42:AA42"/>
    <mergeCell ref="K41:Z41"/>
    <mergeCell ref="K47:AB47"/>
    <mergeCell ref="AF47:AP47"/>
    <mergeCell ref="H9:Q9"/>
    <mergeCell ref="AB9:AI9"/>
    <mergeCell ref="B21:AU21"/>
    <mergeCell ref="AF22:AP22"/>
    <mergeCell ref="H10:Q10"/>
    <mergeCell ref="AB10:AI10"/>
    <mergeCell ref="AB11:AI11"/>
    <mergeCell ref="K22:AB22"/>
    <mergeCell ref="I19:N19"/>
    <mergeCell ref="B19:H19"/>
    <mergeCell ref="AL19:AP19"/>
    <mergeCell ref="AQ19:AU19"/>
    <mergeCell ref="AB12:AI12"/>
    <mergeCell ref="AQ17:AU17"/>
    <mergeCell ref="Q20:U20"/>
    <mergeCell ref="AC17:AH17"/>
    <mergeCell ref="AQ18:AU18"/>
    <mergeCell ref="Q19:V19"/>
    <mergeCell ref="B4:AU4"/>
    <mergeCell ref="H5:Q5"/>
    <mergeCell ref="H6:Q6"/>
    <mergeCell ref="AB6:AI6"/>
    <mergeCell ref="B2:AU2"/>
    <mergeCell ref="H7:Q7"/>
    <mergeCell ref="AB7:AI7"/>
    <mergeCell ref="H8:Q8"/>
    <mergeCell ref="AB8:AI8"/>
    <mergeCell ref="B93:AU93"/>
    <mergeCell ref="B95:W95"/>
    <mergeCell ref="Y95:AT95"/>
    <mergeCell ref="V125:AK125"/>
    <mergeCell ref="AL125:AR125"/>
    <mergeCell ref="B111:AU111"/>
    <mergeCell ref="F121:U121"/>
    <mergeCell ref="V121:AK121"/>
    <mergeCell ref="AL121:AR121"/>
    <mergeCell ref="F122:U122"/>
    <mergeCell ref="V122:AK122"/>
    <mergeCell ref="AL122:AR122"/>
    <mergeCell ref="F124:U124"/>
    <mergeCell ref="V124:AK124"/>
    <mergeCell ref="AL124:AR124"/>
    <mergeCell ref="F125:U125"/>
    <mergeCell ref="W53:AA53"/>
    <mergeCell ref="B60:I60"/>
    <mergeCell ref="K60:Y60"/>
    <mergeCell ref="AF60:AP60"/>
    <mergeCell ref="K61:Y61"/>
    <mergeCell ref="AF61:AP61"/>
    <mergeCell ref="AF55:AP55"/>
    <mergeCell ref="AF58:AP58"/>
    <mergeCell ref="K57:W57"/>
    <mergeCell ref="S133:AK133"/>
    <mergeCell ref="S134:AK134"/>
    <mergeCell ref="B129:M129"/>
    <mergeCell ref="AC129:AT129"/>
    <mergeCell ref="I131:Y131"/>
    <mergeCell ref="AC131:AT131"/>
    <mergeCell ref="I132:Y132"/>
    <mergeCell ref="AC132:AT132"/>
    <mergeCell ref="AC130:AT130"/>
    <mergeCell ref="AF25:AP25"/>
    <mergeCell ref="AF34:AP34"/>
    <mergeCell ref="K26:Y26"/>
    <mergeCell ref="K35:Z35"/>
    <mergeCell ref="K25:AA25"/>
    <mergeCell ref="K24:AB24"/>
    <mergeCell ref="X34:AE34"/>
    <mergeCell ref="K39:Y39"/>
    <mergeCell ref="K29:Y29"/>
    <mergeCell ref="K28:Y28"/>
    <mergeCell ref="K27:Y27"/>
    <mergeCell ref="K34:W34"/>
    <mergeCell ref="B44:AU44"/>
    <mergeCell ref="K51:Y51"/>
    <mergeCell ref="K52:Y52"/>
    <mergeCell ref="K69:Y69"/>
    <mergeCell ref="B66:I66"/>
    <mergeCell ref="K66:Y66"/>
    <mergeCell ref="AF66:AP66"/>
    <mergeCell ref="K67:Y67"/>
    <mergeCell ref="AF67:AP67"/>
    <mergeCell ref="K62:Y62"/>
    <mergeCell ref="K63:R63"/>
    <mergeCell ref="W63:AA63"/>
    <mergeCell ref="AF63:AP63"/>
    <mergeCell ref="K64:Z64"/>
    <mergeCell ref="AF64:AP64"/>
    <mergeCell ref="K65:AA65"/>
    <mergeCell ref="AF65:AP65"/>
    <mergeCell ref="K48:AA48"/>
    <mergeCell ref="AF48:AP48"/>
    <mergeCell ref="K49:Y49"/>
    <mergeCell ref="AS57:AU57"/>
    <mergeCell ref="AF49:AP49"/>
    <mergeCell ref="K50:Y50"/>
    <mergeCell ref="K53:R53"/>
    <mergeCell ref="K70:Y70"/>
    <mergeCell ref="K72:Z72"/>
    <mergeCell ref="AF72:AP72"/>
    <mergeCell ref="K73:AA73"/>
    <mergeCell ref="AF73:AP73"/>
    <mergeCell ref="I17:N17"/>
    <mergeCell ref="Q17:V17"/>
    <mergeCell ref="Q18:V18"/>
    <mergeCell ref="K68:Y68"/>
    <mergeCell ref="K71:R71"/>
    <mergeCell ref="W71:AA71"/>
    <mergeCell ref="AF71:AP71"/>
    <mergeCell ref="K45:AB45"/>
    <mergeCell ref="AF45:AP45"/>
    <mergeCell ref="K46:AU46"/>
    <mergeCell ref="K23:AU23"/>
    <mergeCell ref="AS34:AU34"/>
    <mergeCell ref="AF35:AP35"/>
    <mergeCell ref="AF26:AP26"/>
    <mergeCell ref="AF40:AP40"/>
    <mergeCell ref="AF24:AP24"/>
    <mergeCell ref="X57:AE57"/>
    <mergeCell ref="AF57:AP57"/>
    <mergeCell ref="K58:Z58"/>
  </mergeCells>
  <dataValidations xWindow="302" yWindow="518" count="12">
    <dataValidation type="list" allowBlank="1" showInputMessage="1" showErrorMessage="1" sqref="Z35:Z37 K58:Y59 Z58:Z60 K35:O36 Q35:Y36 P35 Z66" xr:uid="{00000000-0002-0000-0200-000000000000}">
      <formula1>$AX$1:$AX$2</formula1>
    </dataValidation>
    <dataValidation allowBlank="1" showInputMessage="1" showErrorMessage="1" promptTitle="Referir a un posible Prospecto" prompt="Referir a una persona que  probablemente quiera comprar." sqref="B120:AR125" xr:uid="{00000000-0002-0000-0200-000001000000}"/>
    <dataValidation allowBlank="1" showInputMessage="1" showErrorMessage="1" promptTitle="LLENAR DATOS" prompt="En caso de ser una persona Copropiedad." sqref="B44:AU44" xr:uid="{00000000-0002-0000-0200-000002000000}"/>
    <dataValidation allowBlank="1" showInputMessage="1" showErrorMessage="1" promptTitle="Llenar Datos" prompt="Llenar datos en caso de ser una persona moral..." sqref="B75:AU75" xr:uid="{00000000-0002-0000-0200-000003000000}"/>
    <dataValidation allowBlank="1" showInputMessage="1" showErrorMessage="1" promptTitle="DOCUMENTOS PERSONA FISICA" sqref="B95:W101" xr:uid="{00000000-0002-0000-0200-000004000000}"/>
    <dataValidation allowBlank="1" showInputMessage="1" showErrorMessage="1" promptTitle="DOCUMENTOS PERSONA MORAL" sqref="Y95:AT99" xr:uid="{00000000-0002-0000-0200-000005000000}"/>
    <dataValidation allowBlank="1" showInputMessage="1" showErrorMessage="1" promptTitle="FECHA PAGO DE MENSUALIDAD" prompt="Fecha en que el cliente va a empezar a pagar su mensualidad...es en automatico del Simulador._x000a_" sqref="AQ17" xr:uid="{00000000-0002-0000-0200-000006000000}"/>
    <dataValidation allowBlank="1" showInputMessage="1" showErrorMessage="1" promptTitle="INFORMACIÓN DE LA UNIDAD" prompt="Esta información viene del simulador en Automatico." sqref="B4:AU4" xr:uid="{00000000-0002-0000-0200-000007000000}"/>
    <dataValidation allowBlank="1" showInputMessage="1" showErrorMessage="1" promptTitle="ACUERDOS CON CLIENTE" prompt="*En caso de no tener cubierto el engache establecer una fecha de pago en contrato._x000a_*Anexar todo acuerdo con cliente con previa autorización." sqref="B111:AU111" xr:uid="{00000000-0002-0000-0200-000008000000}"/>
    <dataValidation allowBlank="1" showInputMessage="1" showErrorMessage="1" promptTitle="LLENAR DATOS" prompt="En caso de ser una persona Fisica" sqref="B21:AU21" xr:uid="{00000000-0002-0000-0200-000009000000}"/>
    <dataValidation allowBlank="1" showInputMessage="1" showErrorMessage="1" promptTitle="No modificar_" prompt="Los datos vienen desde simulador." sqref="AK13:AR15 X18:AJ18 B5:AU10 X16:AC16 B16:V16 O17:Q17 B17:F17 H17:I17 AB17 X17:Y17 AS13:AU16 B18:Q18 B11:AB15 AJ11:AJ15 AC11:AI11 AC13:AI15" xr:uid="{00000000-0002-0000-0200-00000A000000}"/>
    <dataValidation allowBlank="1" showInputMessage="1" showErrorMessage="1" promptTitle="FECHA DE APARTADO" prompt="Fecha en que el cliente, realizo el apartado (Aparece en Voucher)." sqref="I17 Q17 AC17" xr:uid="{00000000-0002-0000-0200-00000B000000}"/>
  </dataValidations>
  <printOptions horizontalCentered="1"/>
  <pageMargins left="0.19685039370078741" right="0.19685039370078741" top="1.3779527559055118" bottom="0.19685039370078741" header="0.31496062992125984" footer="0.31496062992125984"/>
  <pageSetup scale="42" orientation="portrait" r:id="rId1"/>
  <headerFooter scaleWithDoc="0">
    <oddHeader>&amp;C&amp;G</oddHeader>
    <oddFooter>&amp;C&amp;G</oddFooter>
  </headerFooter>
  <rowBreaks count="2" manualBreakCount="2">
    <brk id="92" max="49" man="1"/>
    <brk id="110" max="49" man="1"/>
  </row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3" r:id="rId5" name="Check Box 11">
              <controlPr defaultSize="0" autoFill="0" autoLine="0" autoPict="0">
                <anchor moveWithCells="1">
                  <from>
                    <xdr:col>1</xdr:col>
                    <xdr:colOff>19050</xdr:colOff>
                    <xdr:row>94</xdr:row>
                    <xdr:rowOff>114300</xdr:rowOff>
                  </from>
                  <to>
                    <xdr:col>1</xdr:col>
                    <xdr:colOff>495300</xdr:colOff>
                    <xdr:row>95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6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95</xdr:row>
                    <xdr:rowOff>200025</xdr:rowOff>
                  </from>
                  <to>
                    <xdr:col>2</xdr:col>
                    <xdr:colOff>76200</xdr:colOff>
                    <xdr:row>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7" name="Check Box 13">
              <controlPr defaultSize="0" autoFill="0" autoLine="0" autoPict="0">
                <anchor moveWithCells="1">
                  <from>
                    <xdr:col>1</xdr:col>
                    <xdr:colOff>19050</xdr:colOff>
                    <xdr:row>96</xdr:row>
                    <xdr:rowOff>200025</xdr:rowOff>
                  </from>
                  <to>
                    <xdr:col>2</xdr:col>
                    <xdr:colOff>76200</xdr:colOff>
                    <xdr:row>97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8" name="Check Box 14">
              <controlPr defaultSize="0" autoFill="0" autoLine="0" autoPict="0">
                <anchor moveWithCells="1">
                  <from>
                    <xdr:col>1</xdr:col>
                    <xdr:colOff>28575</xdr:colOff>
                    <xdr:row>98</xdr:row>
                    <xdr:rowOff>209550</xdr:rowOff>
                  </from>
                  <to>
                    <xdr:col>4</xdr:col>
                    <xdr:colOff>219075</xdr:colOff>
                    <xdr:row>99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Check Box 15">
              <controlPr defaultSize="0" autoFill="0" autoLine="0" autoPict="0">
                <anchor moveWithCells="1">
                  <from>
                    <xdr:col>1</xdr:col>
                    <xdr:colOff>19050</xdr:colOff>
                    <xdr:row>97</xdr:row>
                    <xdr:rowOff>200025</xdr:rowOff>
                  </from>
                  <to>
                    <xdr:col>2</xdr:col>
                    <xdr:colOff>76200</xdr:colOff>
                    <xdr:row>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0" name="Check Box 21">
              <controlPr defaultSize="0" autoFill="0" autoLine="0" autoPict="0">
                <anchor moveWithCells="1">
                  <from>
                    <xdr:col>27</xdr:col>
                    <xdr:colOff>66675</xdr:colOff>
                    <xdr:row>95</xdr:row>
                    <xdr:rowOff>0</xdr:rowOff>
                  </from>
                  <to>
                    <xdr:col>29</xdr:col>
                    <xdr:colOff>209550</xdr:colOff>
                    <xdr:row>95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1" name="Check Box 22">
              <controlPr defaultSize="0" autoFill="0" autoLine="0" autoPict="0">
                <anchor moveWithCells="1">
                  <from>
                    <xdr:col>27</xdr:col>
                    <xdr:colOff>76200</xdr:colOff>
                    <xdr:row>96</xdr:row>
                    <xdr:rowOff>9525</xdr:rowOff>
                  </from>
                  <to>
                    <xdr:col>29</xdr:col>
                    <xdr:colOff>304800</xdr:colOff>
                    <xdr:row>96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2" name="Check Box 23">
              <controlPr defaultSize="0" autoFill="0" autoLine="0" autoPict="0">
                <anchor moveWithCells="1">
                  <from>
                    <xdr:col>27</xdr:col>
                    <xdr:colOff>66675</xdr:colOff>
                    <xdr:row>97</xdr:row>
                    <xdr:rowOff>19050</xdr:rowOff>
                  </from>
                  <to>
                    <xdr:col>29</xdr:col>
                    <xdr:colOff>304800</xdr:colOff>
                    <xdr:row>97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3" name="Check Box 25">
              <controlPr defaultSize="0" autoFill="0" autoLine="0" autoPict="0">
                <anchor moveWithCells="1">
                  <from>
                    <xdr:col>27</xdr:col>
                    <xdr:colOff>66675</xdr:colOff>
                    <xdr:row>98</xdr:row>
                    <xdr:rowOff>38100</xdr:rowOff>
                  </from>
                  <to>
                    <xdr:col>29</xdr:col>
                    <xdr:colOff>304800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4" name="Check Box 31">
              <controlPr defaultSize="0" autoFill="0" autoLine="0" autoPict="0">
                <anchor moveWithCells="1">
                  <from>
                    <xdr:col>1</xdr:col>
                    <xdr:colOff>19050</xdr:colOff>
                    <xdr:row>155</xdr:row>
                    <xdr:rowOff>114300</xdr:rowOff>
                  </from>
                  <to>
                    <xdr:col>1</xdr:col>
                    <xdr:colOff>504825</xdr:colOff>
                    <xdr:row>156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5" name="Check Box 32">
              <controlPr defaultSize="0" autoFill="0" autoLine="0" autoPict="0">
                <anchor moveWithCells="1">
                  <from>
                    <xdr:col>1</xdr:col>
                    <xdr:colOff>28575</xdr:colOff>
                    <xdr:row>157</xdr:row>
                    <xdr:rowOff>152400</xdr:rowOff>
                  </from>
                  <to>
                    <xdr:col>2</xdr:col>
                    <xdr:colOff>76200</xdr:colOff>
                    <xdr:row>159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6" name="Check Box 34">
              <controlPr defaultSize="0" autoFill="0" autoLine="0" autoPict="0">
                <anchor moveWithCells="1">
                  <from>
                    <xdr:col>1</xdr:col>
                    <xdr:colOff>28575</xdr:colOff>
                    <xdr:row>161</xdr:row>
                    <xdr:rowOff>133350</xdr:rowOff>
                  </from>
                  <to>
                    <xdr:col>4</xdr:col>
                    <xdr:colOff>228600</xdr:colOff>
                    <xdr:row>163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17" name="Check Box 39">
              <controlPr defaultSize="0" autoFill="0" autoLine="0" autoPict="0">
                <anchor moveWithCells="1">
                  <from>
                    <xdr:col>1</xdr:col>
                    <xdr:colOff>28575</xdr:colOff>
                    <xdr:row>163</xdr:row>
                    <xdr:rowOff>152400</xdr:rowOff>
                  </from>
                  <to>
                    <xdr:col>4</xdr:col>
                    <xdr:colOff>228600</xdr:colOff>
                    <xdr:row>165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18" name="Check Box 40">
              <controlPr defaultSize="0" autoFill="0" autoLine="0" autoPict="0">
                <anchor moveWithCells="1">
                  <from>
                    <xdr:col>1</xdr:col>
                    <xdr:colOff>47625</xdr:colOff>
                    <xdr:row>159</xdr:row>
                    <xdr:rowOff>152400</xdr:rowOff>
                  </from>
                  <to>
                    <xdr:col>2</xdr:col>
                    <xdr:colOff>95250</xdr:colOff>
                    <xdr:row>161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9" name="Check Box 54">
              <controlPr defaultSize="0" autoFill="0" autoLine="0" autoPict="0">
                <anchor moveWithCells="1">
                  <from>
                    <xdr:col>1</xdr:col>
                    <xdr:colOff>19050</xdr:colOff>
                    <xdr:row>99</xdr:row>
                    <xdr:rowOff>190500</xdr:rowOff>
                  </from>
                  <to>
                    <xdr:col>2</xdr:col>
                    <xdr:colOff>76200</xdr:colOff>
                    <xdr:row>100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20" name="Check Box 68">
              <controlPr defaultSize="0" autoFill="0" autoLine="0" autoPict="0">
                <anchor moveWithCells="1">
                  <from>
                    <xdr:col>1</xdr:col>
                    <xdr:colOff>19050</xdr:colOff>
                    <xdr:row>102</xdr:row>
                    <xdr:rowOff>66675</xdr:rowOff>
                  </from>
                  <to>
                    <xdr:col>1</xdr:col>
                    <xdr:colOff>485775</xdr:colOff>
                    <xdr:row>102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21" name="Check Box 69">
              <controlPr defaultSize="0" autoFill="0" autoLine="0" autoPict="0">
                <anchor moveWithCells="1">
                  <from>
                    <xdr:col>1</xdr:col>
                    <xdr:colOff>28575</xdr:colOff>
                    <xdr:row>103</xdr:row>
                    <xdr:rowOff>47625</xdr:rowOff>
                  </from>
                  <to>
                    <xdr:col>2</xdr:col>
                    <xdr:colOff>171450</xdr:colOff>
                    <xdr:row>104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22" name="Check Box 70">
              <controlPr defaultSize="0" autoFill="0" autoLine="0" autoPict="0">
                <anchor moveWithCells="1">
                  <from>
                    <xdr:col>1</xdr:col>
                    <xdr:colOff>19050</xdr:colOff>
                    <xdr:row>104</xdr:row>
                    <xdr:rowOff>76200</xdr:rowOff>
                  </from>
                  <to>
                    <xdr:col>2</xdr:col>
                    <xdr:colOff>152400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23" name="Check Box 71">
              <controlPr defaultSize="0" autoFill="0" autoLine="0" autoPict="0">
                <anchor moveWithCells="1">
                  <from>
                    <xdr:col>1</xdr:col>
                    <xdr:colOff>38100</xdr:colOff>
                    <xdr:row>106</xdr:row>
                    <xdr:rowOff>104775</xdr:rowOff>
                  </from>
                  <to>
                    <xdr:col>5</xdr:col>
                    <xdr:colOff>57150</xdr:colOff>
                    <xdr:row>107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24" name="Check Box 72">
              <controlPr defaultSize="0" autoFill="0" autoLine="0" autoPict="0">
                <anchor moveWithCells="1">
                  <from>
                    <xdr:col>0</xdr:col>
                    <xdr:colOff>295275</xdr:colOff>
                    <xdr:row>105</xdr:row>
                    <xdr:rowOff>47625</xdr:rowOff>
                  </from>
                  <to>
                    <xdr:col>2</xdr:col>
                    <xdr:colOff>142875</xdr:colOff>
                    <xdr:row>106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302" yWindow="518" count="5">
        <x14:dataValidation type="list" allowBlank="1" showInputMessage="1" showErrorMessage="1" promptTitle="OBLIGATORIO" prompt="Uso de Propiedad, Patrimonio, o inversión " xr:uid="{00000000-0002-0000-0200-00000C000000}">
          <x14:formula1>
            <xm:f>DATOS!$C$52:$C$53</xm:f>
          </x14:formula1>
          <xm:sqref>I19:N19</xm:sqref>
        </x14:dataValidation>
        <x14:dataValidation type="list" allowBlank="1" showInputMessage="1" showErrorMessage="1" promptTitle="TIPO DE CONTRATO" prompt="Puede ser un contrato Fisico, Moral o Copropiedad" xr:uid="{00000000-0002-0000-0200-00000D000000}">
          <x14:formula1>
            <xm:f>DATOS!$C$23:$C$25</xm:f>
          </x14:formula1>
          <xm:sqref>AQ19:AU19</xm:sqref>
        </x14:dataValidation>
        <x14:dataValidation type="list" allowBlank="1" showInputMessage="1" showErrorMessage="1" xr:uid="{00000000-0002-0000-0200-00000E000000}">
          <x14:formula1>
            <xm:f>DATOS!$C$29:$C$32</xm:f>
          </x14:formula1>
          <xm:sqref>K34:W34 K57:W57</xm:sqref>
        </x14:dataValidation>
        <x14:dataValidation type="list" allowBlank="1" showInputMessage="1" showErrorMessage="1" xr:uid="{00000000-0002-0000-0200-00000F000000}">
          <x14:formula1>
            <xm:f>DATOS!$C$35:$C$43</xm:f>
          </x14:formula1>
          <xm:sqref>K30:R30 K63:R63 K91:R91 K53:R53 K40:R40 K71:R71</xm:sqref>
        </x14:dataValidation>
        <x14:dataValidation type="list" allowBlank="1" showInputMessage="1" showErrorMessage="1" xr:uid="{00000000-0002-0000-0200-000010000000}">
          <x14:formula1>
            <xm:f>DATOS!$C$46:$C$49</xm:f>
          </x14:formula1>
          <xm:sqref>K24:AB24 K47:AB47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DATOS</vt:lpstr>
      <vt:lpstr>SIMULADOR</vt:lpstr>
      <vt:lpstr>FORMATO DE REGISTRO</vt:lpstr>
      <vt:lpstr>'FORMATO DE REGISTRO'!Área_de_impresión</vt:lpstr>
      <vt:lpstr>SIMULADOR!Área_de_impresión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Proyectos2</dc:creator>
  <cp:lastModifiedBy>LENOVO</cp:lastModifiedBy>
  <cp:lastPrinted>2022-03-02T20:09:46Z</cp:lastPrinted>
  <dcterms:created xsi:type="dcterms:W3CDTF">2017-09-25T17:46:09Z</dcterms:created>
  <dcterms:modified xsi:type="dcterms:W3CDTF">2022-06-28T13:36:48Z</dcterms:modified>
</cp:coreProperties>
</file>