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8DF71F8-596A-4403-A186-0EE12D6DAB02}" xr6:coauthVersionLast="47" xr6:coauthVersionMax="47" xr10:uidLastSave="{00000000-0000-0000-0000-000000000000}"/>
  <workbookProtection workbookAlgorithmName="SHA-512" workbookHashValue="YT6gPYmjYJMO/qsp+NrWlt0jo83LYCa07q8yWw2t7q1eZWtqDsXZIWaFCg5nD3xv9GmBCpowTLN61+zoo8GQ4A==" workbookSaltValue="vVrTx4Bs/6qHsXjYfBe0Iw==" workbookSpinCount="100000" lockStructure="1"/>
  <bookViews>
    <workbookView xWindow="-120" yWindow="-120" windowWidth="20730" windowHeight="11160" tabRatio="773" activeTab="1" xr2:uid="{00000000-000D-0000-FFFF-FFFF00000000}"/>
  </bookViews>
  <sheets>
    <sheet name="DATOS" sheetId="11" r:id="rId1"/>
    <sheet name="SIMULADOR" sheetId="6" r:id="rId2"/>
    <sheet name="FORMATO DE REGISTRO" sheetId="8" r:id="rId3"/>
  </sheets>
  <externalReferences>
    <externalReference r:id="rId4"/>
    <externalReference r:id="rId5"/>
  </externalReferences>
  <definedNames>
    <definedName name="_xlnm.Print_Area" localSheetId="2">'FORMATO DE REGISTRO'!$A$1:$AV$158</definedName>
    <definedName name="_xlnm.Print_Area" localSheetId="1">SIMULADOR!$A$1:$L$251</definedName>
    <definedName name="Categorías">OFFSET('[1]Presupuesto Mensual'!$B$3,1,,COUNTA('[1]Presupuesto Mensual'!$B:$B),)</definedName>
    <definedName name="FOTOS" localSheetId="1">INDEX(DATOS!D3:D4,MATCH(SIMULADOR!D3,DATOS!C3:C4,0))</definedName>
    <definedName name="Gastado">OFFSET('[1]Presupuesto Mensual'!$D$3,1,,COUNTA('[1]Presupuesto Mensual'!$D:$D)-2,)</definedName>
    <definedName name="Presupuesto">OFFSET('[1]Presupuesto Mensual'!$C$3,1,,COUNTA('[1]Presupuesto Mensual'!$C:$C)-2,)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H5" i="8" s="1"/>
  <c r="D10" i="6"/>
  <c r="J8" i="6"/>
  <c r="J11" i="6"/>
  <c r="J10" i="6"/>
  <c r="L9" i="6" s="1"/>
  <c r="D12" i="6"/>
  <c r="H9" i="8" s="1"/>
  <c r="E92" i="6"/>
  <c r="I3" i="6"/>
  <c r="H22" i="8"/>
  <c r="AE17" i="8"/>
  <c r="AU9" i="8"/>
  <c r="AU8" i="8"/>
  <c r="AU7" i="8"/>
  <c r="H7" i="8"/>
  <c r="AB6" i="8"/>
  <c r="D185" i="6"/>
  <c r="H104" i="6"/>
  <c r="D100" i="6"/>
  <c r="E104" i="6"/>
  <c r="D40" i="6"/>
  <c r="D36" i="6"/>
  <c r="D37" i="6"/>
  <c r="A45" i="6" s="1"/>
  <c r="B46" i="6" s="1"/>
  <c r="E22" i="6"/>
  <c r="H19" i="6"/>
  <c r="D19" i="6"/>
  <c r="E18" i="6"/>
  <c r="B45" i="6" s="1"/>
  <c r="I7" i="6"/>
  <c r="I2" i="6"/>
  <c r="F104" i="6"/>
  <c r="E177" i="6"/>
  <c r="E189" i="6" s="1"/>
  <c r="F189" i="6" s="1"/>
  <c r="H189" i="6" s="1"/>
  <c r="A105" i="6"/>
  <c r="A190" i="6" l="1"/>
  <c r="A191" i="6" s="1"/>
  <c r="A192" i="6" s="1"/>
  <c r="A193" i="6" s="1"/>
  <c r="C19" i="6"/>
  <c r="D39" i="6"/>
  <c r="D20" i="6"/>
  <c r="AB7" i="8"/>
  <c r="A194" i="6"/>
  <c r="I8" i="6"/>
  <c r="I9" i="6" s="1"/>
  <c r="A106" i="6"/>
  <c r="D3" i="6"/>
  <c r="A46" i="6"/>
  <c r="D99" i="6" l="1"/>
  <c r="D98" i="6" s="1"/>
  <c r="C20" i="6"/>
  <c r="I20" i="6" s="1"/>
  <c r="B21" i="6"/>
  <c r="D38" i="6"/>
  <c r="D97" i="6"/>
  <c r="D182" i="6" s="1"/>
  <c r="D183" i="6" s="1"/>
  <c r="B20" i="6"/>
  <c r="H20" i="6" s="1"/>
  <c r="I19" i="6"/>
  <c r="D21" i="6"/>
  <c r="D184" i="6" s="1"/>
  <c r="I11" i="6"/>
  <c r="I10" i="6"/>
  <c r="D33" i="6"/>
  <c r="B47" i="6"/>
  <c r="A47" i="6"/>
  <c r="A195" i="6"/>
  <c r="A107" i="6"/>
  <c r="H21" i="6" l="1"/>
  <c r="C21" i="6"/>
  <c r="I21" i="6" s="1"/>
  <c r="A48" i="6"/>
  <c r="B48" i="6"/>
  <c r="AB9" i="8"/>
  <c r="I12" i="6"/>
  <c r="J12" i="6" s="1"/>
  <c r="A108" i="6"/>
  <c r="A196" i="6"/>
  <c r="I13" i="6" l="1"/>
  <c r="J13" i="6" s="1"/>
  <c r="A109" i="6"/>
  <c r="A49" i="6"/>
  <c r="B49" i="6"/>
  <c r="D34" i="6"/>
  <c r="D35" i="6" s="1"/>
  <c r="A197" i="6"/>
  <c r="I15" i="6"/>
  <c r="AU6" i="8" s="1"/>
  <c r="AB11" i="8" l="1"/>
  <c r="AB10" i="8" s="1"/>
  <c r="D45" i="6"/>
  <c r="D44" i="6"/>
  <c r="D41" i="6"/>
  <c r="C44" i="6"/>
  <c r="D46" i="6"/>
  <c r="D47" i="6"/>
  <c r="A110" i="6"/>
  <c r="D48" i="6"/>
  <c r="I14" i="6"/>
  <c r="AB8" i="8" s="1"/>
  <c r="A198" i="6"/>
  <c r="B50" i="6"/>
  <c r="A50" i="6"/>
  <c r="D49" i="6"/>
  <c r="F47" i="6" l="1"/>
  <c r="G44" i="6"/>
  <c r="H44" i="6" s="1"/>
  <c r="A111" i="6"/>
  <c r="F49" i="6"/>
  <c r="F48" i="6"/>
  <c r="D42" i="6"/>
  <c r="J19" i="6"/>
  <c r="AU12" i="8" s="1"/>
  <c r="F46" i="6"/>
  <c r="A199" i="6"/>
  <c r="B51" i="6"/>
  <c r="A51" i="6"/>
  <c r="D50" i="6"/>
  <c r="F44" i="6"/>
  <c r="F45" i="6"/>
  <c r="I44" i="6" l="1"/>
  <c r="C45" i="6" s="1"/>
  <c r="A112" i="6"/>
  <c r="F50" i="6"/>
  <c r="A200" i="6"/>
  <c r="B52" i="6"/>
  <c r="A52" i="6"/>
  <c r="D51" i="6"/>
  <c r="A113" i="6" l="1"/>
  <c r="F51" i="6"/>
  <c r="A53" i="6"/>
  <c r="B53" i="6"/>
  <c r="D52" i="6"/>
  <c r="G45" i="6"/>
  <c r="H45" i="6" s="1"/>
  <c r="I45" i="6" s="1"/>
  <c r="C46" i="6" s="1"/>
  <c r="A201" i="6"/>
  <c r="G46" i="6" l="1"/>
  <c r="H46" i="6" s="1"/>
  <c r="I46" i="6" s="1"/>
  <c r="C47" i="6" s="1"/>
  <c r="A202" i="6"/>
  <c r="B54" i="6"/>
  <c r="A54" i="6"/>
  <c r="D53" i="6"/>
  <c r="F52" i="6"/>
  <c r="A114" i="6"/>
  <c r="A115" i="6" l="1"/>
  <c r="A203" i="6"/>
  <c r="F53" i="6"/>
  <c r="B55" i="6"/>
  <c r="A55" i="6"/>
  <c r="D54" i="6"/>
  <c r="G47" i="6"/>
  <c r="H47" i="6" s="1"/>
  <c r="I47" i="6" l="1"/>
  <c r="C48" i="6" s="1"/>
  <c r="A204" i="6"/>
  <c r="A56" i="6"/>
  <c r="B56" i="6"/>
  <c r="D55" i="6"/>
  <c r="A116" i="6"/>
  <c r="F54" i="6"/>
  <c r="B57" i="6" l="1"/>
  <c r="D56" i="6"/>
  <c r="A57" i="6"/>
  <c r="A117" i="6"/>
  <c r="A205" i="6"/>
  <c r="F55" i="6"/>
  <c r="G48" i="6"/>
  <c r="H48" i="6" s="1"/>
  <c r="I48" i="6" s="1"/>
  <c r="C49" i="6" s="1"/>
  <c r="G49" i="6" l="1"/>
  <c r="H49" i="6" s="1"/>
  <c r="I49" i="6" s="1"/>
  <c r="C50" i="6" s="1"/>
  <c r="A118" i="6"/>
  <c r="B58" i="6"/>
  <c r="A58" i="6"/>
  <c r="D57" i="6"/>
  <c r="F56" i="6"/>
  <c r="A206" i="6"/>
  <c r="G50" i="6" l="1"/>
  <c r="H50" i="6" s="1"/>
  <c r="I50" i="6" s="1"/>
  <c r="C51" i="6" s="1"/>
  <c r="B59" i="6"/>
  <c r="A59" i="6"/>
  <c r="D58" i="6"/>
  <c r="A207" i="6"/>
  <c r="A119" i="6"/>
  <c r="F57" i="6"/>
  <c r="G51" i="6" l="1"/>
  <c r="H51" i="6" s="1"/>
  <c r="I51" i="6" s="1"/>
  <c r="C52" i="6" s="1"/>
  <c r="F58" i="6"/>
  <c r="B60" i="6"/>
  <c r="D59" i="6"/>
  <c r="A60" i="6"/>
  <c r="A208" i="6"/>
  <c r="A120" i="6"/>
  <c r="G52" i="6" l="1"/>
  <c r="H52" i="6" s="1"/>
  <c r="I52" i="6" s="1"/>
  <c r="C53" i="6" s="1"/>
  <c r="B61" i="6"/>
  <c r="D60" i="6"/>
  <c r="A61" i="6"/>
  <c r="F59" i="6"/>
  <c r="A121" i="6"/>
  <c r="A209" i="6"/>
  <c r="G53" i="6" l="1"/>
  <c r="H53" i="6" s="1"/>
  <c r="I53" i="6" s="1"/>
  <c r="C54" i="6" s="1"/>
  <c r="B62" i="6"/>
  <c r="A62" i="6"/>
  <c r="D61" i="6"/>
  <c r="A210" i="6"/>
  <c r="F60" i="6"/>
  <c r="A122" i="6"/>
  <c r="G54" i="6" l="1"/>
  <c r="H54" i="6" s="1"/>
  <c r="I54" i="6" s="1"/>
  <c r="C55" i="6" s="1"/>
  <c r="B63" i="6"/>
  <c r="A63" i="6"/>
  <c r="D62" i="6"/>
  <c r="F61" i="6"/>
  <c r="A211" i="6"/>
  <c r="A123" i="6"/>
  <c r="G55" i="6" l="1"/>
  <c r="H55" i="6" s="1"/>
  <c r="I55" i="6" s="1"/>
  <c r="C56" i="6" s="1"/>
  <c r="A124" i="6"/>
  <c r="B64" i="6"/>
  <c r="D63" i="6"/>
  <c r="A64" i="6"/>
  <c r="F62" i="6"/>
  <c r="A212" i="6"/>
  <c r="G56" i="6" l="1"/>
  <c r="H56" i="6" s="1"/>
  <c r="I56" i="6" s="1"/>
  <c r="C57" i="6" s="1"/>
  <c r="F63" i="6"/>
  <c r="A213" i="6"/>
  <c r="A125" i="6"/>
  <c r="B65" i="6"/>
  <c r="D64" i="6"/>
  <c r="A65" i="6"/>
  <c r="G57" i="6" l="1"/>
  <c r="H57" i="6" s="1"/>
  <c r="I57" i="6" s="1"/>
  <c r="C58" i="6" s="1"/>
  <c r="A126" i="6"/>
  <c r="B66" i="6"/>
  <c r="A66" i="6"/>
  <c r="D65" i="6"/>
  <c r="A214" i="6"/>
  <c r="F64" i="6"/>
  <c r="G58" i="6" l="1"/>
  <c r="H58" i="6" s="1"/>
  <c r="I58" i="6" s="1"/>
  <c r="C59" i="6" s="1"/>
  <c r="A215" i="6"/>
  <c r="A127" i="6"/>
  <c r="B67" i="6"/>
  <c r="A67" i="6"/>
  <c r="D66" i="6"/>
  <c r="F65" i="6"/>
  <c r="G59" i="6" l="1"/>
  <c r="H59" i="6" s="1"/>
  <c r="I59" i="6" s="1"/>
  <c r="C60" i="6" s="1"/>
  <c r="F66" i="6"/>
  <c r="A128" i="6"/>
  <c r="B68" i="6"/>
  <c r="D67" i="6"/>
  <c r="A68" i="6"/>
  <c r="A216" i="6"/>
  <c r="G60" i="6" l="1"/>
  <c r="H60" i="6" s="1"/>
  <c r="I60" i="6" s="1"/>
  <c r="C61" i="6" s="1"/>
  <c r="A217" i="6"/>
  <c r="A129" i="6"/>
  <c r="B69" i="6"/>
  <c r="D68" i="6"/>
  <c r="A69" i="6"/>
  <c r="F67" i="6"/>
  <c r="G61" i="6" l="1"/>
  <c r="H61" i="6" s="1"/>
  <c r="I61" i="6" s="1"/>
  <c r="C62" i="6" s="1"/>
  <c r="B70" i="6"/>
  <c r="A70" i="6"/>
  <c r="D69" i="6"/>
  <c r="A130" i="6"/>
  <c r="F68" i="6"/>
  <c r="A218" i="6"/>
  <c r="G62" i="6" l="1"/>
  <c r="H62" i="6" s="1"/>
  <c r="I62" i="6" s="1"/>
  <c r="C63" i="6" s="1"/>
  <c r="A131" i="6"/>
  <c r="F69" i="6"/>
  <c r="B71" i="6"/>
  <c r="A71" i="6"/>
  <c r="D70" i="6"/>
  <c r="A219" i="6"/>
  <c r="A220" i="6" l="1"/>
  <c r="F70" i="6"/>
  <c r="A132" i="6"/>
  <c r="B72" i="6"/>
  <c r="D71" i="6"/>
  <c r="A72" i="6"/>
  <c r="G63" i="6"/>
  <c r="H63" i="6" s="1"/>
  <c r="I63" i="6" s="1"/>
  <c r="C64" i="6" s="1"/>
  <c r="A133" i="6" l="1"/>
  <c r="G64" i="6"/>
  <c r="H64" i="6" s="1"/>
  <c r="I64" i="6" s="1"/>
  <c r="C65" i="6" s="1"/>
  <c r="B73" i="6"/>
  <c r="D72" i="6"/>
  <c r="A73" i="6"/>
  <c r="F71" i="6"/>
  <c r="A221" i="6"/>
  <c r="G65" i="6" l="1"/>
  <c r="H65" i="6" s="1"/>
  <c r="I65" i="6" s="1"/>
  <c r="C66" i="6" s="1"/>
  <c r="A222" i="6"/>
  <c r="F72" i="6"/>
  <c r="B74" i="6"/>
  <c r="A74" i="6"/>
  <c r="D73" i="6"/>
  <c r="A134" i="6"/>
  <c r="G66" i="6" l="1"/>
  <c r="H66" i="6" s="1"/>
  <c r="I66" i="6" s="1"/>
  <c r="C67" i="6" s="1"/>
  <c r="A223" i="6"/>
  <c r="A135" i="6"/>
  <c r="F73" i="6"/>
  <c r="B75" i="6"/>
  <c r="A75" i="6"/>
  <c r="D74" i="6"/>
  <c r="G67" i="6" l="1"/>
  <c r="H67" i="6" s="1"/>
  <c r="I67" i="6" s="1"/>
  <c r="C68" i="6" s="1"/>
  <c r="F74" i="6"/>
  <c r="B76" i="6"/>
  <c r="D75" i="6"/>
  <c r="A76" i="6"/>
  <c r="A136" i="6"/>
  <c r="A224" i="6"/>
  <c r="G68" i="6" l="1"/>
  <c r="H68" i="6" s="1"/>
  <c r="I68" i="6" s="1"/>
  <c r="C69" i="6" s="1"/>
  <c r="B77" i="6"/>
  <c r="D76" i="6"/>
  <c r="A77" i="6"/>
  <c r="F75" i="6"/>
  <c r="A225" i="6"/>
  <c r="A137" i="6"/>
  <c r="G69" i="6" l="1"/>
  <c r="H69" i="6" s="1"/>
  <c r="I69" i="6" s="1"/>
  <c r="C70" i="6" s="1"/>
  <c r="A138" i="6"/>
  <c r="B78" i="6"/>
  <c r="A78" i="6"/>
  <c r="D77" i="6"/>
  <c r="F76" i="6"/>
  <c r="A226" i="6"/>
  <c r="G70" i="6" l="1"/>
  <c r="H70" i="6" s="1"/>
  <c r="I70" i="6" s="1"/>
  <c r="C71" i="6" s="1"/>
  <c r="B79" i="6"/>
  <c r="A79" i="6"/>
  <c r="D78" i="6"/>
  <c r="A227" i="6"/>
  <c r="A139" i="6"/>
  <c r="F77" i="6"/>
  <c r="G71" i="6" l="1"/>
  <c r="H71" i="6" s="1"/>
  <c r="I71" i="6" s="1"/>
  <c r="C72" i="6" s="1"/>
  <c r="F78" i="6"/>
  <c r="B80" i="6"/>
  <c r="D79" i="6"/>
  <c r="A80" i="6"/>
  <c r="A140" i="6"/>
  <c r="A228" i="6"/>
  <c r="G72" i="6" l="1"/>
  <c r="H72" i="6" s="1"/>
  <c r="I72" i="6" s="1"/>
  <c r="C73" i="6" s="1"/>
  <c r="B81" i="6"/>
  <c r="A81" i="6"/>
  <c r="D80" i="6"/>
  <c r="F79" i="6"/>
  <c r="A229" i="6"/>
  <c r="A141" i="6"/>
  <c r="G73" i="6" l="1"/>
  <c r="H73" i="6" s="1"/>
  <c r="I73" i="6" s="1"/>
  <c r="C74" i="6" s="1"/>
  <c r="F80" i="6"/>
  <c r="D81" i="6"/>
  <c r="B82" i="6"/>
  <c r="A82" i="6"/>
  <c r="A142" i="6"/>
  <c r="A230" i="6"/>
  <c r="G74" i="6" l="1"/>
  <c r="H74" i="6" s="1"/>
  <c r="I74" i="6" s="1"/>
  <c r="C75" i="6" s="1"/>
  <c r="A231" i="6"/>
  <c r="F81" i="6"/>
  <c r="D82" i="6"/>
  <c r="B83" i="6"/>
  <c r="A83" i="6"/>
  <c r="A143" i="6"/>
  <c r="G75" i="6" l="1"/>
  <c r="H75" i="6" s="1"/>
  <c r="I75" i="6" s="1"/>
  <c r="C76" i="6" s="1"/>
  <c r="F82" i="6"/>
  <c r="A144" i="6"/>
  <c r="A84" i="6"/>
  <c r="D83" i="6"/>
  <c r="B84" i="6"/>
  <c r="A232" i="6"/>
  <c r="G76" i="6" l="1"/>
  <c r="H76" i="6" s="1"/>
  <c r="I76" i="6" s="1"/>
  <c r="C77" i="6" s="1"/>
  <c r="A145" i="6"/>
  <c r="A233" i="6"/>
  <c r="F83" i="6"/>
  <c r="A85" i="6"/>
  <c r="B85" i="6"/>
  <c r="D84" i="6"/>
  <c r="G77" i="6" l="1"/>
  <c r="H77" i="6" s="1"/>
  <c r="I77" i="6" s="1"/>
  <c r="C78" i="6" s="1"/>
  <c r="A234" i="6"/>
  <c r="F84" i="6"/>
  <c r="B86" i="6"/>
  <c r="A86" i="6"/>
  <c r="D85" i="6"/>
  <c r="A146" i="6"/>
  <c r="G78" i="6" l="1"/>
  <c r="H78" i="6" s="1"/>
  <c r="I78" i="6" s="1"/>
  <c r="C79" i="6" s="1"/>
  <c r="A147" i="6"/>
  <c r="F85" i="6"/>
  <c r="A235" i="6"/>
  <c r="B87" i="6"/>
  <c r="D86" i="6"/>
  <c r="A87" i="6"/>
  <c r="G79" i="6" l="1"/>
  <c r="H79" i="6" s="1"/>
  <c r="I79" i="6" s="1"/>
  <c r="C80" i="6" s="1"/>
  <c r="B88" i="6"/>
  <c r="D87" i="6"/>
  <c r="A88" i="6"/>
  <c r="F86" i="6"/>
  <c r="A148" i="6"/>
  <c r="A236" i="6"/>
  <c r="G80" i="6" l="1"/>
  <c r="H80" i="6" s="1"/>
  <c r="I80" i="6" s="1"/>
  <c r="C81" i="6" s="1"/>
  <c r="A237" i="6"/>
  <c r="A89" i="6"/>
  <c r="D88" i="6"/>
  <c r="B89" i="6"/>
  <c r="F87" i="6"/>
  <c r="A149" i="6"/>
  <c r="G81" i="6" l="1"/>
  <c r="H81" i="6" s="1"/>
  <c r="I81" i="6" s="1"/>
  <c r="C82" i="6" s="1"/>
  <c r="F88" i="6"/>
  <c r="B90" i="6"/>
  <c r="A90" i="6"/>
  <c r="D89" i="6"/>
  <c r="A150" i="6"/>
  <c r="A238" i="6"/>
  <c r="G82" i="6" l="1"/>
  <c r="H82" i="6" s="1"/>
  <c r="I82" i="6" s="1"/>
  <c r="C83" i="6" s="1"/>
  <c r="A91" i="6"/>
  <c r="D90" i="6"/>
  <c r="B91" i="6"/>
  <c r="B92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F89" i="6"/>
  <c r="A239" i="6"/>
  <c r="A151" i="6"/>
  <c r="G83" i="6" l="1"/>
  <c r="H83" i="6" s="1"/>
  <c r="I83" i="6" s="1"/>
  <c r="C84" i="6" s="1"/>
  <c r="F90" i="6"/>
  <c r="B152" i="6"/>
  <c r="A152" i="6"/>
  <c r="D91" i="6"/>
  <c r="A240" i="6"/>
  <c r="G84" i="6" l="1"/>
  <c r="H84" i="6" s="1"/>
  <c r="I84" i="6" s="1"/>
  <c r="C85" i="6" s="1"/>
  <c r="A153" i="6"/>
  <c r="B153" i="6"/>
  <c r="A241" i="6"/>
  <c r="F91" i="6"/>
  <c r="G85" i="6" l="1"/>
  <c r="H85" i="6" s="1"/>
  <c r="I85" i="6" s="1"/>
  <c r="C86" i="6" s="1"/>
  <c r="A242" i="6"/>
  <c r="B154" i="6"/>
  <c r="A154" i="6"/>
  <c r="G86" i="6" l="1"/>
  <c r="H86" i="6" s="1"/>
  <c r="I86" i="6" s="1"/>
  <c r="C87" i="6" s="1"/>
  <c r="A155" i="6"/>
  <c r="B155" i="6"/>
  <c r="A243" i="6"/>
  <c r="G87" i="6" l="1"/>
  <c r="H87" i="6" s="1"/>
  <c r="I87" i="6" s="1"/>
  <c r="C88" i="6" s="1"/>
  <c r="A244" i="6"/>
  <c r="B156" i="6"/>
  <c r="A156" i="6"/>
  <c r="G88" i="6" l="1"/>
  <c r="H88" i="6" s="1"/>
  <c r="I88" i="6" s="1"/>
  <c r="C89" i="6" s="1"/>
  <c r="A245" i="6"/>
  <c r="A157" i="6"/>
  <c r="B157" i="6"/>
  <c r="G89" i="6" l="1"/>
  <c r="H89" i="6" s="1"/>
  <c r="I89" i="6" s="1"/>
  <c r="C90" i="6" s="1"/>
  <c r="B158" i="6"/>
  <c r="A158" i="6"/>
  <c r="A246" i="6"/>
  <c r="G90" i="6" l="1"/>
  <c r="H90" i="6" s="1"/>
  <c r="I90" i="6" s="1"/>
  <c r="C91" i="6" s="1"/>
  <c r="A247" i="6"/>
  <c r="A159" i="6"/>
  <c r="B159" i="6"/>
  <c r="G91" i="6" l="1"/>
  <c r="H91" i="6" s="1"/>
  <c r="H92" i="6" s="1"/>
  <c r="D95" i="6" s="1"/>
  <c r="D96" i="6" s="1"/>
  <c r="D159" i="6" s="1"/>
  <c r="A248" i="6"/>
  <c r="B160" i="6"/>
  <c r="A160" i="6"/>
  <c r="F159" i="6" l="1"/>
  <c r="A161" i="6"/>
  <c r="D160" i="6"/>
  <c r="B161" i="6"/>
  <c r="A249" i="6"/>
  <c r="C104" i="6"/>
  <c r="I104" i="6" s="1"/>
  <c r="C105" i="6" s="1"/>
  <c r="D101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I91" i="6"/>
  <c r="I92" i="6" s="1"/>
  <c r="F132" i="6" l="1"/>
  <c r="F155" i="6"/>
  <c r="F147" i="6"/>
  <c r="F139" i="6"/>
  <c r="F131" i="6"/>
  <c r="F123" i="6"/>
  <c r="F115" i="6"/>
  <c r="F107" i="6"/>
  <c r="F140" i="6"/>
  <c r="F154" i="6"/>
  <c r="F146" i="6"/>
  <c r="F138" i="6"/>
  <c r="F130" i="6"/>
  <c r="F122" i="6"/>
  <c r="F114" i="6"/>
  <c r="F106" i="6"/>
  <c r="F148" i="6"/>
  <c r="F116" i="6"/>
  <c r="F153" i="6"/>
  <c r="F145" i="6"/>
  <c r="F137" i="6"/>
  <c r="F129" i="6"/>
  <c r="F121" i="6"/>
  <c r="F113" i="6"/>
  <c r="F105" i="6"/>
  <c r="F152" i="6"/>
  <c r="F144" i="6"/>
  <c r="F136" i="6"/>
  <c r="F128" i="6"/>
  <c r="F120" i="6"/>
  <c r="F112" i="6"/>
  <c r="F160" i="6"/>
  <c r="F124" i="6"/>
  <c r="F151" i="6"/>
  <c r="F143" i="6"/>
  <c r="F135" i="6"/>
  <c r="F127" i="6"/>
  <c r="F119" i="6"/>
  <c r="F111" i="6"/>
  <c r="D102" i="6"/>
  <c r="J20" i="6"/>
  <c r="AU13" i="8" s="1"/>
  <c r="A162" i="6"/>
  <c r="D161" i="6"/>
  <c r="B162" i="6"/>
  <c r="F158" i="6"/>
  <c r="F150" i="6"/>
  <c r="F142" i="6"/>
  <c r="F134" i="6"/>
  <c r="F126" i="6"/>
  <c r="F118" i="6"/>
  <c r="F110" i="6"/>
  <c r="G105" i="6"/>
  <c r="H105" i="6" s="1"/>
  <c r="F156" i="6"/>
  <c r="F108" i="6"/>
  <c r="F157" i="6"/>
  <c r="F149" i="6"/>
  <c r="F141" i="6"/>
  <c r="F133" i="6"/>
  <c r="F125" i="6"/>
  <c r="F117" i="6"/>
  <c r="F109" i="6"/>
  <c r="I105" i="6" l="1"/>
  <c r="C106" i="6" s="1"/>
  <c r="F161" i="6"/>
  <c r="A163" i="6"/>
  <c r="D162" i="6"/>
  <c r="B163" i="6"/>
  <c r="F162" i="6" l="1"/>
  <c r="A164" i="6"/>
  <c r="D163" i="6"/>
  <c r="B164" i="6"/>
  <c r="G106" i="6"/>
  <c r="H106" i="6" s="1"/>
  <c r="I106" i="6" s="1"/>
  <c r="C107" i="6" s="1"/>
  <c r="G107" i="6" l="1"/>
  <c r="H107" i="6" s="1"/>
  <c r="I107" i="6" s="1"/>
  <c r="C108" i="6" s="1"/>
  <c r="B165" i="6"/>
  <c r="D164" i="6"/>
  <c r="A165" i="6"/>
  <c r="F163" i="6"/>
  <c r="G108" i="6" l="1"/>
  <c r="H108" i="6" s="1"/>
  <c r="F164" i="6"/>
  <c r="A166" i="6"/>
  <c r="D165" i="6"/>
  <c r="B166" i="6"/>
  <c r="F165" i="6" l="1"/>
  <c r="A167" i="6"/>
  <c r="D166" i="6"/>
  <c r="B167" i="6"/>
  <c r="I108" i="6"/>
  <c r="C109" i="6" s="1"/>
  <c r="G109" i="6" l="1"/>
  <c r="H109" i="6" s="1"/>
  <c r="I109" i="6" s="1"/>
  <c r="C110" i="6" s="1"/>
  <c r="D167" i="6"/>
  <c r="B168" i="6"/>
  <c r="A168" i="6"/>
  <c r="F166" i="6"/>
  <c r="G110" i="6" l="1"/>
  <c r="H110" i="6" s="1"/>
  <c r="I110" i="6" s="1"/>
  <c r="C111" i="6" s="1"/>
  <c r="F167" i="6"/>
  <c r="D168" i="6"/>
  <c r="A169" i="6"/>
  <c r="B169" i="6"/>
  <c r="G111" i="6" l="1"/>
  <c r="H111" i="6" s="1"/>
  <c r="I111" i="6" s="1"/>
  <c r="C112" i="6" s="1"/>
  <c r="D169" i="6"/>
  <c r="B170" i="6"/>
  <c r="A170" i="6"/>
  <c r="F168" i="6"/>
  <c r="G112" i="6" l="1"/>
  <c r="H112" i="6" s="1"/>
  <c r="I112" i="6" s="1"/>
  <c r="C113" i="6" s="1"/>
  <c r="F169" i="6"/>
  <c r="D170" i="6"/>
  <c r="B171" i="6"/>
  <c r="A171" i="6"/>
  <c r="G113" i="6" l="1"/>
  <c r="H113" i="6" s="1"/>
  <c r="I113" i="6" s="1"/>
  <c r="C114" i="6" s="1"/>
  <c r="D171" i="6"/>
  <c r="B172" i="6"/>
  <c r="A172" i="6"/>
  <c r="F170" i="6"/>
  <c r="G114" i="6" l="1"/>
  <c r="H114" i="6" s="1"/>
  <c r="I114" i="6" s="1"/>
  <c r="C115" i="6" s="1"/>
  <c r="F171" i="6"/>
  <c r="D172" i="6"/>
  <c r="A173" i="6"/>
  <c r="B173" i="6"/>
  <c r="G115" i="6" l="1"/>
  <c r="H115" i="6" s="1"/>
  <c r="I115" i="6" s="1"/>
  <c r="C116" i="6" s="1"/>
  <c r="D173" i="6"/>
  <c r="B174" i="6"/>
  <c r="A174" i="6"/>
  <c r="F172" i="6"/>
  <c r="G116" i="6" l="1"/>
  <c r="H116" i="6" s="1"/>
  <c r="I116" i="6" s="1"/>
  <c r="C117" i="6" s="1"/>
  <c r="F173" i="6"/>
  <c r="D174" i="6"/>
  <c r="B175" i="6"/>
  <c r="A175" i="6"/>
  <c r="G117" i="6" l="1"/>
  <c r="H117" i="6" s="1"/>
  <c r="I117" i="6" s="1"/>
  <c r="C118" i="6" s="1"/>
  <c r="A176" i="6"/>
  <c r="B176" i="6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D175" i="6"/>
  <c r="F174" i="6"/>
  <c r="G118" i="6" l="1"/>
  <c r="H118" i="6" s="1"/>
  <c r="I118" i="6" s="1"/>
  <c r="C119" i="6" s="1"/>
  <c r="F175" i="6"/>
  <c r="D176" i="6"/>
  <c r="G119" i="6" l="1"/>
  <c r="H119" i="6" s="1"/>
  <c r="I119" i="6" s="1"/>
  <c r="C120" i="6" s="1"/>
  <c r="F176" i="6"/>
  <c r="G120" i="6" l="1"/>
  <c r="H120" i="6" s="1"/>
  <c r="I120" i="6" s="1"/>
  <c r="C121" i="6" s="1"/>
  <c r="G121" i="6" l="1"/>
  <c r="H121" i="6" s="1"/>
  <c r="I121" i="6" s="1"/>
  <c r="C122" i="6" s="1"/>
  <c r="G122" i="6" l="1"/>
  <c r="H122" i="6" s="1"/>
  <c r="I122" i="6" s="1"/>
  <c r="C123" i="6" s="1"/>
  <c r="G123" i="6" l="1"/>
  <c r="H123" i="6" s="1"/>
  <c r="I123" i="6" s="1"/>
  <c r="C124" i="6" s="1"/>
  <c r="G124" i="6" l="1"/>
  <c r="H124" i="6" s="1"/>
  <c r="I124" i="6" s="1"/>
  <c r="C125" i="6" s="1"/>
  <c r="G125" i="6" l="1"/>
  <c r="H125" i="6" s="1"/>
  <c r="I125" i="6" s="1"/>
  <c r="C126" i="6" s="1"/>
  <c r="G126" i="6" l="1"/>
  <c r="H126" i="6" s="1"/>
  <c r="I126" i="6" s="1"/>
  <c r="C127" i="6" s="1"/>
  <c r="G127" i="6" l="1"/>
  <c r="H127" i="6" s="1"/>
  <c r="I127" i="6" s="1"/>
  <c r="C128" i="6" s="1"/>
  <c r="G128" i="6" l="1"/>
  <c r="H128" i="6" s="1"/>
  <c r="I128" i="6" s="1"/>
  <c r="C129" i="6" s="1"/>
  <c r="G129" i="6" l="1"/>
  <c r="H129" i="6" s="1"/>
  <c r="I129" i="6" s="1"/>
  <c r="C130" i="6" s="1"/>
  <c r="G130" i="6" l="1"/>
  <c r="H130" i="6" s="1"/>
  <c r="I130" i="6" s="1"/>
  <c r="C131" i="6" s="1"/>
  <c r="G131" i="6" l="1"/>
  <c r="H131" i="6" s="1"/>
  <c r="I131" i="6" s="1"/>
  <c r="C132" i="6" s="1"/>
  <c r="G132" i="6" l="1"/>
  <c r="H132" i="6" s="1"/>
  <c r="I132" i="6" s="1"/>
  <c r="C133" i="6" s="1"/>
  <c r="G133" i="6" l="1"/>
  <c r="H133" i="6" s="1"/>
  <c r="I133" i="6" s="1"/>
  <c r="C134" i="6" s="1"/>
  <c r="G134" i="6" l="1"/>
  <c r="H134" i="6" s="1"/>
  <c r="I134" i="6" s="1"/>
  <c r="C135" i="6" s="1"/>
  <c r="G135" i="6" l="1"/>
  <c r="H135" i="6" s="1"/>
  <c r="I135" i="6" s="1"/>
  <c r="C136" i="6" s="1"/>
  <c r="G136" i="6" l="1"/>
  <c r="H136" i="6" s="1"/>
  <c r="I136" i="6" s="1"/>
  <c r="C137" i="6" s="1"/>
  <c r="G137" i="6" l="1"/>
  <c r="H137" i="6" s="1"/>
  <c r="I137" i="6" s="1"/>
  <c r="C138" i="6" s="1"/>
  <c r="G138" i="6" l="1"/>
  <c r="H138" i="6" s="1"/>
  <c r="I138" i="6" s="1"/>
  <c r="C139" i="6" s="1"/>
  <c r="G139" i="6" l="1"/>
  <c r="H139" i="6" s="1"/>
  <c r="I139" i="6" s="1"/>
  <c r="C140" i="6" s="1"/>
  <c r="G140" i="6" l="1"/>
  <c r="H140" i="6" s="1"/>
  <c r="I140" i="6" s="1"/>
  <c r="C141" i="6" s="1"/>
  <c r="G141" i="6" l="1"/>
  <c r="H141" i="6" s="1"/>
  <c r="I141" i="6" s="1"/>
  <c r="C142" i="6" s="1"/>
  <c r="G142" i="6" l="1"/>
  <c r="H142" i="6" s="1"/>
  <c r="I142" i="6" s="1"/>
  <c r="C143" i="6" s="1"/>
  <c r="G143" i="6" l="1"/>
  <c r="H143" i="6" s="1"/>
  <c r="I143" i="6" s="1"/>
  <c r="C144" i="6" s="1"/>
  <c r="G144" i="6" l="1"/>
  <c r="H144" i="6" s="1"/>
  <c r="I144" i="6" s="1"/>
  <c r="C145" i="6" s="1"/>
  <c r="G145" i="6" l="1"/>
  <c r="H145" i="6" s="1"/>
  <c r="I145" i="6" s="1"/>
  <c r="C146" i="6" s="1"/>
  <c r="G146" i="6" l="1"/>
  <c r="H146" i="6" s="1"/>
  <c r="I146" i="6" s="1"/>
  <c r="C147" i="6" s="1"/>
  <c r="G147" i="6" l="1"/>
  <c r="H147" i="6" s="1"/>
  <c r="I147" i="6" s="1"/>
  <c r="C148" i="6" s="1"/>
  <c r="G148" i="6" l="1"/>
  <c r="H148" i="6" s="1"/>
  <c r="I148" i="6" s="1"/>
  <c r="C149" i="6" s="1"/>
  <c r="G149" i="6" l="1"/>
  <c r="H149" i="6" s="1"/>
  <c r="I149" i="6" s="1"/>
  <c r="C150" i="6" s="1"/>
  <c r="G150" i="6" l="1"/>
  <c r="H150" i="6" s="1"/>
  <c r="I150" i="6" s="1"/>
  <c r="C151" i="6" s="1"/>
  <c r="G151" i="6" l="1"/>
  <c r="H151" i="6" s="1"/>
  <c r="I151" i="6" s="1"/>
  <c r="C152" i="6" s="1"/>
  <c r="G152" i="6" l="1"/>
  <c r="H152" i="6" s="1"/>
  <c r="I152" i="6" s="1"/>
  <c r="C153" i="6" s="1"/>
  <c r="G153" i="6" l="1"/>
  <c r="H153" i="6" s="1"/>
  <c r="I153" i="6" s="1"/>
  <c r="C154" i="6" s="1"/>
  <c r="G154" i="6" l="1"/>
  <c r="H154" i="6" s="1"/>
  <c r="I154" i="6" s="1"/>
  <c r="C155" i="6" s="1"/>
  <c r="G155" i="6" l="1"/>
  <c r="H155" i="6" s="1"/>
  <c r="I155" i="6" s="1"/>
  <c r="C156" i="6" s="1"/>
  <c r="G156" i="6" l="1"/>
  <c r="H156" i="6" s="1"/>
  <c r="I156" i="6" s="1"/>
  <c r="C157" i="6" s="1"/>
  <c r="G157" i="6" l="1"/>
  <c r="H157" i="6" s="1"/>
  <c r="I157" i="6" s="1"/>
  <c r="C158" i="6" s="1"/>
  <c r="G158" i="6" l="1"/>
  <c r="H158" i="6" s="1"/>
  <c r="I158" i="6" s="1"/>
  <c r="C159" i="6" s="1"/>
  <c r="G159" i="6" l="1"/>
  <c r="H159" i="6" s="1"/>
  <c r="I159" i="6" s="1"/>
  <c r="C160" i="6" s="1"/>
  <c r="G160" i="6" l="1"/>
  <c r="H160" i="6" s="1"/>
  <c r="I160" i="6" s="1"/>
  <c r="C161" i="6" s="1"/>
  <c r="G161" i="6" l="1"/>
  <c r="H161" i="6" s="1"/>
  <c r="I161" i="6" s="1"/>
  <c r="C162" i="6" s="1"/>
  <c r="G162" i="6" l="1"/>
  <c r="H162" i="6" s="1"/>
  <c r="I162" i="6" s="1"/>
  <c r="C163" i="6" s="1"/>
  <c r="G163" i="6" l="1"/>
  <c r="H163" i="6" s="1"/>
  <c r="I163" i="6" s="1"/>
  <c r="C164" i="6" s="1"/>
  <c r="G164" i="6" l="1"/>
  <c r="H164" i="6" s="1"/>
  <c r="I164" i="6" s="1"/>
  <c r="C165" i="6" s="1"/>
  <c r="G165" i="6" l="1"/>
  <c r="H165" i="6" s="1"/>
  <c r="I165" i="6" s="1"/>
  <c r="C166" i="6" s="1"/>
  <c r="G166" i="6" l="1"/>
  <c r="H166" i="6" s="1"/>
  <c r="I166" i="6" s="1"/>
  <c r="C167" i="6" s="1"/>
  <c r="G167" i="6" l="1"/>
  <c r="H167" i="6" s="1"/>
  <c r="I167" i="6" s="1"/>
  <c r="C168" i="6" s="1"/>
  <c r="G168" i="6" l="1"/>
  <c r="H168" i="6" s="1"/>
  <c r="I168" i="6" s="1"/>
  <c r="C169" i="6" s="1"/>
  <c r="G169" i="6" l="1"/>
  <c r="H169" i="6" s="1"/>
  <c r="I169" i="6" s="1"/>
  <c r="C170" i="6" s="1"/>
  <c r="G170" i="6" l="1"/>
  <c r="H170" i="6" s="1"/>
  <c r="I170" i="6" s="1"/>
  <c r="C171" i="6" s="1"/>
  <c r="G171" i="6" l="1"/>
  <c r="H171" i="6" s="1"/>
  <c r="I171" i="6" s="1"/>
  <c r="C172" i="6" s="1"/>
  <c r="G172" i="6" l="1"/>
  <c r="H172" i="6" s="1"/>
  <c r="I172" i="6" s="1"/>
  <c r="C173" i="6" s="1"/>
  <c r="G173" i="6" l="1"/>
  <c r="H173" i="6" s="1"/>
  <c r="I173" i="6" s="1"/>
  <c r="C174" i="6" s="1"/>
  <c r="G174" i="6" l="1"/>
  <c r="H174" i="6" s="1"/>
  <c r="I174" i="6" s="1"/>
  <c r="C175" i="6" s="1"/>
  <c r="G175" i="6" l="1"/>
  <c r="H175" i="6" s="1"/>
  <c r="I175" i="6" s="1"/>
  <c r="C176" i="6" s="1"/>
  <c r="G176" i="6" l="1"/>
  <c r="H176" i="6" s="1"/>
  <c r="H177" i="6" s="1"/>
  <c r="D180" i="6" s="1"/>
  <c r="D181" i="6" s="1"/>
  <c r="D186" i="6" l="1"/>
  <c r="C189" i="6"/>
  <c r="I189" i="6" s="1"/>
  <c r="C190" i="6" s="1"/>
  <c r="I176" i="6"/>
  <c r="I177" i="6" s="1"/>
  <c r="D190" i="6" l="1"/>
  <c r="F190" i="6" s="1"/>
  <c r="G190" i="6"/>
  <c r="D187" i="6"/>
  <c r="J21" i="6"/>
  <c r="AU14" i="8" s="1"/>
  <c r="H190" i="6" l="1"/>
  <c r="I190" i="6" s="1"/>
  <c r="C191" i="6" s="1"/>
  <c r="D191" i="6" l="1"/>
  <c r="F191" i="6" s="1"/>
  <c r="G191" i="6"/>
  <c r="H191" i="6" l="1"/>
  <c r="I191" i="6" s="1"/>
  <c r="C192" i="6" s="1"/>
  <c r="D192" i="6" s="1"/>
  <c r="F192" i="6" s="1"/>
  <c r="G192" i="6" l="1"/>
  <c r="H192" i="6" s="1"/>
  <c r="I192" i="6" s="1"/>
  <c r="C193" i="6" s="1"/>
  <c r="G193" i="6" s="1"/>
  <c r="D193" i="6" l="1"/>
  <c r="F193" i="6" s="1"/>
  <c r="H193" i="6" s="1"/>
  <c r="I193" i="6" s="1"/>
  <c r="C194" i="6" s="1"/>
  <c r="D194" i="6" l="1"/>
  <c r="F194" i="6" s="1"/>
  <c r="G194" i="6"/>
  <c r="H194" i="6" l="1"/>
  <c r="I194" i="6" s="1"/>
  <c r="C195" i="6" s="1"/>
  <c r="D195" i="6" s="1"/>
  <c r="F195" i="6" s="1"/>
  <c r="G195" i="6" l="1"/>
  <c r="H195" i="6" s="1"/>
  <c r="I195" i="6" s="1"/>
  <c r="C196" i="6" s="1"/>
  <c r="D196" i="6" s="1"/>
  <c r="F196" i="6" s="1"/>
  <c r="G196" i="6" l="1"/>
  <c r="H196" i="6" s="1"/>
  <c r="I196" i="6" s="1"/>
  <c r="C197" i="6" s="1"/>
  <c r="D197" i="6" s="1"/>
  <c r="F197" i="6" s="1"/>
  <c r="G197" i="6" l="1"/>
  <c r="H197" i="6" s="1"/>
  <c r="I197" i="6" s="1"/>
  <c r="C198" i="6" s="1"/>
  <c r="G198" i="6" s="1"/>
  <c r="D198" i="6" l="1"/>
  <c r="F198" i="6" s="1"/>
  <c r="H198" i="6" s="1"/>
  <c r="I198" i="6" s="1"/>
  <c r="C199" i="6" s="1"/>
  <c r="D199" i="6" s="1"/>
  <c r="F199" i="6" s="1"/>
  <c r="G199" i="6" l="1"/>
  <c r="H199" i="6" s="1"/>
  <c r="I199" i="6" s="1"/>
  <c r="C200" i="6" s="1"/>
  <c r="D200" i="6" l="1"/>
  <c r="F200" i="6" s="1"/>
  <c r="G200" i="6"/>
  <c r="H200" i="6" l="1"/>
  <c r="I200" i="6" s="1"/>
  <c r="C201" i="6" s="1"/>
  <c r="D201" i="6" s="1"/>
  <c r="F201" i="6" s="1"/>
  <c r="G201" i="6" l="1"/>
  <c r="H201" i="6" s="1"/>
  <c r="I201" i="6" s="1"/>
  <c r="C202" i="6" s="1"/>
  <c r="D202" i="6" l="1"/>
  <c r="F202" i="6" s="1"/>
  <c r="G202" i="6"/>
  <c r="H202" i="6" l="1"/>
  <c r="I202" i="6" s="1"/>
  <c r="C203" i="6" s="1"/>
  <c r="D203" i="6" s="1"/>
  <c r="F203" i="6" s="1"/>
  <c r="G203" i="6" l="1"/>
  <c r="H203" i="6" s="1"/>
  <c r="I203" i="6" s="1"/>
  <c r="C204" i="6" s="1"/>
  <c r="D204" i="6" s="1"/>
  <c r="F204" i="6" s="1"/>
  <c r="G204" i="6" l="1"/>
  <c r="H204" i="6" s="1"/>
  <c r="I204" i="6" s="1"/>
  <c r="C205" i="6" s="1"/>
  <c r="D205" i="6" l="1"/>
  <c r="F205" i="6" s="1"/>
  <c r="G205" i="6"/>
  <c r="H205" i="6" l="1"/>
  <c r="I205" i="6" s="1"/>
  <c r="C206" i="6" s="1"/>
  <c r="D206" i="6" s="1"/>
  <c r="F206" i="6" s="1"/>
  <c r="G206" i="6" l="1"/>
  <c r="H206" i="6" s="1"/>
  <c r="I206" i="6" s="1"/>
  <c r="C207" i="6" s="1"/>
  <c r="G207" i="6" l="1"/>
  <c r="D207" i="6"/>
  <c r="F207" i="6" s="1"/>
  <c r="H207" i="6" l="1"/>
  <c r="I207" i="6" s="1"/>
  <c r="C208" i="6" s="1"/>
  <c r="D208" i="6" s="1"/>
  <c r="F208" i="6" s="1"/>
  <c r="G208" i="6" l="1"/>
  <c r="H208" i="6" s="1"/>
  <c r="I208" i="6" s="1"/>
  <c r="C209" i="6" s="1"/>
  <c r="D209" i="6" s="1"/>
  <c r="F209" i="6" s="1"/>
  <c r="G209" i="6" l="1"/>
  <c r="H209" i="6" s="1"/>
  <c r="I209" i="6" s="1"/>
  <c r="C210" i="6" s="1"/>
  <c r="D210" i="6" l="1"/>
  <c r="F210" i="6" s="1"/>
  <c r="G210" i="6"/>
  <c r="H210" i="6" l="1"/>
  <c r="I210" i="6" s="1"/>
  <c r="C211" i="6" s="1"/>
  <c r="D211" i="6" s="1"/>
  <c r="F211" i="6" s="1"/>
  <c r="G211" i="6" l="1"/>
  <c r="H211" i="6" s="1"/>
  <c r="I211" i="6" s="1"/>
  <c r="C212" i="6" s="1"/>
  <c r="D212" i="6" s="1"/>
  <c r="F212" i="6" s="1"/>
  <c r="G212" i="6" l="1"/>
  <c r="H212" i="6" s="1"/>
  <c r="I212" i="6" s="1"/>
  <c r="C213" i="6" s="1"/>
  <c r="D213" i="6" l="1"/>
  <c r="F213" i="6" s="1"/>
  <c r="G213" i="6"/>
  <c r="H213" i="6" l="1"/>
  <c r="I213" i="6" s="1"/>
  <c r="C214" i="6" s="1"/>
  <c r="D214" i="6" s="1"/>
  <c r="F214" i="6" s="1"/>
  <c r="G214" i="6" l="1"/>
  <c r="H214" i="6" s="1"/>
  <c r="I214" i="6" s="1"/>
  <c r="C215" i="6" s="1"/>
  <c r="D215" i="6" s="1"/>
  <c r="F215" i="6" s="1"/>
  <c r="G215" i="6" l="1"/>
  <c r="H215" i="6" s="1"/>
  <c r="I215" i="6" s="1"/>
  <c r="C216" i="6" s="1"/>
  <c r="G216" i="6" s="1"/>
  <c r="D216" i="6" l="1"/>
  <c r="F216" i="6" s="1"/>
  <c r="H216" i="6" s="1"/>
  <c r="I216" i="6" s="1"/>
  <c r="C217" i="6" s="1"/>
  <c r="D217" i="6" s="1"/>
  <c r="F217" i="6" s="1"/>
  <c r="G217" i="6" l="1"/>
  <c r="H217" i="6" s="1"/>
  <c r="I217" i="6" s="1"/>
  <c r="C218" i="6" s="1"/>
  <c r="D218" i="6" s="1"/>
  <c r="F218" i="6" s="1"/>
  <c r="G218" i="6" l="1"/>
  <c r="H218" i="6" s="1"/>
  <c r="I218" i="6" s="1"/>
  <c r="C219" i="6" s="1"/>
  <c r="D219" i="6" l="1"/>
  <c r="F219" i="6" s="1"/>
  <c r="G219" i="6"/>
  <c r="H219" i="6" l="1"/>
  <c r="I219" i="6" s="1"/>
  <c r="C220" i="6" s="1"/>
  <c r="D220" i="6" s="1"/>
  <c r="F220" i="6" s="1"/>
  <c r="G220" i="6" l="1"/>
  <c r="H220" i="6" s="1"/>
  <c r="I220" i="6" s="1"/>
  <c r="C221" i="6" s="1"/>
  <c r="D221" i="6" s="1"/>
  <c r="F221" i="6" s="1"/>
  <c r="G221" i="6" l="1"/>
  <c r="H221" i="6" s="1"/>
  <c r="I221" i="6" s="1"/>
  <c r="C222" i="6" s="1"/>
  <c r="D222" i="6" l="1"/>
  <c r="F222" i="6" s="1"/>
  <c r="G222" i="6"/>
  <c r="H222" i="6" l="1"/>
  <c r="I222" i="6" s="1"/>
  <c r="C223" i="6" s="1"/>
  <c r="D223" i="6" s="1"/>
  <c r="F223" i="6" s="1"/>
  <c r="G223" i="6" l="1"/>
  <c r="H223" i="6" s="1"/>
  <c r="I223" i="6" s="1"/>
  <c r="C224" i="6" s="1"/>
  <c r="D224" i="6" l="1"/>
  <c r="F224" i="6" s="1"/>
  <c r="G224" i="6"/>
  <c r="H224" i="6" l="1"/>
  <c r="I224" i="6" s="1"/>
  <c r="C225" i="6" s="1"/>
  <c r="D225" i="6" s="1"/>
  <c r="F225" i="6" s="1"/>
  <c r="G225" i="6" l="1"/>
  <c r="H225" i="6" s="1"/>
  <c r="I225" i="6" s="1"/>
  <c r="C226" i="6" s="1"/>
  <c r="G226" i="6" s="1"/>
  <c r="D226" i="6" l="1"/>
  <c r="F226" i="6" s="1"/>
  <c r="H226" i="6" s="1"/>
  <c r="I226" i="6" s="1"/>
  <c r="C227" i="6" s="1"/>
  <c r="D227" i="6" s="1"/>
  <c r="F227" i="6" s="1"/>
  <c r="G227" i="6" l="1"/>
  <c r="H227" i="6" s="1"/>
  <c r="I227" i="6" s="1"/>
  <c r="C228" i="6" s="1"/>
  <c r="D228" i="6" s="1"/>
  <c r="F228" i="6" s="1"/>
  <c r="G228" i="6" l="1"/>
  <c r="H228" i="6" s="1"/>
  <c r="I228" i="6" s="1"/>
  <c r="C229" i="6" s="1"/>
  <c r="D229" i="6" l="1"/>
  <c r="F229" i="6" s="1"/>
  <c r="G229" i="6"/>
  <c r="H229" i="6" l="1"/>
  <c r="I229" i="6" s="1"/>
  <c r="C230" i="6" s="1"/>
  <c r="D230" i="6" s="1"/>
  <c r="F230" i="6" s="1"/>
  <c r="G230" i="6" l="1"/>
  <c r="H230" i="6" s="1"/>
  <c r="I230" i="6" s="1"/>
  <c r="C231" i="6" s="1"/>
  <c r="D231" i="6" s="1"/>
  <c r="F231" i="6" s="1"/>
  <c r="G231" i="6" l="1"/>
  <c r="H231" i="6" s="1"/>
  <c r="I231" i="6" s="1"/>
  <c r="C232" i="6" s="1"/>
  <c r="D232" i="6" s="1"/>
  <c r="F232" i="6" s="1"/>
  <c r="G232" i="6" l="1"/>
  <c r="H232" i="6" s="1"/>
  <c r="I232" i="6" s="1"/>
  <c r="C233" i="6" s="1"/>
  <c r="D233" i="6" s="1"/>
  <c r="F233" i="6" s="1"/>
  <c r="G233" i="6" l="1"/>
  <c r="H233" i="6" s="1"/>
  <c r="I233" i="6" s="1"/>
  <c r="C234" i="6" s="1"/>
  <c r="G234" i="6" l="1"/>
  <c r="D234" i="6"/>
  <c r="F234" i="6" s="1"/>
  <c r="H234" i="6" l="1"/>
  <c r="I234" i="6" s="1"/>
  <c r="C235" i="6" s="1"/>
  <c r="D235" i="6" l="1"/>
  <c r="F235" i="6" s="1"/>
  <c r="G235" i="6"/>
  <c r="H235" i="6" l="1"/>
  <c r="I235" i="6" s="1"/>
  <c r="C236" i="6" s="1"/>
  <c r="G236" i="6" l="1"/>
  <c r="D236" i="6"/>
  <c r="F236" i="6" s="1"/>
  <c r="H236" i="6" l="1"/>
  <c r="I236" i="6" s="1"/>
  <c r="C237" i="6" s="1"/>
  <c r="D237" i="6" l="1"/>
  <c r="F237" i="6" s="1"/>
  <c r="G237" i="6"/>
  <c r="H237" i="6" l="1"/>
  <c r="I237" i="6" s="1"/>
  <c r="C238" i="6" s="1"/>
  <c r="D238" i="6" l="1"/>
  <c r="F238" i="6" s="1"/>
  <c r="G238" i="6"/>
  <c r="H238" i="6" l="1"/>
  <c r="I238" i="6" s="1"/>
  <c r="C239" i="6" s="1"/>
  <c r="G239" i="6" s="1"/>
  <c r="D239" i="6" l="1"/>
  <c r="F239" i="6" s="1"/>
  <c r="H239" i="6" s="1"/>
  <c r="I239" i="6" s="1"/>
  <c r="C240" i="6" s="1"/>
  <c r="G240" i="6" l="1"/>
  <c r="D240" i="6"/>
  <c r="F240" i="6" s="1"/>
  <c r="H240" i="6" l="1"/>
  <c r="I240" i="6" s="1"/>
  <c r="C241" i="6" s="1"/>
  <c r="D241" i="6" l="1"/>
  <c r="F241" i="6" s="1"/>
  <c r="G241" i="6"/>
  <c r="H241" i="6" l="1"/>
  <c r="I241" i="6" s="1"/>
  <c r="C242" i="6" s="1"/>
  <c r="G242" i="6" l="1"/>
  <c r="D242" i="6"/>
  <c r="F242" i="6" s="1"/>
  <c r="H242" i="6" l="1"/>
  <c r="I242" i="6" s="1"/>
  <c r="C243" i="6" s="1"/>
  <c r="G243" i="6" s="1"/>
  <c r="D243" i="6" l="1"/>
  <c r="F243" i="6" s="1"/>
  <c r="H243" i="6" s="1"/>
  <c r="I243" i="6" s="1"/>
  <c r="C244" i="6" s="1"/>
  <c r="D244" i="6" l="1"/>
  <c r="F244" i="6" s="1"/>
  <c r="G244" i="6"/>
  <c r="H244" i="6" l="1"/>
  <c r="I244" i="6" l="1"/>
  <c r="C245" i="6" s="1"/>
  <c r="G245" i="6" l="1"/>
  <c r="D245" i="6"/>
  <c r="F245" i="6" s="1"/>
  <c r="H245" i="6" s="1"/>
  <c r="I245" i="6" l="1"/>
  <c r="C246" i="6" s="1"/>
  <c r="D246" i="6" l="1"/>
  <c r="F246" i="6" s="1"/>
  <c r="G246" i="6"/>
  <c r="H246" i="6" l="1"/>
  <c r="I246" i="6" l="1"/>
  <c r="C247" i="6" s="1"/>
  <c r="D247" i="6" l="1"/>
  <c r="F247" i="6" s="1"/>
  <c r="G247" i="6"/>
  <c r="H247" i="6" l="1"/>
  <c r="I247" i="6" l="1"/>
  <c r="C248" i="6" s="1"/>
  <c r="D248" i="6" l="1"/>
  <c r="F248" i="6" s="1"/>
  <c r="G248" i="6"/>
  <c r="H248" i="6" l="1"/>
  <c r="I248" i="6" s="1"/>
  <c r="C249" i="6" s="1"/>
  <c r="D249" i="6" l="1"/>
  <c r="F249" i="6" s="1"/>
  <c r="G249" i="6"/>
  <c r="H249" i="6" l="1"/>
  <c r="I249" i="6" l="1"/>
  <c r="I250" i="6" s="1"/>
  <c r="H25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y Medición</author>
  </authors>
  <commentList>
    <comment ref="B2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En caso de aplicar.
</t>
        </r>
      </text>
    </comment>
    <comment ref="B3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En caso de aplicar.
</t>
        </r>
      </text>
    </comment>
    <comment ref="B5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En caso de aplicar.
</t>
        </r>
      </text>
    </comment>
    <comment ref="B6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En caso de aplicar.
</t>
        </r>
      </text>
    </comment>
    <comment ref="B7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Giro de la Empresa.</t>
        </r>
      </text>
    </comment>
    <comment ref="AE7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Actividad a realizar dentro de las instalaciones</t>
        </r>
      </text>
    </comment>
  </commentList>
</comments>
</file>

<file path=xl/sharedStrings.xml><?xml version="1.0" encoding="utf-8"?>
<sst xmlns="http://schemas.openxmlformats.org/spreadsheetml/2006/main" count="409" uniqueCount="251">
  <si>
    <t>RESUMEN GENERAL</t>
  </si>
  <si>
    <t>m2</t>
  </si>
  <si>
    <t>MONTO</t>
  </si>
  <si>
    <t>ENGANCHE %</t>
  </si>
  <si>
    <t>FINANCIAR</t>
  </si>
  <si>
    <t>AÑOS</t>
  </si>
  <si>
    <t>MESES</t>
  </si>
  <si>
    <t>PRIMEROS 4 AÑOS</t>
  </si>
  <si>
    <t>MESES S/INT</t>
  </si>
  <si>
    <t>Interés:</t>
  </si>
  <si>
    <t>Mensualidad</t>
  </si>
  <si>
    <t>PERIODO</t>
  </si>
  <si>
    <t>FECHA</t>
  </si>
  <si>
    <t>SALDO INICIAL</t>
  </si>
  <si>
    <t>MENSUALUDAD</t>
  </si>
  <si>
    <t>ABONOS</t>
  </si>
  <si>
    <t>PAGADO</t>
  </si>
  <si>
    <t>INTERÉS</t>
  </si>
  <si>
    <t>ABONO A CAPITAL</t>
  </si>
  <si>
    <t>SALDO FINAL</t>
  </si>
  <si>
    <t>POR PAGAR</t>
  </si>
  <si>
    <t>MESES RESTANTES</t>
  </si>
  <si>
    <t>CRÉDITO A 10 AÑOS</t>
  </si>
  <si>
    <t>MESES C/INT</t>
  </si>
  <si>
    <t>Mensualidad:</t>
  </si>
  <si>
    <t>MENSUALIDAD</t>
  </si>
  <si>
    <t xml:space="preserve">MESES C/INT </t>
  </si>
  <si>
    <t xml:space="preserve">Descuento: </t>
  </si>
  <si>
    <t>Documentación Requerida:</t>
  </si>
  <si>
    <t>*Comprobante de Domicilio.</t>
  </si>
  <si>
    <t>*Acta de matrimonio.</t>
  </si>
  <si>
    <t>*INE (Ambos).</t>
  </si>
  <si>
    <t>*RFC (Ambos).</t>
  </si>
  <si>
    <t>*CURP (Ambos).</t>
  </si>
  <si>
    <t>*Acta de Nacimiento (Ambos).</t>
  </si>
  <si>
    <t>Física.</t>
  </si>
  <si>
    <t>Moral:</t>
  </si>
  <si>
    <t>*Acta Constitutiva.</t>
  </si>
  <si>
    <t>*INE Represante Legal.</t>
  </si>
  <si>
    <t>*RFC (Empresa y Representante Legal).</t>
  </si>
  <si>
    <t>*Comprobante de Domicilio (Empresa y Representante legal).</t>
  </si>
  <si>
    <t>Referencia:</t>
  </si>
  <si>
    <t>Precio de Lista:</t>
  </si>
  <si>
    <t>INFORMACION  DE REGISTRO</t>
  </si>
  <si>
    <t>CONDOMINIO:</t>
  </si>
  <si>
    <t>CRÉDITO</t>
  </si>
  <si>
    <t>M2:</t>
  </si>
  <si>
    <t>$ FINANCIAR:</t>
  </si>
  <si>
    <t>CLÚSTER:</t>
  </si>
  <si>
    <t>P.U  DESCUENTO:</t>
  </si>
  <si>
    <t>TEMPORALIDAD:</t>
  </si>
  <si>
    <r>
      <t xml:space="preserve">TASA DE INTERÉS </t>
    </r>
    <r>
      <rPr>
        <sz val="9"/>
        <color rgb="FF000000"/>
        <rFont val="Century Gothic"/>
        <family val="2"/>
      </rPr>
      <t xml:space="preserve"> (10 años)</t>
    </r>
    <r>
      <rPr>
        <sz val="11"/>
        <color theme="1"/>
        <rFont val="Century Gothic"/>
        <family val="2"/>
        <scheme val="minor"/>
      </rPr>
      <t xml:space="preserve">:  </t>
    </r>
  </si>
  <si>
    <t>LOTE:</t>
  </si>
  <si>
    <r>
      <t>ENGANCHE</t>
    </r>
    <r>
      <rPr>
        <b/>
        <sz val="9"/>
        <color theme="1"/>
        <rFont val="Century Gothic"/>
        <family val="2"/>
        <scheme val="minor"/>
      </rPr>
      <t>(10%)</t>
    </r>
    <r>
      <rPr>
        <b/>
        <sz val="11"/>
        <color theme="1"/>
        <rFont val="Century Gothic"/>
        <family val="2"/>
        <scheme val="minor"/>
      </rPr>
      <t xml:space="preserve">: </t>
    </r>
  </si>
  <si>
    <r>
      <t xml:space="preserve">TASA DE INTERÉS </t>
    </r>
    <r>
      <rPr>
        <sz val="9"/>
        <color rgb="FF000000"/>
        <rFont val="Century Gothic"/>
        <family val="2"/>
      </rPr>
      <t xml:space="preserve"> (15 años)</t>
    </r>
    <r>
      <rPr>
        <sz val="11"/>
        <color theme="1"/>
        <rFont val="Century Gothic"/>
        <family val="2"/>
        <scheme val="minor"/>
      </rPr>
      <t xml:space="preserve">:  </t>
    </r>
  </si>
  <si>
    <t>Promción Pronto Pago  Desc. 10 % Enganche</t>
  </si>
  <si>
    <t xml:space="preserve">ENGANCHE REAL: </t>
  </si>
  <si>
    <t>MENSUALIDAD SIN INTERÉS (48 MESES):</t>
  </si>
  <si>
    <t>MENSUALIDAD CON INTERÉS (72 MESES):</t>
  </si>
  <si>
    <t>MENSUALIDAD CON INTERÉS (60 MESES):</t>
  </si>
  <si>
    <t>NOMBRE:</t>
  </si>
  <si>
    <t>CEL:</t>
  </si>
  <si>
    <t>DOMILICIO:</t>
  </si>
  <si>
    <t>VIVES EN CASA:</t>
  </si>
  <si>
    <t>CORREO:</t>
  </si>
  <si>
    <t>ESTADO CIVIL:</t>
  </si>
  <si>
    <t>NOMBRE DEL CONYUGE:</t>
  </si>
  <si>
    <t>LUGAR DE NACIMIENTO:</t>
  </si>
  <si>
    <t>NACIONALIDAD:</t>
  </si>
  <si>
    <t>ESTUDIOS:</t>
  </si>
  <si>
    <t>EMPRESA LABORA:</t>
  </si>
  <si>
    <t>ANTIGÜEDAD:</t>
  </si>
  <si>
    <t>TELÉFONO:</t>
  </si>
  <si>
    <t>PUESTO:</t>
  </si>
  <si>
    <t>DOCUMENTACIÓN A ENTREGAR</t>
  </si>
  <si>
    <t>ESCRITURACIÓN</t>
  </si>
  <si>
    <t>PERSONA FÍSICA</t>
  </si>
  <si>
    <t>PERSONA MORAL</t>
  </si>
  <si>
    <t>Comprobante de Domicilio.</t>
  </si>
  <si>
    <t>Acta Constitutiva.</t>
  </si>
  <si>
    <t>Acta de Nacimiento</t>
  </si>
  <si>
    <t>INE Representante Legal.</t>
  </si>
  <si>
    <t>Identificación Oficial</t>
  </si>
  <si>
    <t>Constancia de situación fiscal (RFC).</t>
  </si>
  <si>
    <t>Curp</t>
  </si>
  <si>
    <t>Asesor:</t>
  </si>
  <si>
    <t>ACUERDOS GENERALES</t>
  </si>
  <si>
    <t>REFERENCIA 1</t>
  </si>
  <si>
    <t>NOMBRE</t>
  </si>
  <si>
    <t>CORREO ELECTRONICO</t>
  </si>
  <si>
    <t>TELEFONO</t>
  </si>
  <si>
    <t>REFERENCIA 2</t>
  </si>
  <si>
    <t>Vo Bo. Gerente:</t>
  </si>
  <si>
    <t>Vo Bo. Directora Hábitta</t>
  </si>
  <si>
    <t>Vo Bo. Jurídico</t>
  </si>
  <si>
    <t>Total a Pagar:</t>
  </si>
  <si>
    <t>TOTAL A PAGAR:</t>
  </si>
  <si>
    <t>PRECIOS</t>
  </si>
  <si>
    <t>PÁRAMO 1</t>
  </si>
  <si>
    <t>xxxxxxxxxxxxxxxxx</t>
  </si>
  <si>
    <t>Vigencia al</t>
  </si>
  <si>
    <t>ESTEPA 1</t>
  </si>
  <si>
    <t>ESTEPA 2</t>
  </si>
  <si>
    <t>ESTEPA 3</t>
  </si>
  <si>
    <t>DESIERTO 1</t>
  </si>
  <si>
    <t>DESIERTO 2</t>
  </si>
  <si>
    <t>DESIERTO 3</t>
  </si>
  <si>
    <t>DESIERTO 4</t>
  </si>
  <si>
    <t>TAIGA 1</t>
  </si>
  <si>
    <t>TAIGA 2</t>
  </si>
  <si>
    <t>TAIGA 3</t>
  </si>
  <si>
    <t>PÁRAMO 2</t>
  </si>
  <si>
    <t>PÁRAMO 3</t>
  </si>
  <si>
    <t>SELVA 1</t>
  </si>
  <si>
    <t>SELVA 2</t>
  </si>
  <si>
    <t>SELVA 3</t>
  </si>
  <si>
    <t>SELVA 4</t>
  </si>
  <si>
    <t>RFC Empresa y Representante Legal</t>
  </si>
  <si>
    <t>SI</t>
  </si>
  <si>
    <t>NO</t>
  </si>
  <si>
    <t>FISICA</t>
  </si>
  <si>
    <t>MORAL</t>
  </si>
  <si>
    <t>CONPROPIEDAD</t>
  </si>
  <si>
    <t>OTRA ESPECIFIQUE</t>
  </si>
  <si>
    <t>Comprobante de Domicilio</t>
  </si>
  <si>
    <t>Precios Sujetos a cambio  sin previo  aviso.</t>
  </si>
  <si>
    <t>Acta de Matrimonio (En caso de Aplicar).</t>
  </si>
  <si>
    <t>Adjuntar en ambos casos</t>
  </si>
  <si>
    <t>Simulador y hoja de Registro</t>
  </si>
  <si>
    <t>Evidencia de Envio de Proceso de Facturación y Pago.</t>
  </si>
  <si>
    <t xml:space="preserve">Evidencia de Envio de Reglamento de Administración y Contrucción. </t>
  </si>
  <si>
    <t>Anexar Check-lis Firmado por cliente (Despues de firmar contrato anexar).</t>
  </si>
  <si>
    <t>En caso de ser por bienes mancomunados solo anexar identificación oficial de conyugue.</t>
  </si>
  <si>
    <t>En caso de ser por conpropiedad anexar documentación de ambos.</t>
  </si>
  <si>
    <t>FECHA DE NACIMIENTO:</t>
  </si>
  <si>
    <t>RFC:</t>
  </si>
  <si>
    <t>GIRO:</t>
  </si>
  <si>
    <t>ACTIVIDAD:</t>
  </si>
  <si>
    <t>ACTA CONSTITUTIVA</t>
  </si>
  <si>
    <t>FOLIO:</t>
  </si>
  <si>
    <t>CIUDAD DE REGISTRO:</t>
  </si>
  <si>
    <t>FECHA DE REGISTRO:</t>
  </si>
  <si>
    <t>OBJETO SOCIAL:</t>
  </si>
  <si>
    <t xml:space="preserve">No NOTARIA: </t>
  </si>
  <si>
    <t>FOLIO MERCANTIL:</t>
  </si>
  <si>
    <t>NOMBRE NOTARIO:</t>
  </si>
  <si>
    <t>DATOS DE PERSONA FISICA</t>
  </si>
  <si>
    <t>DATOS DE PERSONA MORAL</t>
  </si>
  <si>
    <t>LUGAR DE NACIMIENTO (EL):</t>
  </si>
  <si>
    <t>LUGAR DE NACIMIENTO (ELLA):</t>
  </si>
  <si>
    <t>LICENCIATURA</t>
  </si>
  <si>
    <t>ESPECIFICAR:</t>
  </si>
  <si>
    <t>XXXXXXXXXXXXXXXXXXXXXXXXXXXX</t>
  </si>
  <si>
    <t>XXXXXXXXXXXXXXXXXXXXXXXXXX</t>
  </si>
  <si>
    <t>XXXXXXXXXXXXXXXXXXXXXX</t>
  </si>
  <si>
    <t>XXXXXXXXXXXXXXXXXXXXXXXX</t>
  </si>
  <si>
    <t>PROPIA</t>
  </si>
  <si>
    <t>USO DE PROPIEDAD:</t>
  </si>
  <si>
    <t>PATRIMONIO</t>
  </si>
  <si>
    <t>XXXXXXXXXXXXXXXXX</t>
  </si>
  <si>
    <t>FECHA DE PAGO DE MENSUALIDAD:</t>
  </si>
  <si>
    <t>NOMBRE DEL CONTACTO:</t>
  </si>
  <si>
    <t>NIVEL DE ESTUDIOS:</t>
  </si>
  <si>
    <t>Recibo y Voucher, de Apartado y/o enganche.</t>
  </si>
  <si>
    <t>ADMINISTRACIÓN</t>
  </si>
  <si>
    <t>HOJA DE REGISTRO (VENTA LOTE).</t>
  </si>
  <si>
    <t>TIPO CONTRATO:</t>
  </si>
  <si>
    <t>DATOS COPROPIEDAD</t>
  </si>
  <si>
    <t>NOMBRE 1:</t>
  </si>
  <si>
    <t>NOMBRE 2:</t>
  </si>
  <si>
    <t>BOSQUE 1</t>
  </si>
  <si>
    <t>BOSQUE 2</t>
  </si>
  <si>
    <t>BOSQUE 3</t>
  </si>
  <si>
    <t>PLUSVALÍA:</t>
  </si>
  <si>
    <t>FECHA DE APARTADO:</t>
  </si>
  <si>
    <t>BOSQUE 4</t>
  </si>
  <si>
    <t>Lomas Etapa 1y 2 Premium</t>
  </si>
  <si>
    <t>Lomas Etapa 1y 2 Estándar</t>
  </si>
  <si>
    <t>PARQUE</t>
  </si>
  <si>
    <t>LOMAS DE PORTTO BLANCO CIMATARIO</t>
  </si>
  <si>
    <t>PORTTO BLANCO CIMATARIO</t>
  </si>
  <si>
    <t>LOGO</t>
  </si>
  <si>
    <t>CONDOMINIO</t>
  </si>
  <si>
    <t>Importe de Operación:</t>
  </si>
  <si>
    <t xml:space="preserve">Enganche: </t>
  </si>
  <si>
    <t>Descuento en el Enganche:</t>
  </si>
  <si>
    <t>Enganche extra</t>
  </si>
  <si>
    <t>Enganche a Pagar:</t>
  </si>
  <si>
    <t>Importe a Financiar:</t>
  </si>
  <si>
    <t>IMPORTES:</t>
  </si>
  <si>
    <t>SUBTOTAL</t>
  </si>
  <si>
    <t>TIPO:</t>
  </si>
  <si>
    <t>P.U LISTA:</t>
  </si>
  <si>
    <t>P.U DESCUENTO:</t>
  </si>
  <si>
    <t>MENSUALIDADES:</t>
  </si>
  <si>
    <t>FINANCIAMIENTO:</t>
  </si>
  <si>
    <t>NOMBRE CLIENTE:</t>
  </si>
  <si>
    <t>LOTE</t>
  </si>
  <si>
    <t>LOMAS ETAPA 1</t>
  </si>
  <si>
    <t>LOMAS ETAPA 2</t>
  </si>
  <si>
    <t>LAGO 1</t>
  </si>
  <si>
    <t>Desarrollo:</t>
  </si>
  <si>
    <t>PLAN SHERPA</t>
  </si>
  <si>
    <t>Plan Sherpa</t>
  </si>
  <si>
    <t>Asesor Opción 1</t>
  </si>
  <si>
    <t>Asesor Opción 2</t>
  </si>
  <si>
    <t>Asesor Opción 3</t>
  </si>
  <si>
    <t>Gerente Opción 1</t>
  </si>
  <si>
    <t>Gerente Opción 2</t>
  </si>
  <si>
    <t>Gerente Opción 3</t>
  </si>
  <si>
    <t>DVR Opción 1</t>
  </si>
  <si>
    <t>DVR Opción 2</t>
  </si>
  <si>
    <t>DVR Opción 3</t>
  </si>
  <si>
    <t>DVN Opción 1</t>
  </si>
  <si>
    <t>DVN Opción 2</t>
  </si>
  <si>
    <t>DVN Opción 3</t>
  </si>
  <si>
    <t>TIPO CONTRATO</t>
  </si>
  <si>
    <t xml:space="preserve">FISICA </t>
  </si>
  <si>
    <t xml:space="preserve">COPROPIEDAD </t>
  </si>
  <si>
    <t>ESTADO CIVIL</t>
  </si>
  <si>
    <t>CASAD@</t>
  </si>
  <si>
    <t>SOLTER@</t>
  </si>
  <si>
    <t>DIVORCIAD@</t>
  </si>
  <si>
    <t>VIUD@</t>
  </si>
  <si>
    <t xml:space="preserve">ESTUDIOS </t>
  </si>
  <si>
    <t>DOCTORADO</t>
  </si>
  <si>
    <t>MAESTRIA</t>
  </si>
  <si>
    <t>INGENIERÍA</t>
  </si>
  <si>
    <t>TSU</t>
  </si>
  <si>
    <t>PREPARATORIA</t>
  </si>
  <si>
    <t xml:space="preserve">SECUNDARIA </t>
  </si>
  <si>
    <t xml:space="preserve">PRIMARIA </t>
  </si>
  <si>
    <t>OTRO</t>
  </si>
  <si>
    <t xml:space="preserve">VIVE EN CASA </t>
  </si>
  <si>
    <t xml:space="preserve">RENTA </t>
  </si>
  <si>
    <t xml:space="preserve">FAMILIAR </t>
  </si>
  <si>
    <t xml:space="preserve">USO DE PROPIEDAD </t>
  </si>
  <si>
    <t xml:space="preserve">PATRIMONIO </t>
  </si>
  <si>
    <t>INVERSIÓN</t>
  </si>
  <si>
    <t>Anteriores y Lago Premium</t>
  </si>
  <si>
    <t>Anteriores y Lago Estándar</t>
  </si>
  <si>
    <t>Lomas Etapa 3 Premium</t>
  </si>
  <si>
    <t>Lomas Etapa 3 Estándar</t>
  </si>
  <si>
    <t>LOMAS ETAPA 3</t>
  </si>
  <si>
    <t>Promoción al 31 de mayo</t>
  </si>
  <si>
    <t>xxxxxxx</t>
  </si>
  <si>
    <t>APLICA BIENES:</t>
  </si>
  <si>
    <t>XXXXXXX</t>
  </si>
  <si>
    <t>CURP:</t>
  </si>
  <si>
    <t>MANGLAR 1</t>
  </si>
  <si>
    <t xml:space="preserve">MANGLAR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</si>
</sst>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\ &quot;Meses&quot;"/>
    <numFmt numFmtId="166" formatCode="0.0\ &quot;Años&quot;"/>
    <numFmt numFmtId="167" formatCode="0\ &quot;Meses&quot;"/>
    <numFmt numFmtId="168" formatCode="0.0%"/>
    <numFmt numFmtId="169" formatCode="0\ &quot;Años&quot;"/>
    <numFmt numFmtId="170" formatCode="&quot;$&quot;#,##0.000;[Red]\-&quot;$&quot;#,##0.000"/>
    <numFmt numFmtId="171" formatCode="0.00\ &quot;m2&quot;"/>
    <numFmt numFmtId="172" formatCode="[$-F800]dddd\,\ mmmm\ dd\,\ yyyy"/>
    <numFmt numFmtId="173" formatCode="&quot;Enganche mayor a &quot;\ 0.0%"/>
    <numFmt numFmtId="174" formatCode="&quot;Mensualidad  &quot;0&quot;  a&quot;"/>
    <numFmt numFmtId="175" formatCode="0\ &quot;a&quot;"/>
  </numFmts>
  <fonts count="5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Century Gothic"/>
      <family val="2"/>
      <scheme val="minor"/>
    </font>
    <font>
      <b/>
      <sz val="14"/>
      <color theme="0"/>
      <name val="Calibri"/>
      <family val="2"/>
    </font>
    <font>
      <b/>
      <i/>
      <sz val="11"/>
      <color theme="1"/>
      <name val="Century Gothic"/>
      <family val="2"/>
      <scheme val="minor"/>
    </font>
    <font>
      <b/>
      <i/>
      <u/>
      <sz val="11"/>
      <color theme="1"/>
      <name val="Century Gothic"/>
      <family val="2"/>
      <scheme val="minor"/>
    </font>
    <font>
      <i/>
      <sz val="9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Century Gothic"/>
      <family val="2"/>
    </font>
    <font>
      <b/>
      <sz val="11"/>
      <color rgb="FF000000"/>
      <name val="Arial"/>
      <family val="2"/>
    </font>
    <font>
      <b/>
      <u/>
      <sz val="2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20"/>
      <color theme="0"/>
      <name val="Century Gothic"/>
      <family val="2"/>
      <scheme val="minor"/>
    </font>
    <font>
      <b/>
      <sz val="14"/>
      <color theme="4" tint="-0.499984740745262"/>
      <name val="Century Gothic"/>
      <family val="2"/>
      <scheme val="minor"/>
    </font>
    <font>
      <u/>
      <sz val="12"/>
      <color theme="1"/>
      <name val="Century Gothic"/>
      <family val="2"/>
      <scheme val="minor"/>
    </font>
    <font>
      <b/>
      <u/>
      <sz val="12"/>
      <color theme="1"/>
      <name val="Century Gothic"/>
      <family val="2"/>
      <scheme val="minor"/>
    </font>
    <font>
      <sz val="11"/>
      <color theme="4" tint="-0.499984740745262"/>
      <name val="Century Gothic"/>
      <family val="2"/>
      <scheme val="minor"/>
    </font>
    <font>
      <sz val="9"/>
      <color rgb="FF000000"/>
      <name val="Century Gothic"/>
      <family val="2"/>
    </font>
    <font>
      <b/>
      <sz val="9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8"/>
      <color theme="1"/>
      <name val="Century Gothic"/>
      <family val="2"/>
      <scheme val="minor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i/>
      <sz val="9"/>
      <color theme="1"/>
      <name val="Century Gothic"/>
      <family val="2"/>
    </font>
    <font>
      <b/>
      <i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entury Gothic"/>
      <family val="2"/>
      <scheme val="minor"/>
    </font>
    <font>
      <b/>
      <u/>
      <sz val="14"/>
      <color rgb="FF000000"/>
      <name val="Calibri"/>
      <family val="2"/>
    </font>
    <font>
      <b/>
      <sz val="16"/>
      <color theme="0"/>
      <name val="Century Gothic"/>
      <family val="2"/>
      <scheme val="minor"/>
    </font>
    <font>
      <b/>
      <u/>
      <sz val="14"/>
      <color theme="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Century Gothic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entury Gothic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8" fillId="0" borderId="0" applyNumberFormat="0" applyFill="0" applyBorder="0" applyAlignment="0" applyProtection="0"/>
  </cellStyleXfs>
  <cellXfs count="284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3" fillId="0" borderId="0" xfId="0" applyFont="1"/>
    <xf numFmtId="0" fontId="0" fillId="2" borderId="0" xfId="0" applyFill="1"/>
    <xf numFmtId="8" fontId="0" fillId="0" borderId="0" xfId="0" applyNumberFormat="1"/>
    <xf numFmtId="0" fontId="0" fillId="2" borderId="0" xfId="0" applyFill="1" applyAlignment="1">
      <alignment horizontal="center" vertical="top"/>
    </xf>
    <xf numFmtId="0" fontId="5" fillId="2" borderId="0" xfId="0" applyFont="1" applyFill="1" applyAlignment="1">
      <alignment horizontal="right"/>
    </xf>
    <xf numFmtId="9" fontId="2" fillId="2" borderId="0" xfId="0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left"/>
    </xf>
    <xf numFmtId="164" fontId="4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8" fontId="4" fillId="2" borderId="0" xfId="0" applyNumberFormat="1" applyFont="1" applyFill="1" applyBorder="1"/>
    <xf numFmtId="0" fontId="3" fillId="0" borderId="0" xfId="0" applyFont="1" applyBorder="1" applyAlignment="1">
      <alignment horizontal="right"/>
    </xf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6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9" fontId="2" fillId="3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65" fontId="10" fillId="2" borderId="0" xfId="0" applyNumberFormat="1" applyFont="1" applyFill="1" applyBorder="1" applyAlignment="1">
      <alignment horizontal="center"/>
    </xf>
    <xf numFmtId="10" fontId="4" fillId="3" borderId="0" xfId="0" applyNumberFormat="1" applyFont="1" applyFill="1" applyBorder="1" applyAlignment="1">
      <alignment horizontal="center"/>
    </xf>
    <xf numFmtId="8" fontId="3" fillId="4" borderId="0" xfId="0" applyNumberFormat="1" applyFont="1" applyFill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5" fontId="0" fillId="2" borderId="11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70" fontId="0" fillId="2" borderId="11" xfId="0" applyNumberFormat="1" applyFont="1" applyFill="1" applyBorder="1" applyAlignment="1">
      <alignment horizontal="center"/>
    </xf>
    <xf numFmtId="8" fontId="0" fillId="2" borderId="11" xfId="0" applyNumberFormat="1" applyFont="1" applyFill="1" applyBorder="1" applyAlignment="1">
      <alignment horizontal="center"/>
    </xf>
    <xf numFmtId="15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8" fontId="0" fillId="2" borderId="0" xfId="0" applyNumberFormat="1" applyFont="1" applyFill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8" fontId="2" fillId="3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15" fontId="10" fillId="2" borderId="11" xfId="0" applyNumberFormat="1" applyFont="1" applyFill="1" applyBorder="1" applyAlignment="1">
      <alignment horizontal="center"/>
    </xf>
    <xf numFmtId="164" fontId="10" fillId="2" borderId="11" xfId="0" applyNumberFormat="1" applyFont="1" applyFill="1" applyBorder="1" applyAlignment="1">
      <alignment horizontal="center"/>
    </xf>
    <xf numFmtId="8" fontId="10" fillId="2" borderId="11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5" fontId="10" fillId="2" borderId="1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8" fontId="0" fillId="2" borderId="12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8" fontId="3" fillId="4" borderId="0" xfId="0" applyNumberFormat="1" applyFont="1" applyFill="1" applyBorder="1" applyAlignment="1">
      <alignment horizontal="center"/>
    </xf>
    <xf numFmtId="8" fontId="0" fillId="0" borderId="0" xfId="0" applyNumberFormat="1" applyBorder="1"/>
    <xf numFmtId="0" fontId="2" fillId="3" borderId="13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/>
    <xf numFmtId="8" fontId="2" fillId="3" borderId="13" xfId="0" applyNumberFormat="1" applyFont="1" applyFill="1" applyBorder="1"/>
    <xf numFmtId="8" fontId="2" fillId="3" borderId="11" xfId="0" applyNumberFormat="1" applyFont="1" applyFill="1" applyBorder="1" applyAlignment="1">
      <alignment horizontal="center"/>
    </xf>
    <xf numFmtId="0" fontId="8" fillId="2" borderId="0" xfId="0" applyFont="1" applyFill="1" applyAlignment="1" applyProtection="1">
      <alignment horizontal="center"/>
      <protection locked="0"/>
    </xf>
    <xf numFmtId="164" fontId="0" fillId="2" borderId="0" xfId="0" applyNumberFormat="1" applyFill="1" applyAlignment="1">
      <alignment horizontal="center" vertical="top"/>
    </xf>
    <xf numFmtId="0" fontId="0" fillId="2" borderId="0" xfId="0" applyFill="1" applyBorder="1" applyAlignment="1">
      <alignment horizontal="right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8" fillId="2" borderId="0" xfId="0" applyFont="1" applyFill="1" applyAlignment="1">
      <alignment horizontal="center"/>
    </xf>
    <xf numFmtId="8" fontId="0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 applyAlignment="1">
      <alignment horizontal="left"/>
    </xf>
    <xf numFmtId="0" fontId="17" fillId="2" borderId="0" xfId="0" applyFont="1" applyFill="1"/>
    <xf numFmtId="164" fontId="0" fillId="2" borderId="0" xfId="0" applyNumberFormat="1" applyFill="1"/>
    <xf numFmtId="0" fontId="3" fillId="2" borderId="15" xfId="0" applyFont="1" applyFill="1" applyBorder="1" applyAlignment="1">
      <alignment horizontal="right"/>
    </xf>
    <xf numFmtId="0" fontId="19" fillId="2" borderId="16" xfId="0" applyFont="1" applyFill="1" applyBorder="1" applyAlignment="1">
      <alignment horizontal="right" vertical="center"/>
    </xf>
    <xf numFmtId="0" fontId="21" fillId="2" borderId="0" xfId="0" applyFont="1" applyFill="1" applyBorder="1" applyAlignment="1" applyProtection="1">
      <alignment horizontal="right"/>
      <protection locked="0"/>
    </xf>
    <xf numFmtId="164" fontId="0" fillId="2" borderId="0" xfId="0" applyNumberFormat="1" applyFill="1" applyAlignment="1">
      <alignment horizontal="center"/>
    </xf>
    <xf numFmtId="0" fontId="20" fillId="2" borderId="0" xfId="0" applyFont="1" applyFill="1" applyBorder="1" applyAlignment="1">
      <alignment vertical="top"/>
    </xf>
    <xf numFmtId="8" fontId="0" fillId="2" borderId="11" xfId="0" applyNumberFormat="1" applyFont="1" applyFill="1" applyBorder="1" applyAlignment="1" applyProtection="1">
      <alignment horizontal="center"/>
      <protection locked="0"/>
    </xf>
    <xf numFmtId="8" fontId="0" fillId="2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8" fontId="10" fillId="2" borderId="11" xfId="0" applyNumberFormat="1" applyFont="1" applyFill="1" applyBorder="1" applyAlignment="1" applyProtection="1">
      <alignment horizontal="center"/>
      <protection locked="0"/>
    </xf>
    <xf numFmtId="8" fontId="0" fillId="2" borderId="12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8" fontId="0" fillId="0" borderId="0" xfId="0" applyNumberFormat="1" applyBorder="1" applyProtection="1">
      <protection locked="0"/>
    </xf>
    <xf numFmtId="0" fontId="2" fillId="3" borderId="13" xfId="0" applyFont="1" applyFill="1" applyBorder="1" applyProtection="1">
      <protection locked="0"/>
    </xf>
    <xf numFmtId="0" fontId="3" fillId="2" borderId="1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 vertical="top"/>
    </xf>
    <xf numFmtId="0" fontId="24" fillId="2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right" vertical="center"/>
    </xf>
    <xf numFmtId="0" fontId="25" fillId="2" borderId="0" xfId="0" applyFont="1" applyFill="1" applyBorder="1" applyAlignment="1">
      <alignment vertical="center"/>
    </xf>
    <xf numFmtId="0" fontId="28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166" fontId="27" fillId="2" borderId="2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right" vertical="center"/>
    </xf>
    <xf numFmtId="168" fontId="27" fillId="2" borderId="20" xfId="1" applyNumberFormat="1" applyFont="1" applyFill="1" applyBorder="1" applyAlignment="1">
      <alignment horizontal="center" vertical="center"/>
    </xf>
    <xf numFmtId="10" fontId="27" fillId="2" borderId="20" xfId="1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8" fontId="27" fillId="2" borderId="23" xfId="0" applyNumberFormat="1" applyFont="1" applyFill="1" applyBorder="1" applyAlignment="1">
      <alignment horizontal="center" vertical="center"/>
    </xf>
    <xf numFmtId="8" fontId="27" fillId="2" borderId="24" xfId="0" applyNumberFormat="1" applyFont="1" applyFill="1" applyBorder="1" applyAlignment="1">
      <alignment horizontal="center" vertical="center"/>
    </xf>
    <xf numFmtId="8" fontId="27" fillId="2" borderId="25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7" fillId="2" borderId="0" xfId="0" applyFont="1" applyFill="1" applyBorder="1" applyAlignment="1">
      <alignment vertical="center"/>
    </xf>
    <xf numFmtId="0" fontId="22" fillId="6" borderId="3" xfId="0" applyFont="1" applyFill="1" applyBorder="1" applyAlignment="1" applyProtection="1">
      <alignment horizontal="center"/>
      <protection locked="0"/>
    </xf>
    <xf numFmtId="0" fontId="22" fillId="6" borderId="1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>
      <alignment horizontal="right" vertical="center"/>
    </xf>
    <xf numFmtId="164" fontId="23" fillId="6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8" fillId="2" borderId="0" xfId="0" applyFont="1" applyFill="1" applyAlignment="1">
      <alignment horizontal="right" vertical="center"/>
    </xf>
    <xf numFmtId="0" fontId="5" fillId="9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165" fontId="0" fillId="2" borderId="7" xfId="0" applyNumberFormat="1" applyFill="1" applyBorder="1" applyProtection="1">
      <protection locked="0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8" fontId="27" fillId="2" borderId="0" xfId="0" applyNumberFormat="1" applyFont="1" applyFill="1" applyBorder="1" applyAlignment="1">
      <alignment horizontal="center" vertical="center"/>
    </xf>
    <xf numFmtId="8" fontId="27" fillId="11" borderId="22" xfId="0" applyNumberFormat="1" applyFont="1" applyFill="1" applyBorder="1" applyAlignment="1">
      <alignment horizontal="center" vertical="center"/>
    </xf>
    <xf numFmtId="8" fontId="2" fillId="3" borderId="0" xfId="0" applyNumberFormat="1" applyFont="1" applyFill="1" applyBorder="1" applyAlignment="1">
      <alignment horizontal="center" vertical="center"/>
    </xf>
    <xf numFmtId="8" fontId="2" fillId="3" borderId="0" xfId="0" applyNumberFormat="1" applyFont="1" applyFill="1" applyAlignment="1">
      <alignment horizontal="center"/>
    </xf>
    <xf numFmtId="8" fontId="2" fillId="3" borderId="0" xfId="0" applyNumberFormat="1" applyFont="1" applyFill="1" applyBorder="1" applyAlignment="1">
      <alignment horizontal="center"/>
    </xf>
    <xf numFmtId="8" fontId="10" fillId="2" borderId="0" xfId="0" applyNumberFormat="1" applyFont="1" applyFill="1" applyBorder="1" applyAlignment="1">
      <alignment horizontal="center"/>
    </xf>
    <xf numFmtId="8" fontId="4" fillId="3" borderId="0" xfId="0" applyNumberFormat="1" applyFont="1" applyFill="1" applyBorder="1" applyAlignment="1">
      <alignment horizontal="center"/>
    </xf>
    <xf numFmtId="0" fontId="46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9" fillId="8" borderId="0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173" fontId="50" fillId="12" borderId="0" xfId="0" applyNumberFormat="1" applyFont="1" applyFill="1"/>
    <xf numFmtId="8" fontId="37" fillId="5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center" vertical="top"/>
    </xf>
    <xf numFmtId="0" fontId="12" fillId="2" borderId="0" xfId="0" applyFont="1" applyFill="1" applyBorder="1" applyAlignment="1">
      <alignment horizontal="right" vertical="center"/>
    </xf>
    <xf numFmtId="0" fontId="48" fillId="0" borderId="0" xfId="0" applyFont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48" fillId="2" borderId="0" xfId="0" applyFont="1" applyFill="1" applyBorder="1" applyAlignment="1">
      <alignment horizontal="right"/>
    </xf>
    <xf numFmtId="0" fontId="49" fillId="2" borderId="0" xfId="0" applyFont="1" applyFill="1" applyBorder="1" applyAlignment="1" applyProtection="1">
      <alignment horizontal="right" vertical="center" wrapText="1"/>
      <protection locked="0"/>
    </xf>
    <xf numFmtId="0" fontId="51" fillId="14" borderId="17" xfId="0" applyFont="1" applyFill="1" applyBorder="1" applyAlignment="1">
      <alignment horizontal="center" vertical="center"/>
    </xf>
    <xf numFmtId="0" fontId="51" fillId="14" borderId="19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/>
    </xf>
    <xf numFmtId="164" fontId="20" fillId="2" borderId="0" xfId="0" applyNumberFormat="1" applyFont="1" applyFill="1" applyBorder="1" applyAlignment="1">
      <alignment vertical="top" wrapText="1"/>
    </xf>
    <xf numFmtId="0" fontId="20" fillId="2" borderId="0" xfId="0" applyFont="1" applyFill="1" applyBorder="1" applyAlignment="1">
      <alignment vertical="top" wrapText="1"/>
    </xf>
    <xf numFmtId="174" fontId="49" fillId="2" borderId="0" xfId="0" applyNumberFormat="1" applyFont="1" applyFill="1" applyAlignment="1" applyProtection="1">
      <alignment horizontal="center" vertical="center"/>
      <protection locked="0"/>
    </xf>
    <xf numFmtId="1" fontId="49" fillId="2" borderId="0" xfId="0" applyNumberFormat="1" applyFont="1" applyFill="1" applyAlignment="1">
      <alignment horizontal="left" vertical="center"/>
    </xf>
    <xf numFmtId="0" fontId="51" fillId="14" borderId="22" xfId="0" applyFont="1" applyFill="1" applyBorder="1" applyAlignment="1">
      <alignment horizontal="center" vertical="center"/>
    </xf>
    <xf numFmtId="0" fontId="51" fillId="14" borderId="0" xfId="0" applyFont="1" applyFill="1" applyAlignment="1">
      <alignment horizontal="left" vertical="center"/>
    </xf>
    <xf numFmtId="175" fontId="49" fillId="2" borderId="2" xfId="0" applyNumberFormat="1" applyFont="1" applyFill="1" applyBorder="1" applyAlignment="1">
      <alignment horizontal="right" vertical="center"/>
    </xf>
    <xf numFmtId="165" fontId="49" fillId="2" borderId="7" xfId="0" applyNumberFormat="1" applyFont="1" applyFill="1" applyBorder="1" applyAlignment="1">
      <alignment horizontal="left" vertical="center"/>
    </xf>
    <xf numFmtId="165" fontId="49" fillId="2" borderId="0" xfId="0" applyNumberFormat="1" applyFont="1" applyFill="1" applyBorder="1" applyAlignment="1">
      <alignment horizontal="left" vertical="center"/>
    </xf>
    <xf numFmtId="175" fontId="49" fillId="2" borderId="4" xfId="0" applyNumberFormat="1" applyFont="1" applyFill="1" applyBorder="1" applyAlignment="1">
      <alignment horizontal="right" vertical="center"/>
    </xf>
    <xf numFmtId="175" fontId="49" fillId="2" borderId="5" xfId="0" applyNumberFormat="1" applyFont="1" applyFill="1" applyBorder="1" applyAlignment="1">
      <alignment horizontal="right" vertical="center"/>
    </xf>
    <xf numFmtId="165" fontId="49" fillId="2" borderId="8" xfId="0" applyNumberFormat="1" applyFont="1" applyFill="1" applyBorder="1" applyAlignment="1">
      <alignment horizontal="left" vertical="center"/>
    </xf>
    <xf numFmtId="0" fontId="0" fillId="14" borderId="0" xfId="0" applyFill="1"/>
    <xf numFmtId="166" fontId="3" fillId="14" borderId="0" xfId="0" applyNumberFormat="1" applyFont="1" applyFill="1" applyAlignment="1" applyProtection="1">
      <alignment horizontal="right"/>
      <protection locked="0"/>
    </xf>
    <xf numFmtId="9" fontId="9" fillId="14" borderId="3" xfId="0" applyNumberFormat="1" applyFont="1" applyFill="1" applyBorder="1" applyAlignment="1" applyProtection="1">
      <alignment horizontal="center"/>
      <protection locked="0"/>
    </xf>
    <xf numFmtId="168" fontId="9" fillId="14" borderId="1" xfId="0" applyNumberFormat="1" applyFont="1" applyFill="1" applyBorder="1" applyAlignment="1" applyProtection="1">
      <alignment horizontal="center"/>
      <protection locked="0"/>
    </xf>
    <xf numFmtId="10" fontId="9" fillId="14" borderId="6" xfId="0" applyNumberFormat="1" applyFont="1" applyFill="1" applyBorder="1" applyAlignment="1" applyProtection="1">
      <alignment horizontal="center"/>
      <protection locked="0"/>
    </xf>
    <xf numFmtId="165" fontId="0" fillId="2" borderId="0" xfId="0" applyNumberFormat="1" applyFont="1" applyFill="1" applyBorder="1" applyProtection="1">
      <protection locked="0"/>
    </xf>
    <xf numFmtId="165" fontId="0" fillId="2" borderId="8" xfId="0" applyNumberFormat="1" applyFont="1" applyFill="1" applyBorder="1" applyProtection="1">
      <protection locked="0"/>
    </xf>
    <xf numFmtId="0" fontId="52" fillId="15" borderId="1" xfId="0" applyFont="1" applyFill="1" applyBorder="1" applyAlignment="1" applyProtection="1">
      <alignment horizontal="center"/>
    </xf>
    <xf numFmtId="164" fontId="3" fillId="16" borderId="6" xfId="0" applyNumberFormat="1" applyFont="1" applyFill="1" applyBorder="1" applyAlignment="1">
      <alignment horizontal="center" vertical="center"/>
    </xf>
    <xf numFmtId="8" fontId="14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 vertical="top"/>
    </xf>
    <xf numFmtId="8" fontId="55" fillId="3" borderId="0" xfId="0" applyNumberFormat="1" applyFont="1" applyFill="1" applyBorder="1"/>
    <xf numFmtId="44" fontId="53" fillId="13" borderId="0" xfId="0" applyNumberFormat="1" applyFont="1" applyFill="1" applyAlignment="1">
      <alignment horizontal="right" vertical="center"/>
    </xf>
    <xf numFmtId="44" fontId="53" fillId="5" borderId="0" xfId="0" applyNumberFormat="1" applyFont="1" applyFill="1" applyBorder="1" applyAlignment="1">
      <alignment horizontal="right" vertical="center"/>
    </xf>
    <xf numFmtId="9" fontId="53" fillId="13" borderId="0" xfId="1" applyFont="1" applyFill="1" applyBorder="1" applyAlignment="1">
      <alignment horizontal="center"/>
    </xf>
    <xf numFmtId="44" fontId="54" fillId="3" borderId="0" xfId="0" applyNumberFormat="1" applyFont="1" applyFill="1" applyAlignment="1">
      <alignment horizontal="right" vertical="center"/>
    </xf>
    <xf numFmtId="168" fontId="54" fillId="3" borderId="0" xfId="0" applyNumberFormat="1" applyFont="1" applyFill="1" applyAlignment="1" applyProtection="1">
      <alignment horizontal="center" vertical="center"/>
      <protection locked="0"/>
    </xf>
    <xf numFmtId="164" fontId="54" fillId="3" borderId="0" xfId="0" applyNumberFormat="1" applyFont="1" applyFill="1" applyBorder="1" applyAlignment="1">
      <alignment horizontal="center"/>
    </xf>
    <xf numFmtId="8" fontId="56" fillId="3" borderId="0" xfId="0" applyNumberFormat="1" applyFont="1" applyFill="1" applyBorder="1"/>
    <xf numFmtId="44" fontId="54" fillId="3" borderId="0" xfId="0" applyNumberFormat="1" applyFont="1" applyFill="1" applyBorder="1" applyAlignment="1">
      <alignment horizontal="center" vertical="center"/>
    </xf>
    <xf numFmtId="44" fontId="53" fillId="5" borderId="0" xfId="0" applyNumberFormat="1" applyFont="1" applyFill="1" applyBorder="1" applyAlignment="1">
      <alignment horizontal="center"/>
    </xf>
    <xf numFmtId="44" fontId="54" fillId="3" borderId="0" xfId="0" applyNumberFormat="1" applyFont="1" applyFill="1" applyBorder="1" applyAlignment="1" applyProtection="1">
      <alignment horizontal="center"/>
      <protection locked="0"/>
    </xf>
    <xf numFmtId="171" fontId="22" fillId="6" borderId="1" xfId="0" applyNumberFormat="1" applyFont="1" applyFill="1" applyBorder="1" applyAlignment="1" applyProtection="1">
      <alignment horizontal="center"/>
      <protection locked="0"/>
    </xf>
    <xf numFmtId="15" fontId="3" fillId="5" borderId="11" xfId="0" applyNumberFormat="1" applyFont="1" applyFill="1" applyBorder="1" applyAlignment="1" applyProtection="1">
      <alignment horizontal="center"/>
      <protection locked="0"/>
    </xf>
    <xf numFmtId="0" fontId="57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6" borderId="0" xfId="0" applyFill="1"/>
    <xf numFmtId="0" fontId="20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4" fillId="2" borderId="11" xfId="0" applyFont="1" applyFill="1" applyBorder="1" applyAlignment="1">
      <alignment horizontal="center"/>
    </xf>
    <xf numFmtId="15" fontId="4" fillId="2" borderId="11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0" fontId="4" fillId="3" borderId="0" xfId="1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vertical="center"/>
    </xf>
    <xf numFmtId="0" fontId="6" fillId="5" borderId="22" xfId="0" applyFont="1" applyFill="1" applyBorder="1" applyAlignment="1" applyProtection="1">
      <alignment horizontal="center" vertical="center"/>
      <protection locked="0"/>
    </xf>
    <xf numFmtId="168" fontId="53" fillId="5" borderId="0" xfId="0" applyNumberFormat="1" applyFont="1" applyFill="1" applyBorder="1" applyAlignment="1" applyProtection="1">
      <alignment horizontal="center" vertical="top"/>
    </xf>
    <xf numFmtId="168" fontId="53" fillId="13" borderId="0" xfId="0" applyNumberFormat="1" applyFont="1" applyFill="1" applyAlignment="1" applyProtection="1">
      <alignment horizontal="center" vertical="center"/>
    </xf>
    <xf numFmtId="9" fontId="53" fillId="5" borderId="0" xfId="0" applyNumberFormat="1" applyFont="1" applyFill="1" applyBorder="1" applyAlignment="1" applyProtection="1">
      <alignment horizontal="center" vertical="center"/>
    </xf>
    <xf numFmtId="0" fontId="58" fillId="2" borderId="0" xfId="2" applyFill="1"/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15" fontId="38" fillId="2" borderId="0" xfId="0" applyNumberFormat="1" applyFont="1" applyFill="1" applyAlignment="1" applyProtection="1">
      <alignment horizontal="right"/>
      <protection locked="0"/>
    </xf>
    <xf numFmtId="0" fontId="38" fillId="2" borderId="0" xfId="0" applyNumberFormat="1" applyFont="1" applyFill="1" applyAlignment="1" applyProtection="1">
      <alignment horizontal="right"/>
      <protection locked="0"/>
    </xf>
    <xf numFmtId="0" fontId="37" fillId="2" borderId="17" xfId="0" applyFont="1" applyFill="1" applyBorder="1" applyAlignment="1" applyProtection="1">
      <alignment horizontal="center" vertical="center"/>
      <protection locked="0"/>
    </xf>
    <xf numFmtId="0" fontId="37" fillId="2" borderId="19" xfId="0" applyFont="1" applyFill="1" applyBorder="1" applyAlignment="1" applyProtection="1">
      <alignment horizontal="center" vertical="center"/>
      <protection locked="0"/>
    </xf>
    <xf numFmtId="0" fontId="39" fillId="8" borderId="0" xfId="0" applyFont="1" applyFill="1" applyBorder="1" applyAlignment="1">
      <alignment horizontal="center"/>
    </xf>
    <xf numFmtId="0" fontId="39" fillId="8" borderId="0" xfId="0" applyFont="1" applyFill="1" applyBorder="1" applyAlignment="1">
      <alignment horizontal="right"/>
    </xf>
    <xf numFmtId="172" fontId="40" fillId="10" borderId="0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/>
    </xf>
    <xf numFmtId="15" fontId="45" fillId="3" borderId="0" xfId="0" applyNumberFormat="1" applyFont="1" applyFill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 wrapText="1"/>
    </xf>
    <xf numFmtId="0" fontId="36" fillId="2" borderId="2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164" fontId="27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vertical="center"/>
    </xf>
    <xf numFmtId="164" fontId="27" fillId="2" borderId="21" xfId="0" applyNumberFormat="1" applyFont="1" applyFill="1" applyBorder="1" applyAlignment="1">
      <alignment horizontal="center" vertical="center"/>
    </xf>
    <xf numFmtId="164" fontId="27" fillId="11" borderId="32" xfId="0" applyNumberFormat="1" applyFont="1" applyFill="1" applyBorder="1" applyAlignment="1">
      <alignment horizontal="center" vertical="center"/>
    </xf>
    <xf numFmtId="164" fontId="27" fillId="11" borderId="33" xfId="0" applyNumberFormat="1" applyFont="1" applyFill="1" applyBorder="1" applyAlignment="1">
      <alignment horizontal="center" vertical="center"/>
    </xf>
    <xf numFmtId="164" fontId="27" fillId="11" borderId="34" xfId="0" applyNumberFormat="1" applyFont="1" applyFill="1" applyBorder="1" applyAlignment="1">
      <alignment horizontal="center" vertical="center"/>
    </xf>
    <xf numFmtId="0" fontId="43" fillId="3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9" fontId="47" fillId="3" borderId="0" xfId="0" applyNumberFormat="1" applyFont="1" applyFill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5" fontId="45" fillId="3" borderId="35" xfId="0" applyNumberFormat="1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right" vertical="center"/>
    </xf>
    <xf numFmtId="171" fontId="27" fillId="2" borderId="2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left" vertical="center"/>
    </xf>
    <xf numFmtId="0" fontId="44" fillId="0" borderId="0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36999</xdr:colOff>
      <xdr:row>3</xdr:row>
      <xdr:rowOff>32055</xdr:rowOff>
    </xdr:from>
    <xdr:to>
      <xdr:col>4</xdr:col>
      <xdr:colOff>47920</xdr:colOff>
      <xdr:row>3</xdr:row>
      <xdr:rowOff>1057825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1" t="16350" r="14368" b="12009"/>
        <a:stretch/>
      </xdr:blipFill>
      <xdr:spPr>
        <a:xfrm>
          <a:off x="4428574" y="1730985"/>
          <a:ext cx="1162782" cy="1025770"/>
        </a:xfrm>
        <a:prstGeom prst="rect">
          <a:avLst/>
        </a:prstGeom>
      </xdr:spPr>
    </xdr:pic>
    <xdr:clientData/>
  </xdr:twoCellAnchor>
  <xdr:twoCellAnchor editAs="oneCell">
    <xdr:from>
      <xdr:col>3</xdr:col>
      <xdr:colOff>38767</xdr:colOff>
      <xdr:row>2</xdr:row>
      <xdr:rowOff>71990</xdr:rowOff>
    </xdr:from>
    <xdr:to>
      <xdr:col>4</xdr:col>
      <xdr:colOff>27690</xdr:colOff>
      <xdr:row>2</xdr:row>
      <xdr:rowOff>1079868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1" t="19063" r="12220" b="15522"/>
        <a:stretch/>
      </xdr:blipFill>
      <xdr:spPr>
        <a:xfrm>
          <a:off x="4424697" y="492862"/>
          <a:ext cx="1140784" cy="1007878"/>
        </a:xfrm>
        <a:prstGeom prst="rect">
          <a:avLst/>
        </a:prstGeom>
      </xdr:spPr>
    </xdr:pic>
    <xdr:clientData/>
  </xdr:twoCellAnchor>
  <xdr:oneCellAnchor>
    <xdr:from>
      <xdr:col>3</xdr:col>
      <xdr:colOff>38767</xdr:colOff>
      <xdr:row>6</xdr:row>
      <xdr:rowOff>71990</xdr:rowOff>
    </xdr:from>
    <xdr:ext cx="1143829" cy="1007878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1" t="19063" r="12220" b="15522"/>
        <a:stretch/>
      </xdr:blipFill>
      <xdr:spPr>
        <a:xfrm>
          <a:off x="4586955" y="500615"/>
          <a:ext cx="1143829" cy="10078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6909</xdr:colOff>
          <xdr:row>0</xdr:row>
          <xdr:rowOff>45904</xdr:rowOff>
        </xdr:from>
        <xdr:to>
          <xdr:col>1</xdr:col>
          <xdr:colOff>877907</xdr:colOff>
          <xdr:row>4</xdr:row>
          <xdr:rowOff>203353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S" spid="_x0000_s215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909" y="45904"/>
              <a:ext cx="1450531" cy="127635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70457</xdr:colOff>
          <xdr:row>87</xdr:row>
          <xdr:rowOff>1616</xdr:rowOff>
        </xdr:from>
        <xdr:to>
          <xdr:col>29</xdr:col>
          <xdr:colOff>305583</xdr:colOff>
          <xdr:row>91</xdr:row>
          <xdr:rowOff>26096</xdr:rowOff>
        </xdr:to>
        <xdr:grpSp>
          <xdr:nvGrpSpPr>
            <xdr:cNvPr id="17" name="Grup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GrpSpPr/>
          </xdr:nvGrpSpPr>
          <xdr:grpSpPr>
            <a:xfrm>
              <a:off x="8629909" y="12997369"/>
              <a:ext cx="704852" cy="1224891"/>
              <a:chOff x="5236306" y="23468877"/>
              <a:chExt cx="710075" cy="1806356"/>
            </a:xfrm>
          </xdr:grpSpPr>
          <xdr:sp macro="" textlink="">
            <xdr:nvSpPr>
              <xdr:cNvPr id="3093" name="Check Box 21" hidden="1">
                <a:extLst>
                  <a:ext uri="{63B3BB69-23CF-44E3-9099-C40C66FF867C}">
                    <a14:compatExt spid="_x0000_s3093"/>
                  </a:ext>
                  <a:ext uri="{FF2B5EF4-FFF2-40B4-BE49-F238E27FC236}">
                    <a16:creationId xmlns:a16="http://schemas.microsoft.com/office/drawing/2014/main" id="{00000000-0008-0000-0200-0000150C0000}"/>
                  </a:ext>
                </a:extLst>
              </xdr:cNvPr>
              <xdr:cNvSpPr/>
            </xdr:nvSpPr>
            <xdr:spPr bwMode="auto">
              <a:xfrm>
                <a:off x="5236306" y="23468877"/>
                <a:ext cx="614117" cy="34173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4" name="Check Box 22" hidden="1">
                <a:extLst>
                  <a:ext uri="{63B3BB69-23CF-44E3-9099-C40C66FF867C}">
                    <a14:compatExt spid="_x0000_s3094"/>
                  </a:ext>
                  <a:ext uri="{FF2B5EF4-FFF2-40B4-BE49-F238E27FC236}">
                    <a16:creationId xmlns:a16="http://schemas.microsoft.com/office/drawing/2014/main" id="{00000000-0008-0000-0200-0000160C0000}"/>
                  </a:ext>
                </a:extLst>
              </xdr:cNvPr>
              <xdr:cNvSpPr/>
            </xdr:nvSpPr>
            <xdr:spPr bwMode="auto">
              <a:xfrm>
                <a:off x="5245903" y="23927799"/>
                <a:ext cx="700477" cy="419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5" name="Check Box 23" hidden="1">
                <a:extLst>
                  <a:ext uri="{63B3BB69-23CF-44E3-9099-C40C66FF867C}">
                    <a14:compatExt spid="_x0000_s3095"/>
                  </a:ext>
                  <a:ext uri="{FF2B5EF4-FFF2-40B4-BE49-F238E27FC236}">
                    <a16:creationId xmlns:a16="http://schemas.microsoft.com/office/drawing/2014/main" id="{00000000-0008-0000-0200-0000170C0000}"/>
                  </a:ext>
                </a:extLst>
              </xdr:cNvPr>
              <xdr:cNvSpPr/>
            </xdr:nvSpPr>
            <xdr:spPr bwMode="auto">
              <a:xfrm>
                <a:off x="5236307" y="24376936"/>
                <a:ext cx="710073" cy="39055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97" name="Check Box 25" hidden="1">
                <a:extLst>
                  <a:ext uri="{63B3BB69-23CF-44E3-9099-C40C66FF867C}">
                    <a14:compatExt spid="_x0000_s3097"/>
                  </a:ext>
                  <a:ext uri="{FF2B5EF4-FFF2-40B4-BE49-F238E27FC236}">
                    <a16:creationId xmlns:a16="http://schemas.microsoft.com/office/drawing/2014/main" id="{00000000-0008-0000-0200-0000190C0000}"/>
                  </a:ext>
                </a:extLst>
              </xdr:cNvPr>
              <xdr:cNvSpPr/>
            </xdr:nvSpPr>
            <xdr:spPr bwMode="auto">
              <a:xfrm>
                <a:off x="5236308" y="24855385"/>
                <a:ext cx="710073" cy="4198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18137</xdr:colOff>
          <xdr:row>147</xdr:row>
          <xdr:rowOff>112860</xdr:rowOff>
        </xdr:from>
        <xdr:to>
          <xdr:col>4</xdr:col>
          <xdr:colOff>227948</xdr:colOff>
          <xdr:row>157</xdr:row>
          <xdr:rowOff>101644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409575" y="30932107"/>
              <a:ext cx="1253647" cy="2076455"/>
              <a:chOff x="410556" y="26396415"/>
              <a:chExt cx="924880" cy="2109158"/>
            </a:xfrm>
          </xdr:grpSpPr>
          <xdr:sp macro="" textlink="">
            <xdr:nvSpPr>
              <xdr:cNvPr id="3103" name="Check Box 31" hidden="1">
                <a:extLst>
                  <a:ext uri="{63B3BB69-23CF-44E3-9099-C40C66FF867C}">
                    <a14:compatExt spid="_x0000_s3103"/>
                  </a:ext>
                  <a:ext uri="{FF2B5EF4-FFF2-40B4-BE49-F238E27FC236}">
                    <a16:creationId xmlns:a16="http://schemas.microsoft.com/office/drawing/2014/main" id="{00000000-0008-0000-0200-00001F0C0000}"/>
                  </a:ext>
                </a:extLst>
              </xdr:cNvPr>
              <xdr:cNvSpPr/>
            </xdr:nvSpPr>
            <xdr:spPr bwMode="auto">
              <a:xfrm>
                <a:off x="410556" y="26396415"/>
                <a:ext cx="375733" cy="29024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4" name="Check Box 32" hidden="1">
                <a:extLst>
                  <a:ext uri="{63B3BB69-23CF-44E3-9099-C40C66FF867C}">
                    <a14:compatExt spid="_x0000_s3104"/>
                  </a:ext>
                  <a:ext uri="{FF2B5EF4-FFF2-40B4-BE49-F238E27FC236}">
                    <a16:creationId xmlns:a16="http://schemas.microsoft.com/office/drawing/2014/main" id="{00000000-0008-0000-0200-0000200C0000}"/>
                  </a:ext>
                </a:extLst>
              </xdr:cNvPr>
              <xdr:cNvSpPr/>
            </xdr:nvSpPr>
            <xdr:spPr bwMode="auto">
              <a:xfrm>
                <a:off x="420190" y="26860806"/>
                <a:ext cx="433538" cy="34830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6" name="Check Box 34" hidden="1">
                <a:extLst>
                  <a:ext uri="{63B3BB69-23CF-44E3-9099-C40C66FF867C}">
                    <a14:compatExt spid="_x0000_s3106"/>
                  </a:ext>
                  <a:ext uri="{FF2B5EF4-FFF2-40B4-BE49-F238E27FC236}">
                    <a16:creationId xmlns:a16="http://schemas.microsoft.com/office/drawing/2014/main" id="{00000000-0008-0000-0200-0000220C0000}"/>
                  </a:ext>
                </a:extLst>
              </xdr:cNvPr>
              <xdr:cNvSpPr/>
            </xdr:nvSpPr>
            <xdr:spPr bwMode="auto">
              <a:xfrm>
                <a:off x="420190" y="27692858"/>
                <a:ext cx="915246" cy="36765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1" name="Check Box 39" hidden="1">
                <a:extLst>
                  <a:ext uri="{63B3BB69-23CF-44E3-9099-C40C66FF867C}">
                    <a14:compatExt spid="_x0000_s3111"/>
                  </a:ext>
                  <a:ext uri="{FF2B5EF4-FFF2-40B4-BE49-F238E27FC236}">
                    <a16:creationId xmlns:a16="http://schemas.microsoft.com/office/drawing/2014/main" id="{00000000-0008-0000-0200-0000270C0000}"/>
                  </a:ext>
                </a:extLst>
              </xdr:cNvPr>
              <xdr:cNvSpPr/>
            </xdr:nvSpPr>
            <xdr:spPr bwMode="auto">
              <a:xfrm>
                <a:off x="420190" y="28128245"/>
                <a:ext cx="915246" cy="3773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2" name="Check Box 40" hidden="1">
                <a:extLst>
                  <a:ext uri="{63B3BB69-23CF-44E3-9099-C40C66FF867C}">
                    <a14:compatExt spid="_x0000_s3112"/>
                  </a:ext>
                  <a:ext uri="{FF2B5EF4-FFF2-40B4-BE49-F238E27FC236}">
                    <a16:creationId xmlns:a16="http://schemas.microsoft.com/office/drawing/2014/main" id="{00000000-0008-0000-0200-0000280C0000}"/>
                  </a:ext>
                </a:extLst>
              </xdr:cNvPr>
              <xdr:cNvSpPr/>
            </xdr:nvSpPr>
            <xdr:spPr bwMode="auto">
              <a:xfrm>
                <a:off x="429824" y="27286512"/>
                <a:ext cx="433538" cy="3483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14614</xdr:colOff>
          <xdr:row>87</xdr:row>
          <xdr:rowOff>13065</xdr:rowOff>
        </xdr:from>
        <xdr:to>
          <xdr:col>4</xdr:col>
          <xdr:colOff>214901</xdr:colOff>
          <xdr:row>92</xdr:row>
          <xdr:rowOff>247893</xdr:rowOff>
        </xdr:to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pSpPr/>
          </xdr:nvGrpSpPr>
          <xdr:grpSpPr>
            <a:xfrm>
              <a:off x="406052" y="13008818"/>
              <a:ext cx="1244123" cy="1735342"/>
              <a:chOff x="419100" y="29317986"/>
              <a:chExt cx="904876" cy="2619301"/>
            </a:xfrm>
          </xdr:grpSpPr>
          <xdr:grpSp>
            <xdr:nvGrpSpPr>
              <xdr:cNvPr id="6" name="Grupo 5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GrpSpPr/>
            </xdr:nvGrpSpPr>
            <xdr:grpSpPr>
              <a:xfrm>
                <a:off x="419100" y="29317986"/>
                <a:ext cx="904876" cy="2190701"/>
                <a:chOff x="420110" y="23204624"/>
                <a:chExt cx="915332" cy="2219853"/>
              </a:xfrm>
            </xdr:grpSpPr>
            <xdr:sp macro="" textlink="">
              <xdr:nvSpPr>
                <xdr:cNvPr id="3083" name="Check Box 11" hidden="1">
                  <a:extLst>
                    <a:ext uri="{63B3BB69-23CF-44E3-9099-C40C66FF867C}">
                      <a14:compatExt spid="_x0000_s3083"/>
                    </a:ext>
                    <a:ext uri="{FF2B5EF4-FFF2-40B4-BE49-F238E27FC236}">
                      <a16:creationId xmlns:a16="http://schemas.microsoft.com/office/drawing/2014/main" id="{00000000-0008-0000-0200-00000B0C0000}"/>
                    </a:ext>
                  </a:extLst>
                </xdr:cNvPr>
                <xdr:cNvSpPr/>
              </xdr:nvSpPr>
              <xdr:spPr bwMode="auto">
                <a:xfrm>
                  <a:off x="420110" y="23204624"/>
                  <a:ext cx="375767" cy="3378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3084" name="Check Box 12" hidden="1">
                  <a:extLst>
                    <a:ext uri="{63B3BB69-23CF-44E3-9099-C40C66FF867C}">
                      <a14:compatExt spid="_x0000_s3084"/>
                    </a:ext>
                    <a:ext uri="{FF2B5EF4-FFF2-40B4-BE49-F238E27FC236}">
                      <a16:creationId xmlns:a16="http://schemas.microsoft.com/office/drawing/2014/main" id="{00000000-0008-0000-0200-00000C0C0000}"/>
                    </a:ext>
                  </a:extLst>
                </xdr:cNvPr>
                <xdr:cNvSpPr/>
              </xdr:nvSpPr>
              <xdr:spPr bwMode="auto">
                <a:xfrm>
                  <a:off x="420110" y="23658239"/>
                  <a:ext cx="443213" cy="41502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3085" name="Check Box 13" hidden="1">
                  <a:extLst>
                    <a:ext uri="{63B3BB69-23CF-44E3-9099-C40C66FF867C}">
                      <a14:compatExt spid="_x0000_s3085"/>
                    </a:ext>
                    <a:ext uri="{FF2B5EF4-FFF2-40B4-BE49-F238E27FC236}">
                      <a16:creationId xmlns:a16="http://schemas.microsoft.com/office/drawing/2014/main" id="{00000000-0008-0000-0200-00000D0C0000}"/>
                    </a:ext>
                  </a:extLst>
                </xdr:cNvPr>
                <xdr:cNvSpPr/>
              </xdr:nvSpPr>
              <xdr:spPr bwMode="auto">
                <a:xfrm>
                  <a:off x="420110" y="24121519"/>
                  <a:ext cx="443213" cy="36676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3086" name="Check Box 14" hidden="1">
                  <a:extLst>
                    <a:ext uri="{63B3BB69-23CF-44E3-9099-C40C66FF867C}">
                      <a14:compatExt spid="_x0000_s3086"/>
                    </a:ext>
                    <a:ext uri="{FF2B5EF4-FFF2-40B4-BE49-F238E27FC236}">
                      <a16:creationId xmlns:a16="http://schemas.microsoft.com/office/drawing/2014/main" id="{00000000-0008-0000-0200-00000E0C0000}"/>
                    </a:ext>
                  </a:extLst>
                </xdr:cNvPr>
                <xdr:cNvSpPr/>
              </xdr:nvSpPr>
              <xdr:spPr bwMode="auto">
                <a:xfrm>
                  <a:off x="429745" y="25048060"/>
                  <a:ext cx="905697" cy="37641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3087" name="Check Box 15" hidden="1">
                  <a:extLst>
                    <a:ext uri="{63B3BB69-23CF-44E3-9099-C40C66FF867C}">
                      <a14:compatExt spid="_x0000_s3087"/>
                    </a:ext>
                    <a:ext uri="{FF2B5EF4-FFF2-40B4-BE49-F238E27FC236}">
                      <a16:creationId xmlns:a16="http://schemas.microsoft.com/office/drawing/2014/main" id="{00000000-0008-0000-0200-00000F0C0000}"/>
                    </a:ext>
                  </a:extLst>
                </xdr:cNvPr>
                <xdr:cNvSpPr/>
              </xdr:nvSpPr>
              <xdr:spPr bwMode="auto">
                <a:xfrm>
                  <a:off x="420110" y="24575155"/>
                  <a:ext cx="443213" cy="41503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sp macro="" textlink="">
            <xdr:nvSpPr>
              <xdr:cNvPr id="3126" name="Check Box 54" hidden="1">
                <a:extLst>
                  <a:ext uri="{63B3BB69-23CF-44E3-9099-C40C66FF867C}">
                    <a14:compatExt spid="_x0000_s3126"/>
                  </a:ext>
                  <a:ext uri="{FF2B5EF4-FFF2-40B4-BE49-F238E27FC236}">
                    <a16:creationId xmlns:a16="http://schemas.microsoft.com/office/drawing/2014/main" id="{00000000-0008-0000-0200-0000360C0000}"/>
                  </a:ext>
                </a:extLst>
              </xdr:cNvPr>
              <xdr:cNvSpPr/>
            </xdr:nvSpPr>
            <xdr:spPr bwMode="auto">
              <a:xfrm>
                <a:off x="419100" y="31565813"/>
                <a:ext cx="438150" cy="37147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-4488494</xdr:rowOff>
        </xdr:from>
        <xdr:to>
          <xdr:col>0</xdr:col>
          <xdr:colOff>0</xdr:colOff>
          <xdr:row>0</xdr:row>
          <xdr:rowOff>-4488494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0" y="-4488494"/>
              <a:ext cx="0" cy="0"/>
              <a:chOff x="0" y="-4488494"/>
              <a:chExt cx="0" cy="0"/>
            </a:xfrm>
          </xdr:grpSpPr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94</xdr:row>
          <xdr:rowOff>38100</xdr:rowOff>
        </xdr:from>
        <xdr:to>
          <xdr:col>3</xdr:col>
          <xdr:colOff>9525</xdr:colOff>
          <xdr:row>98</xdr:row>
          <xdr:rowOff>266700</xdr:rowOff>
        </xdr:to>
        <xdr:grpSp>
          <xdr:nvGrpSpPr>
            <xdr:cNvPr id="3143" name="Grupo 2">
              <a:extLs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10488" y="15134573"/>
              <a:ext cx="799448" cy="1429011"/>
              <a:chOff x="4063" y="182238"/>
              <a:chExt cx="4686" cy="14286"/>
            </a:xfrm>
          </xdr:grpSpPr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365343</xdr:colOff>
          <xdr:row>94</xdr:row>
          <xdr:rowOff>65240</xdr:rowOff>
        </xdr:from>
        <xdr:to>
          <xdr:col>5</xdr:col>
          <xdr:colOff>60674</xdr:colOff>
          <xdr:row>99</xdr:row>
          <xdr:rowOff>65105</xdr:rowOff>
        </xdr:to>
        <xdr:grpSp>
          <xdr:nvGrpSpPr>
            <xdr:cNvPr id="23" name="Grup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GrpSpPr/>
          </xdr:nvGrpSpPr>
          <xdr:grpSpPr>
            <a:xfrm>
              <a:off x="365343" y="15161713"/>
              <a:ext cx="1365468" cy="1500378"/>
              <a:chOff x="390808" y="27902602"/>
              <a:chExt cx="1038082" cy="2294898"/>
            </a:xfrm>
          </xdr:grpSpPr>
          <xdr:sp macro="" textlink="">
            <xdr:nvSpPr>
              <xdr:cNvPr id="3140" name="Check Box 68" hidden="1">
                <a:extLst>
                  <a:ext uri="{63B3BB69-23CF-44E3-9099-C40C66FF867C}">
                    <a14:compatExt spid="_x0000_s3140"/>
                  </a:ext>
                  <a:ext uri="{FF2B5EF4-FFF2-40B4-BE49-F238E27FC236}">
                    <a16:creationId xmlns:a16="http://schemas.microsoft.com/office/drawing/2014/main" id="{00000000-0008-0000-0200-0000440C0000}"/>
                  </a:ext>
                </a:extLst>
              </xdr:cNvPr>
              <xdr:cNvSpPr/>
            </xdr:nvSpPr>
            <xdr:spPr bwMode="auto">
              <a:xfrm>
                <a:off x="404007" y="27902602"/>
                <a:ext cx="385402" cy="3496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41" name="Check Box 69" hidden="1">
                <a:extLst>
                  <a:ext uri="{63B3BB69-23CF-44E3-9099-C40C66FF867C}">
                    <a14:compatExt spid="_x0000_s3141"/>
                  </a:ext>
                  <a:ext uri="{FF2B5EF4-FFF2-40B4-BE49-F238E27FC236}">
                    <a16:creationId xmlns:a16="http://schemas.microsoft.com/office/drawing/2014/main" id="{00000000-0008-0000-0200-0000450C0000}"/>
                  </a:ext>
                </a:extLst>
              </xdr:cNvPr>
              <xdr:cNvSpPr/>
            </xdr:nvSpPr>
            <xdr:spPr bwMode="auto">
              <a:xfrm>
                <a:off x="417206" y="28338097"/>
                <a:ext cx="529928" cy="43705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42" name="Check Box 70" hidden="1">
                <a:extLst>
                  <a:ext uri="{63B3BB69-23CF-44E3-9099-C40C66FF867C}">
                    <a14:compatExt spid="_x0000_s3142"/>
                  </a:ext>
                  <a:ext uri="{FF2B5EF4-FFF2-40B4-BE49-F238E27FC236}">
                    <a16:creationId xmlns:a16="http://schemas.microsoft.com/office/drawing/2014/main" id="{00000000-0008-0000-0200-0000460C0000}"/>
                  </a:ext>
                </a:extLst>
              </xdr:cNvPr>
              <xdr:cNvSpPr/>
            </xdr:nvSpPr>
            <xdr:spPr bwMode="auto">
              <a:xfrm>
                <a:off x="404007" y="28833425"/>
                <a:ext cx="529928" cy="37877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" name="Check Box 71" hidden="1">
                <a:extLst>
                  <a:ext uri="{63B3BB69-23CF-44E3-9099-C40C66FF867C}">
                    <a14:compatExt spid="_x0000_s3143"/>
                  </a:ex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/>
            </xdr:nvSpPr>
            <xdr:spPr bwMode="auto">
              <a:xfrm>
                <a:off x="426841" y="29804153"/>
                <a:ext cx="1002049" cy="39334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44" name="Check Box 72" hidden="1">
                <a:extLst>
                  <a:ext uri="{63B3BB69-23CF-44E3-9099-C40C66FF867C}">
                    <a14:compatExt spid="_x0000_s3144"/>
                  </a:ext>
                  <a:ext uri="{FF2B5EF4-FFF2-40B4-BE49-F238E27FC236}">
                    <a16:creationId xmlns:a16="http://schemas.microsoft.com/office/drawing/2014/main" id="{00000000-0008-0000-0200-0000480C0000}"/>
                  </a:ext>
                </a:extLst>
              </xdr:cNvPr>
              <xdr:cNvSpPr/>
            </xdr:nvSpPr>
            <xdr:spPr bwMode="auto">
              <a:xfrm>
                <a:off x="390808" y="29254296"/>
                <a:ext cx="529915" cy="43704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amacair/Downloads/Presupuesto%20Marketing%20CCI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rol%20y%20Medici&#243;n/Downloads/X%20%20%20SIMULADOR%20ASESO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Mensu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A"/>
      <sheetName val="Cotizador (PORTTO BLANCO)"/>
      <sheetName val="ASESOR"/>
      <sheetName val="CALENDARIO"/>
    </sheetNames>
    <sheetDataSet>
      <sheetData sheetId="0">
        <row r="6">
          <cell r="D6" t="str">
            <v/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a1141634817" displayName="Tabla1141634817" ref="A43:I92" totalsRowCount="1" headerRowDxfId="60" dataDxfId="59">
  <autoFilter ref="A43:I91" xr:uid="{00000000-0009-0000-0100-000010000000}"/>
  <tableColumns count="9">
    <tableColumn id="1" xr3:uid="{00000000-0010-0000-0000-000001000000}" name="PERIODO" dataDxfId="58" totalsRowDxfId="57">
      <calculatedColumnFormula>IF(A43&lt;$D$37,A43+1,"")</calculatedColumnFormula>
    </tableColumn>
    <tableColumn id="9" xr3:uid="{00000000-0010-0000-0000-000009000000}" name="FECHA" totalsRowFunction="custom" dataDxfId="56" totalsRowDxfId="55">
      <calculatedColumnFormula>#REF!+30.5</calculatedColumnFormula>
      <totalsRowFormula>B91</totalsRowFormula>
    </tableColumn>
    <tableColumn id="2" xr3:uid="{00000000-0010-0000-0000-000002000000}" name="SALDO INICIAL" dataDxfId="54" totalsRowDxfId="53">
      <calculatedColumnFormula>I43</calculatedColumnFormula>
    </tableColumn>
    <tableColumn id="3" xr3:uid="{00000000-0010-0000-0000-000003000000}" name="MENSUALUDAD" dataDxfId="52" totalsRowDxfId="51">
      <calculatedColumnFormula>IF(A44&lt;49,(-PMT($D$40,$D$37,$D$35)))</calculatedColumnFormula>
    </tableColumn>
    <tableColumn id="4" xr3:uid="{00000000-0010-0000-0000-000004000000}" name="ABONOS" totalsRowFunction="custom" dataDxfId="50" totalsRowDxfId="49">
      <totalsRowFormula>SUM(E44:E91)</totalsRowFormula>
    </tableColumn>
    <tableColumn id="5" xr3:uid="{00000000-0010-0000-0000-000005000000}" name="PAGADO" dataDxfId="48" totalsRowDxfId="47">
      <calculatedColumnFormula>SUM(D44:E44)</calculatedColumnFormula>
    </tableColumn>
    <tableColumn id="6" xr3:uid="{00000000-0010-0000-0000-000006000000}" name="INTERÉS" dataDxfId="46" totalsRowDxfId="45">
      <calculatedColumnFormula>IF(A44&lt;=48,(C44*$D$40),0)</calculatedColumnFormula>
    </tableColumn>
    <tableColumn id="7" xr3:uid="{00000000-0010-0000-0000-000007000000}" name="ABONO A CAPITAL" totalsRowFunction="sum" dataDxfId="44" totalsRowDxfId="43">
      <calculatedColumnFormula>D44-G44</calculatedColumnFormula>
    </tableColumn>
    <tableColumn id="8" xr3:uid="{00000000-0010-0000-0000-000008000000}" name="SALDO FINAL" totalsRowFunction="custom" dataDxfId="42" totalsRowDxfId="41">
      <calculatedColumnFormula>C44-H44</calculatedColumnFormula>
      <totalsRowFormula>I91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a12111735918" displayName="Tabla12111735918" ref="A103:I177" totalsRowCount="1" headerRowDxfId="40" dataDxfId="39">
  <autoFilter ref="A103:I176" xr:uid="{00000000-0009-0000-0100-000011000000}"/>
  <tableColumns count="9">
    <tableColumn id="1" xr3:uid="{00000000-0010-0000-0100-000001000000}" name="PERIODO" dataDxfId="38" totalsRowDxfId="37">
      <calculatedColumnFormula>IF(A103&lt;$D$37,A103+1,"")</calculatedColumnFormula>
    </tableColumn>
    <tableColumn id="9" xr3:uid="{00000000-0010-0000-0100-000009000000}" name="FECHA" dataDxfId="36" totalsRowDxfId="35"/>
    <tableColumn id="2" xr3:uid="{00000000-0010-0000-0100-000002000000}" name="SALDO INICIAL" dataDxfId="34" totalsRowDxfId="33">
      <calculatedColumnFormula>I103</calculatedColumnFormula>
    </tableColumn>
    <tableColumn id="3" xr3:uid="{00000000-0010-0000-0100-000003000000}" name="MENSUALIDAD" dataDxfId="32" totalsRowDxfId="31">
      <calculatedColumnFormula>IF(A104&lt;121,(-PMT($D$100,$D$97,$D$96)))</calculatedColumnFormula>
    </tableColumn>
    <tableColumn id="4" xr3:uid="{00000000-0010-0000-0100-000004000000}" name="ABONOS" totalsRowFunction="custom" dataDxfId="30" totalsRowDxfId="29">
      <totalsRowFormula>SUM(E104:E176)</totalsRowFormula>
    </tableColumn>
    <tableColumn id="5" xr3:uid="{00000000-0010-0000-0100-000005000000}" name="PAGADO" dataDxfId="28" totalsRowDxfId="27">
      <calculatedColumnFormula>SUM(D104:E104)</calculatedColumnFormula>
    </tableColumn>
    <tableColumn id="6" xr3:uid="{00000000-0010-0000-0100-000006000000}" name="INTERÉS" dataDxfId="26" totalsRowDxfId="25">
      <calculatedColumnFormula>IF(A104&gt;48,(C104*$D$100),0)</calculatedColumnFormula>
    </tableColumn>
    <tableColumn id="7" xr3:uid="{00000000-0010-0000-0100-000007000000}" name="ABONO A CAPITAL" totalsRowFunction="sum" dataDxfId="24" totalsRowDxfId="23">
      <calculatedColumnFormula>D104-G104</calculatedColumnFormula>
    </tableColumn>
    <tableColumn id="8" xr3:uid="{00000000-0010-0000-0100-000008000000}" name="SALDO FINAL" totalsRowFunction="custom" dataDxfId="22" totalsRowDxfId="21">
      <calculatedColumnFormula>C104-H104</calculatedColumnFormula>
      <totalsRowFormula>I176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a131524361019" displayName="Tabla131524361019" ref="A188:I250" totalsRowCount="1" headerRowDxfId="20" dataDxfId="19" totalsRowDxfId="18">
  <autoFilter ref="A188:I249" xr:uid="{00000000-0009-0000-0100-000012000000}"/>
  <tableColumns count="9">
    <tableColumn id="1" xr3:uid="{00000000-0010-0000-0200-000001000000}" name="PERIODO" dataDxfId="17" totalsRowDxfId="16">
      <calculatedColumnFormula>IF(A188&lt;$D$37,A188+1,"")</calculatedColumnFormula>
    </tableColumn>
    <tableColumn id="9" xr3:uid="{00000000-0010-0000-0200-000009000000}" name="FECHA" dataDxfId="15" totalsRowDxfId="14"/>
    <tableColumn id="2" xr3:uid="{00000000-0010-0000-0200-000002000000}" name="SALDO INICIAL" dataDxfId="13" totalsRowDxfId="12">
      <calculatedColumnFormula>I188</calculatedColumnFormula>
    </tableColumn>
    <tableColumn id="3" xr3:uid="{00000000-0010-0000-0200-000003000000}" name="MENSUALIDAD" dataDxfId="11" totalsRowDxfId="10">
      <calculatedColumnFormula>IF(C189&gt;0,(-PMT($D$185,$D$182,$D$181)))</calculatedColumnFormula>
    </tableColumn>
    <tableColumn id="4" xr3:uid="{00000000-0010-0000-0200-000004000000}" name="ABONOS" dataDxfId="9" totalsRowDxfId="8"/>
    <tableColumn id="5" xr3:uid="{00000000-0010-0000-0200-000005000000}" name="PAGADO" dataDxfId="7" totalsRowDxfId="6">
      <calculatedColumnFormula>SUM(D189:E189)</calculatedColumnFormula>
    </tableColumn>
    <tableColumn id="6" xr3:uid="{00000000-0010-0000-0200-000006000000}" name="INTERÉS" dataDxfId="5" totalsRowDxfId="4">
      <calculatedColumnFormula>IF(A189&gt;=121,(C189*$D$185),0)</calculatedColumnFormula>
    </tableColumn>
    <tableColumn id="7" xr3:uid="{00000000-0010-0000-0200-000007000000}" name="ABONO A CAPITAL" totalsRowFunction="sum" dataDxfId="3" totalsRowDxfId="2">
      <calculatedColumnFormula>F189-G189</calculatedColumnFormula>
    </tableColumn>
    <tableColumn id="8" xr3:uid="{00000000-0010-0000-0200-000008000000}" name="SALDO FINAL" totalsRowFunction="custom" dataDxfId="1" totalsRowDxfId="0">
      <calculatedColumnFormula>C189-H189</calculatedColumnFormula>
      <totalsRowFormula>I249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ORCIAD@" TargetMode="External"/><Relationship Id="rId2" Type="http://schemas.openxmlformats.org/officeDocument/2006/relationships/hyperlink" Target="mailto:SOLTER@" TargetMode="External"/><Relationship Id="rId1" Type="http://schemas.openxmlformats.org/officeDocument/2006/relationships/hyperlink" Target="mailto:CASAD@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VIUD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omments" Target="../comments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60"/>
  <sheetViews>
    <sheetView topLeftCell="A12" zoomScale="80" zoomScaleNormal="80" workbookViewId="0">
      <selection activeCell="F30" sqref="F30"/>
    </sheetView>
  </sheetViews>
  <sheetFormatPr baseColWidth="10" defaultRowHeight="16.5" x14ac:dyDescent="0.3"/>
  <cols>
    <col min="1" max="2" width="11" style="4"/>
    <col min="3" max="3" width="37.75" style="4" customWidth="1"/>
    <col min="4" max="4" width="15.125" style="4" customWidth="1"/>
    <col min="5" max="5" width="25.125" style="4" bestFit="1" customWidth="1"/>
    <col min="6" max="16384" width="11" style="4"/>
  </cols>
  <sheetData>
    <row r="2" spans="3:7" x14ac:dyDescent="0.3">
      <c r="C2" s="215" t="s">
        <v>178</v>
      </c>
      <c r="D2" s="11" t="s">
        <v>181</v>
      </c>
      <c r="E2" s="162" t="s">
        <v>97</v>
      </c>
      <c r="F2" s="162" t="s">
        <v>182</v>
      </c>
      <c r="G2" s="162" t="s">
        <v>5</v>
      </c>
    </row>
    <row r="3" spans="3:7" ht="100.5" customHeight="1" x14ac:dyDescent="0.3">
      <c r="C3" s="214" t="s">
        <v>180</v>
      </c>
      <c r="E3" s="160" t="s">
        <v>177</v>
      </c>
      <c r="F3" s="4" t="s">
        <v>101</v>
      </c>
      <c r="G3" s="4">
        <v>15</v>
      </c>
    </row>
    <row r="4" spans="3:7" ht="93.75" customHeight="1" x14ac:dyDescent="0.3">
      <c r="C4" s="214" t="s">
        <v>179</v>
      </c>
      <c r="E4" s="161">
        <v>4500</v>
      </c>
      <c r="F4" s="4" t="s">
        <v>102</v>
      </c>
      <c r="G4" s="4">
        <v>14</v>
      </c>
    </row>
    <row r="5" spans="3:7" x14ac:dyDescent="0.3">
      <c r="E5" s="160" t="s">
        <v>176</v>
      </c>
      <c r="F5" s="4" t="s">
        <v>103</v>
      </c>
      <c r="G5" s="4">
        <v>13</v>
      </c>
    </row>
    <row r="6" spans="3:7" x14ac:dyDescent="0.3">
      <c r="C6" s="216"/>
      <c r="E6" s="161">
        <v>4725</v>
      </c>
      <c r="F6" s="4" t="s">
        <v>104</v>
      </c>
      <c r="G6" s="4">
        <v>12</v>
      </c>
    </row>
    <row r="7" spans="3:7" x14ac:dyDescent="0.3">
      <c r="E7" s="160" t="s">
        <v>242</v>
      </c>
      <c r="F7" s="4" t="s">
        <v>105</v>
      </c>
      <c r="G7" s="4">
        <v>11</v>
      </c>
    </row>
    <row r="8" spans="3:7" x14ac:dyDescent="0.3">
      <c r="E8" s="161">
        <v>4800</v>
      </c>
      <c r="F8" s="4" t="s">
        <v>106</v>
      </c>
      <c r="G8" s="4">
        <v>10</v>
      </c>
    </row>
    <row r="9" spans="3:7" x14ac:dyDescent="0.3">
      <c r="E9" s="160" t="s">
        <v>241</v>
      </c>
      <c r="F9" s="4" t="s">
        <v>107</v>
      </c>
      <c r="G9" s="4">
        <v>9</v>
      </c>
    </row>
    <row r="10" spans="3:7" x14ac:dyDescent="0.3">
      <c r="E10" s="161">
        <v>5040</v>
      </c>
      <c r="F10" s="4" t="s">
        <v>108</v>
      </c>
      <c r="G10" s="4">
        <v>8</v>
      </c>
    </row>
    <row r="11" spans="3:7" x14ac:dyDescent="0.3">
      <c r="E11" s="161" t="s">
        <v>240</v>
      </c>
      <c r="F11" s="4" t="s">
        <v>109</v>
      </c>
      <c r="G11" s="4">
        <v>7</v>
      </c>
    </row>
    <row r="12" spans="3:7" x14ac:dyDescent="0.3">
      <c r="E12" s="161">
        <v>5770.3</v>
      </c>
      <c r="F12" s="4" t="s">
        <v>110</v>
      </c>
      <c r="G12" s="4">
        <v>6</v>
      </c>
    </row>
    <row r="13" spans="3:7" x14ac:dyDescent="0.3">
      <c r="E13" s="161" t="s">
        <v>239</v>
      </c>
      <c r="F13" s="4" t="s">
        <v>98</v>
      </c>
      <c r="G13" s="4">
        <v>5</v>
      </c>
    </row>
    <row r="14" spans="3:7" x14ac:dyDescent="0.3">
      <c r="E14" s="161">
        <v>6200</v>
      </c>
      <c r="F14" s="4" t="s">
        <v>111</v>
      </c>
      <c r="G14" s="4">
        <v>4</v>
      </c>
    </row>
    <row r="15" spans="3:7" x14ac:dyDescent="0.3">
      <c r="F15" s="4" t="s">
        <v>112</v>
      </c>
      <c r="G15" s="4">
        <v>3</v>
      </c>
    </row>
    <row r="16" spans="3:7" x14ac:dyDescent="0.3">
      <c r="F16" s="4" t="s">
        <v>113</v>
      </c>
      <c r="G16" s="4">
        <v>2</v>
      </c>
    </row>
    <row r="17" spans="3:7" x14ac:dyDescent="0.3">
      <c r="F17" s="4" t="s">
        <v>114</v>
      </c>
      <c r="G17" s="4">
        <v>1</v>
      </c>
    </row>
    <row r="18" spans="3:7" x14ac:dyDescent="0.3">
      <c r="F18" s="4" t="s">
        <v>115</v>
      </c>
    </row>
    <row r="19" spans="3:7" x14ac:dyDescent="0.3">
      <c r="F19" s="4" t="s">
        <v>116</v>
      </c>
    </row>
    <row r="20" spans="3:7" x14ac:dyDescent="0.3">
      <c r="F20" s="4" t="s">
        <v>170</v>
      </c>
    </row>
    <row r="21" spans="3:7" x14ac:dyDescent="0.3">
      <c r="F21" s="4" t="s">
        <v>171</v>
      </c>
    </row>
    <row r="22" spans="3:7" x14ac:dyDescent="0.3">
      <c r="F22" s="4" t="s">
        <v>172</v>
      </c>
    </row>
    <row r="23" spans="3:7" x14ac:dyDescent="0.3">
      <c r="F23" s="4" t="s">
        <v>175</v>
      </c>
    </row>
    <row r="24" spans="3:7" x14ac:dyDescent="0.3">
      <c r="F24" s="4" t="s">
        <v>200</v>
      </c>
    </row>
    <row r="25" spans="3:7" x14ac:dyDescent="0.3">
      <c r="F25" s="4" t="s">
        <v>198</v>
      </c>
    </row>
    <row r="26" spans="3:7" x14ac:dyDescent="0.3">
      <c r="F26" s="4" t="s">
        <v>199</v>
      </c>
    </row>
    <row r="27" spans="3:7" x14ac:dyDescent="0.3">
      <c r="F27" s="4" t="s">
        <v>243</v>
      </c>
    </row>
    <row r="28" spans="3:7" x14ac:dyDescent="0.3">
      <c r="F28" s="4" t="s">
        <v>249</v>
      </c>
    </row>
    <row r="29" spans="3:7" x14ac:dyDescent="0.3">
      <c r="C29" s="4" t="s">
        <v>216</v>
      </c>
      <c r="D29" s="4" t="s">
        <v>202</v>
      </c>
      <c r="F29" s="4" t="s">
        <v>250</v>
      </c>
    </row>
    <row r="30" spans="3:7" x14ac:dyDescent="0.3">
      <c r="C30" s="4" t="s">
        <v>217</v>
      </c>
      <c r="D30" s="4" t="s">
        <v>204</v>
      </c>
    </row>
    <row r="31" spans="3:7" x14ac:dyDescent="0.3">
      <c r="C31" s="4" t="s">
        <v>121</v>
      </c>
      <c r="D31" s="4" t="s">
        <v>205</v>
      </c>
    </row>
    <row r="32" spans="3:7" x14ac:dyDescent="0.3">
      <c r="C32" s="4" t="s">
        <v>218</v>
      </c>
      <c r="D32" s="4" t="s">
        <v>206</v>
      </c>
    </row>
    <row r="33" spans="3:4" x14ac:dyDescent="0.3">
      <c r="D33" s="4" t="s">
        <v>207</v>
      </c>
    </row>
    <row r="34" spans="3:4" x14ac:dyDescent="0.3">
      <c r="D34" s="4" t="s">
        <v>208</v>
      </c>
    </row>
    <row r="35" spans="3:4" x14ac:dyDescent="0.3">
      <c r="C35" s="4" t="s">
        <v>219</v>
      </c>
      <c r="D35" s="4" t="s">
        <v>209</v>
      </c>
    </row>
    <row r="36" spans="3:4" x14ac:dyDescent="0.3">
      <c r="C36" s="228" t="s">
        <v>220</v>
      </c>
      <c r="D36" s="4" t="s">
        <v>210</v>
      </c>
    </row>
    <row r="37" spans="3:4" x14ac:dyDescent="0.3">
      <c r="C37" s="228" t="s">
        <v>221</v>
      </c>
      <c r="D37" s="4" t="s">
        <v>211</v>
      </c>
    </row>
    <row r="38" spans="3:4" x14ac:dyDescent="0.3">
      <c r="C38" s="228" t="s">
        <v>222</v>
      </c>
      <c r="D38" s="4" t="s">
        <v>212</v>
      </c>
    </row>
    <row r="39" spans="3:4" x14ac:dyDescent="0.3">
      <c r="C39" s="228" t="s">
        <v>223</v>
      </c>
      <c r="D39" s="4" t="s">
        <v>213</v>
      </c>
    </row>
    <row r="40" spans="3:4" x14ac:dyDescent="0.3">
      <c r="D40" s="4" t="s">
        <v>214</v>
      </c>
    </row>
    <row r="41" spans="3:4" x14ac:dyDescent="0.3">
      <c r="C41" s="4" t="s">
        <v>224</v>
      </c>
      <c r="D41" s="4" t="s">
        <v>215</v>
      </c>
    </row>
    <row r="42" spans="3:4" x14ac:dyDescent="0.3">
      <c r="C42" s="4" t="s">
        <v>225</v>
      </c>
    </row>
    <row r="43" spans="3:4" x14ac:dyDescent="0.3">
      <c r="C43" s="4" t="s">
        <v>226</v>
      </c>
    </row>
    <row r="44" spans="3:4" x14ac:dyDescent="0.3">
      <c r="C44" s="4" t="s">
        <v>150</v>
      </c>
    </row>
    <row r="45" spans="3:4" x14ac:dyDescent="0.3">
      <c r="C45" s="4" t="s">
        <v>227</v>
      </c>
    </row>
    <row r="46" spans="3:4" x14ac:dyDescent="0.3">
      <c r="C46" s="4" t="s">
        <v>228</v>
      </c>
    </row>
    <row r="47" spans="3:4" x14ac:dyDescent="0.3">
      <c r="C47" s="4" t="s">
        <v>229</v>
      </c>
    </row>
    <row r="48" spans="3:4" x14ac:dyDescent="0.3">
      <c r="C48" s="4" t="s">
        <v>230</v>
      </c>
    </row>
    <row r="49" spans="3:3" x14ac:dyDescent="0.3">
      <c r="C49" s="4" t="s">
        <v>231</v>
      </c>
    </row>
    <row r="50" spans="3:3" x14ac:dyDescent="0.3">
      <c r="C50" s="4" t="s">
        <v>232</v>
      </c>
    </row>
    <row r="52" spans="3:3" x14ac:dyDescent="0.3">
      <c r="C52" s="4" t="s">
        <v>233</v>
      </c>
    </row>
    <row r="53" spans="3:3" x14ac:dyDescent="0.3">
      <c r="C53" s="4" t="s">
        <v>156</v>
      </c>
    </row>
    <row r="54" spans="3:3" x14ac:dyDescent="0.3">
      <c r="C54" s="4" t="s">
        <v>234</v>
      </c>
    </row>
    <row r="55" spans="3:3" x14ac:dyDescent="0.3">
      <c r="C55" s="4" t="s">
        <v>235</v>
      </c>
    </row>
    <row r="56" spans="3:3" x14ac:dyDescent="0.3">
      <c r="C56" s="4" t="s">
        <v>232</v>
      </c>
    </row>
    <row r="58" spans="3:3" x14ac:dyDescent="0.3">
      <c r="C58" s="4" t="s">
        <v>236</v>
      </c>
    </row>
    <row r="59" spans="3:3" x14ac:dyDescent="0.3">
      <c r="C59" s="4" t="s">
        <v>237</v>
      </c>
    </row>
    <row r="60" spans="3:3" x14ac:dyDescent="0.3">
      <c r="C60" s="4" t="s">
        <v>238</v>
      </c>
    </row>
  </sheetData>
  <hyperlinks>
    <hyperlink ref="C36" r:id="rId1" xr:uid="{00000000-0004-0000-0000-000000000000}"/>
    <hyperlink ref="C37" r:id="rId2" xr:uid="{00000000-0004-0000-0000-000001000000}"/>
    <hyperlink ref="C38" r:id="rId3" xr:uid="{00000000-0004-0000-0000-000002000000}"/>
    <hyperlink ref="C39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R303"/>
  <sheetViews>
    <sheetView tabSelected="1" topLeftCell="A4" zoomScaleNormal="100" zoomScaleSheetLayoutView="100" zoomScalePageLayoutView="70" workbookViewId="0">
      <selection activeCell="E9" sqref="E9"/>
    </sheetView>
  </sheetViews>
  <sheetFormatPr baseColWidth="10" defaultRowHeight="16.5" outlineLevelRow="1" x14ac:dyDescent="0.3"/>
  <cols>
    <col min="1" max="1" width="7.625" customWidth="1"/>
    <col min="2" max="2" width="12.625" customWidth="1"/>
    <col min="3" max="3" width="15.125" customWidth="1"/>
    <col min="4" max="4" width="29.125" customWidth="1"/>
    <col min="5" max="5" width="18.25" bestFit="1" customWidth="1"/>
    <col min="6" max="6" width="12.125" customWidth="1"/>
    <col min="7" max="7" width="17.375" customWidth="1"/>
    <col min="8" max="8" width="22.875" customWidth="1"/>
    <col min="9" max="9" width="23.5" style="5" bestFit="1" customWidth="1"/>
    <col min="10" max="10" width="15.125" style="5" customWidth="1"/>
    <col min="11" max="11" width="1.625" style="6" customWidth="1"/>
    <col min="12" max="12" width="30.5" style="4" customWidth="1"/>
    <col min="13" max="13" width="14.5" bestFit="1" customWidth="1"/>
    <col min="14" max="15" width="10.5" bestFit="1" customWidth="1"/>
    <col min="16" max="16" width="11.125" bestFit="1" customWidth="1"/>
    <col min="17" max="17" width="16.375" customWidth="1"/>
    <col min="18" max="18" width="13.5" bestFit="1" customWidth="1"/>
  </cols>
  <sheetData>
    <row r="1" spans="1:12" ht="22.5" x14ac:dyDescent="0.3">
      <c r="A1" s="239"/>
      <c r="B1" s="239"/>
      <c r="C1" s="231" t="s">
        <v>0</v>
      </c>
      <c r="D1" s="231"/>
      <c r="E1" s="231"/>
      <c r="F1" s="231"/>
      <c r="G1" s="231"/>
      <c r="H1" s="231"/>
      <c r="I1" s="6"/>
      <c r="J1" s="6"/>
      <c r="L1"/>
    </row>
    <row r="2" spans="1:12" ht="24" thickBot="1" x14ac:dyDescent="0.4">
      <c r="A2" s="239"/>
      <c r="B2" s="239"/>
      <c r="C2" s="213" t="s">
        <v>196</v>
      </c>
      <c r="D2" s="56" t="s">
        <v>99</v>
      </c>
      <c r="E2" s="56"/>
      <c r="F2" s="57"/>
      <c r="G2" s="4"/>
      <c r="H2" s="59"/>
      <c r="I2" s="232">
        <f ca="1">TODAY()</f>
        <v>44739</v>
      </c>
      <c r="J2" s="233"/>
      <c r="L2"/>
    </row>
    <row r="3" spans="1:12" ht="21" thickBot="1" x14ac:dyDescent="0.35">
      <c r="A3" s="239"/>
      <c r="B3" s="239"/>
      <c r="C3" s="60" t="s">
        <v>201</v>
      </c>
      <c r="D3" s="217" t="str">
        <f>IF(COUNTIF(E3,"*"&amp;"PORTTO BLANCO CIMATARIO"&amp;"*")=1,"PORTTO BLANCO CIMATARIO",IF(COUNTIF(E3,"*"&amp;"ESTEPA"&amp;"*")=1,"PORTTO BLANCO CIMATARIO",IF(COUNTIF(E3,"*"&amp;"DESIERTO"&amp;"*")=1,"PORTTO BLANCO CIMATARIO",IF(COUNTIF(E3,"*"&amp;"TAIGA"&amp;"*")=1,"PORTTO BLANCO CIMATARIO",IF(COUNTIF(E3,"*"&amp;"SABINO"&amp;"*")=1,"PORTTO BLANCO CIMATARIO",IF(COUNTIF(E3,"*"&amp;"CEDRO"&amp;"*")=1,"PORTTO BLANCO CIMATARIO",IF(COUNTIF(E3,"*"&amp;"PÁRAMO"&amp;"*")=1,"PORTTO BLANCO CIMATARIO",IF(COUNTIF(E3,"*"&amp;"SELVA"&amp;"*")=1,"PORTTO BLANCO CIMATARIO",IF(COUNTIF(E3,"*"&amp;"TAMUL"&amp;"*")=1,"PORTTO BLANCO SLP",IF(COUNTIF(E3,"*"&amp;"BOSQUE"&amp;"*")=1,"PORTTO BLANCO CIMATARIO",IF(COUNTIF(E3,"*"&amp;"LOMAS"&amp;"*")=1,"LOMAS DE PORTTO BLANCO CIMATARIO",IF(COUNTIF(E3,"*"&amp;"LOMAS"&amp;"*")=1,"LOMAS DE PORTTO BLANCO CIMATARIO",IF(COUNTIF(E3,"*"&amp;"LAGO"&amp;"*")=1,"PORTTO BLANCO CIMATARIO","")))))))))))))</f>
        <v/>
      </c>
      <c r="E3" s="218" t="str">
        <f>IF(COUNTIF(D7,"*"&amp;"HÁBITTA"&amp;"*")=1,"HÁBITTA",IF(COUNTIF(D7,"*"&amp;"ESTEPA"&amp;"*")=1,"ESTEPA",IF(COUNTIF(D7,"*"&amp;"DESIERTO"&amp;"*")=1,"DESIERTO",IF(COUNTIF(D7,"*"&amp;"TAIGA"&amp;"*")=1,"TAIGA",IF(COUNTIF(D7,"*"&amp;"SABINO"&amp;"*")=1,"SABINO",IF(COUNTIF(D7,"*"&amp;"CEDRO"&amp;"*")=1,"CEDRO",IF(COUNTIF(D7,"*"&amp;"PÁRAMO"&amp;"*")=1,"PÁRAMO",IF(COUNTIF(D7,"*"&amp;"SELVA"&amp;"*")=1,"SELVA",IF(COUNTIF(D7,"*"&amp;"LOMAS ETAPA 1"&amp;"*")=1,"LOMAS",IF(COUNTIF(D7,"*"&amp;"BOSQUE"&amp;"*")=1,"BOSQUE",IF(COUNTIF(D7,"*"&amp;"LOMAS ETAPA 2"&amp;"*")=1,"LOMAS",IF(COUNTIF(D7,"*"&amp;"LOMAS ETAPA 3"&amp;"*")=1,"LOMAS",IF(COUNTIF(D7,"*"&amp;"LAGO"&amp;"*")=1,"LAGO","")))))))))))))</f>
        <v/>
      </c>
      <c r="F3" s="52"/>
      <c r="G3" s="56"/>
      <c r="H3" s="68" t="s">
        <v>41</v>
      </c>
      <c r="I3" s="234" t="str">
        <f>CONCATENATE($D$10,"  | ",MID($D$7,1,1),RIGHT($D$7,1)," | ","L-",$D$8," | ", $D$9,"m2")</f>
        <v>ESTÁNDAR  | M  | L-45 | 200m2</v>
      </c>
      <c r="J3" s="235"/>
      <c r="L3"/>
    </row>
    <row r="4" spans="1:12" ht="21" thickBot="1" x14ac:dyDescent="0.35">
      <c r="A4" s="239"/>
      <c r="B4" s="239"/>
      <c r="D4" s="4"/>
      <c r="E4" s="4"/>
      <c r="F4" s="52"/>
      <c r="G4" s="56"/>
      <c r="H4" s="4"/>
      <c r="I4" s="4"/>
      <c r="J4" s="6"/>
      <c r="L4" s="6"/>
    </row>
    <row r="5" spans="1:12" ht="21" thickBot="1" x14ac:dyDescent="0.35">
      <c r="A5" s="239"/>
      <c r="B5" s="239"/>
      <c r="C5" s="175" t="s">
        <v>197</v>
      </c>
      <c r="D5" s="4"/>
      <c r="E5" s="4"/>
      <c r="F5" s="57"/>
      <c r="G5" s="4"/>
      <c r="H5" s="173" t="s">
        <v>189</v>
      </c>
      <c r="I5" s="174" t="s">
        <v>190</v>
      </c>
      <c r="J5" s="6"/>
      <c r="L5" s="6"/>
    </row>
    <row r="6" spans="1:12" ht="17.25" thickBot="1" x14ac:dyDescent="0.35">
      <c r="A6" s="4"/>
      <c r="B6" s="7"/>
      <c r="D6" s="4"/>
      <c r="E6" s="4"/>
      <c r="F6" s="4"/>
      <c r="G6" s="4"/>
      <c r="H6" s="165"/>
      <c r="I6" s="166"/>
      <c r="J6" s="167"/>
      <c r="L6" s="6"/>
    </row>
    <row r="7" spans="1:12" ht="18" x14ac:dyDescent="0.3">
      <c r="A7" s="4"/>
      <c r="B7" s="4"/>
      <c r="C7" s="82" t="s">
        <v>44</v>
      </c>
      <c r="D7" s="132" t="s">
        <v>250</v>
      </c>
      <c r="E7" s="4"/>
      <c r="F7" s="4"/>
      <c r="G7" s="65"/>
      <c r="H7" s="168" t="s">
        <v>42</v>
      </c>
      <c r="I7" s="208">
        <f>D11*D9</f>
        <v>960000</v>
      </c>
      <c r="J7" s="199"/>
      <c r="L7" s="6"/>
    </row>
    <row r="8" spans="1:12" ht="18.75" x14ac:dyDescent="0.3">
      <c r="A8" s="4"/>
      <c r="B8" s="4"/>
      <c r="C8" s="66" t="s">
        <v>52</v>
      </c>
      <c r="D8" s="133">
        <v>45</v>
      </c>
      <c r="E8" s="4"/>
      <c r="F8" s="4"/>
      <c r="G8" s="65"/>
      <c r="H8" s="169" t="s">
        <v>27</v>
      </c>
      <c r="I8" s="209">
        <f>$I$7*$J$8</f>
        <v>249600</v>
      </c>
      <c r="J8" s="225">
        <f>IF($D$14="Asesor Opción 1",26%,IF($D$14="Asesor Opción 2",23%,IF($D$14="Asesor Opción 3",23%,IF($D$14="Gerente Opción 1",27%,IF($D$14="Gerente Opción 2",23%,IF($D$14="Gerente Opción 3",23%,IF($D$14="DVR Opción 1",28%,IF($D$14="DVR Opción 2",23%,IF($D$14="DVR Opción 3",23%,IF($D$14="DVN Opción 1",28.5%,IF($D$14="DVN Opción 2",23%,IF($D$14="DVN Opción 3",23%,""))))))))))))</f>
        <v>0.26</v>
      </c>
      <c r="L8" s="6"/>
    </row>
    <row r="9" spans="1:12" ht="18.75" x14ac:dyDescent="0.3">
      <c r="A9" s="4"/>
      <c r="B9" s="4"/>
      <c r="C9" s="66" t="s">
        <v>1</v>
      </c>
      <c r="D9" s="211">
        <v>200</v>
      </c>
      <c r="E9" s="4"/>
      <c r="F9" s="65"/>
      <c r="G9" s="65"/>
      <c r="H9" s="170" t="s">
        <v>183</v>
      </c>
      <c r="I9" s="210">
        <f>I7-I8</f>
        <v>710400</v>
      </c>
      <c r="J9" s="200"/>
      <c r="L9" s="163">
        <f>J10</f>
        <v>0.08</v>
      </c>
    </row>
    <row r="10" spans="1:12" ht="18.75" x14ac:dyDescent="0.3">
      <c r="A10" s="4"/>
      <c r="B10" s="4"/>
      <c r="C10" s="176" t="s">
        <v>191</v>
      </c>
      <c r="D10" s="196" t="str">
        <f>IF(D11=4500,"ESTÁNDAR",IF(D11=4725,"PREMIUM",IF(D11=5400,"ESTÁNDAR",IF(D11=5700,"PREMIUM",IF(D11=5770.3,"ESTÁNDAR",IF(D11=6200,"PREMIUM",IF(D11=4800,"ESTÁNDAR",IF(D11=5040,"PREMIUM",0))))))))</f>
        <v>ESTÁNDAR</v>
      </c>
      <c r="E10" s="4"/>
      <c r="F10" s="65"/>
      <c r="G10" s="65"/>
      <c r="H10" s="171" t="s">
        <v>184</v>
      </c>
      <c r="I10" s="201">
        <f>$I$9*$J$10</f>
        <v>56832</v>
      </c>
      <c r="J10" s="226">
        <f>IF($D$14="Asesor Opción 1",8%,IF($D$14="Asesor Opción 2",5%,IF($D$14="Asesor Opción 3",0%,IF($D$14="Gerente Opción 1",8%,IF($D$14="Gerente Opción 2",5%,IF($D$14="Gerente Opción 3",0%,IF($D$14="DVR Opción 1",8%,IF($D$14="DVR Opción 2",5%,IF($D$14="DVR Opción 3",0%,IF($D$14="DVN Opción 1",8%,IF($D$14="DVN Opción 2",5%,IF($D$14="DVN Opción 3",0%,""))))))))))))</f>
        <v>0.08</v>
      </c>
      <c r="L10" s="164"/>
    </row>
    <row r="11" spans="1:12" ht="36" x14ac:dyDescent="0.3">
      <c r="A11" s="4"/>
      <c r="B11" s="4"/>
      <c r="C11" s="134" t="s">
        <v>192</v>
      </c>
      <c r="D11" s="135">
        <v>4800</v>
      </c>
      <c r="E11" s="4"/>
      <c r="F11" s="177"/>
      <c r="G11" s="178"/>
      <c r="H11" s="172" t="s">
        <v>185</v>
      </c>
      <c r="I11" s="202">
        <f>I9*0.1*J11</f>
        <v>0</v>
      </c>
      <c r="J11" s="227">
        <f>IF($D$14="Asesor Opción 1",0%,IF($D$14="Asesor Opción 2",0%,IF($D$14="Asesor Opción 3",0%,IF($D$14="Gerente Opción 1",0%,IF($D$14="Gerente Opción 2",0%,IF($D$14="Gerente Opción 3",0%,IF($D$14="DVR Opción 1",0%,IF($D$14="DVR Opción 2",0%,IF($D$14="DVR Opción 3",0%,IF($D$14="DVN Opción 1",0%,IF($D$14="DVN Opción 2",0%,IF($D$14="DVN Opción 3",0%,""))))))))))))</f>
        <v>0</v>
      </c>
    </row>
    <row r="12" spans="1:12" ht="18.75" thickBot="1" x14ac:dyDescent="0.35">
      <c r="A12" s="4"/>
      <c r="B12" s="4"/>
      <c r="C12" s="67" t="s">
        <v>193</v>
      </c>
      <c r="D12" s="197">
        <f>D11-(D11*J8)</f>
        <v>3552</v>
      </c>
      <c r="E12" s="55"/>
      <c r="F12" s="178"/>
      <c r="G12" s="178"/>
      <c r="H12" s="172" t="s">
        <v>186</v>
      </c>
      <c r="I12" s="201" t="str">
        <f>IF(L10&gt;I10,L10-(I10-I11),"0")</f>
        <v>0</v>
      </c>
      <c r="J12" s="203">
        <f>I12/I9</f>
        <v>0</v>
      </c>
    </row>
    <row r="13" spans="1:12" ht="18.75" thickBot="1" x14ac:dyDescent="0.35">
      <c r="A13" s="4"/>
      <c r="B13" s="4"/>
      <c r="C13" s="4"/>
      <c r="D13" s="4"/>
      <c r="E13" s="55"/>
      <c r="F13" s="70"/>
      <c r="G13" s="70"/>
      <c r="H13" s="168" t="s">
        <v>187</v>
      </c>
      <c r="I13" s="204">
        <f>I10-I11+I12</f>
        <v>56832</v>
      </c>
      <c r="J13" s="205">
        <f>I13/I9</f>
        <v>0.08</v>
      </c>
    </row>
    <row r="14" spans="1:12" ht="32.25" customHeight="1" thickBot="1" x14ac:dyDescent="0.35">
      <c r="A14" s="4"/>
      <c r="B14" s="4"/>
      <c r="C14" s="223" t="s">
        <v>203</v>
      </c>
      <c r="D14" s="224" t="s">
        <v>204</v>
      </c>
      <c r="E14" s="55"/>
      <c r="F14" s="70"/>
      <c r="G14" s="70"/>
      <c r="H14" s="168" t="s">
        <v>95</v>
      </c>
      <c r="I14" s="204">
        <f>SUM(I13+I15)</f>
        <v>710400</v>
      </c>
      <c r="J14" s="206"/>
    </row>
    <row r="15" spans="1:12" ht="34.5" customHeight="1" x14ac:dyDescent="0.3">
      <c r="A15" s="4"/>
      <c r="B15" s="4"/>
      <c r="C15" s="4"/>
      <c r="D15" s="54"/>
      <c r="E15" s="55"/>
      <c r="F15" s="70"/>
      <c r="G15" s="70"/>
      <c r="H15" s="168" t="s">
        <v>188</v>
      </c>
      <c r="I15" s="204">
        <f>I9-$I$10-I12</f>
        <v>653568</v>
      </c>
      <c r="J15" s="207"/>
    </row>
    <row r="16" spans="1:12" ht="17.25" thickBot="1" x14ac:dyDescent="0.35">
      <c r="A16" s="4"/>
      <c r="B16" s="4"/>
      <c r="C16" s="4"/>
      <c r="D16" s="4"/>
      <c r="E16" s="4"/>
      <c r="F16" s="8"/>
      <c r="G16" s="4"/>
      <c r="H16" s="4"/>
      <c r="I16" s="53"/>
      <c r="J16" s="6"/>
    </row>
    <row r="17" spans="1:10" ht="18.75" thickBot="1" x14ac:dyDescent="0.35">
      <c r="A17" s="4"/>
      <c r="B17" s="182" t="s">
        <v>195</v>
      </c>
      <c r="C17" s="189"/>
      <c r="D17" s="4"/>
      <c r="E17" s="4"/>
      <c r="F17" s="65"/>
      <c r="G17" s="4"/>
      <c r="H17" s="181" t="s">
        <v>194</v>
      </c>
      <c r="J17" s="181" t="s">
        <v>190</v>
      </c>
    </row>
    <row r="18" spans="1:10" ht="17.25" thickBot="1" x14ac:dyDescent="0.35">
      <c r="A18" s="4"/>
      <c r="B18" s="7"/>
      <c r="C18" s="4"/>
      <c r="D18" s="190">
        <v>15</v>
      </c>
      <c r="E18" s="9">
        <f>D18*12</f>
        <v>180</v>
      </c>
      <c r="F18" s="65"/>
      <c r="G18" s="4"/>
      <c r="I18" s="69"/>
    </row>
    <row r="19" spans="1:10" ht="18.75" x14ac:dyDescent="0.3">
      <c r="A19" s="4"/>
      <c r="B19" s="183">
        <v>1</v>
      </c>
      <c r="C19" s="184">
        <f>D19</f>
        <v>48</v>
      </c>
      <c r="D19" s="140">
        <f>IF(D18&lt;4,D18*12,IF(D18&gt;=4,4*12,0))</f>
        <v>48</v>
      </c>
      <c r="E19" s="191">
        <v>0</v>
      </c>
      <c r="F19" s="65"/>
      <c r="G19" s="4"/>
      <c r="H19" s="179">
        <f t="shared" ref="H19:I21" si="0">B19</f>
        <v>1</v>
      </c>
      <c r="I19" s="180">
        <f t="shared" si="0"/>
        <v>48</v>
      </c>
      <c r="J19" s="198">
        <f>$D$41</f>
        <v>3630.9333333333334</v>
      </c>
    </row>
    <row r="20" spans="1:10" ht="18.75" x14ac:dyDescent="0.3">
      <c r="A20" s="4"/>
      <c r="B20" s="186">
        <f>IF(C19&gt;=48,C19+1,IF(C19&lt;36,0,0))</f>
        <v>49</v>
      </c>
      <c r="C20" s="185">
        <f>SUM(D19:D20)</f>
        <v>120</v>
      </c>
      <c r="D20" s="194">
        <f>IF(E18&lt;=120,(E18-D19),IF(E18&gt;120,(120-D19),0))</f>
        <v>72</v>
      </c>
      <c r="E20" s="192">
        <v>0.01</v>
      </c>
      <c r="F20" s="65"/>
      <c r="G20" s="4"/>
      <c r="H20" s="179">
        <f t="shared" si="0"/>
        <v>49</v>
      </c>
      <c r="I20" s="180">
        <f t="shared" si="0"/>
        <v>120</v>
      </c>
      <c r="J20" s="198">
        <f>$D$101</f>
        <v>6555.577511136622</v>
      </c>
    </row>
    <row r="21" spans="1:10" ht="19.5" thickBot="1" x14ac:dyDescent="0.35">
      <c r="A21" s="4"/>
      <c r="B21" s="187">
        <f>IF(D20&gt;=72,C20+1,IF(D20&lt;72,0))</f>
        <v>121</v>
      </c>
      <c r="C21" s="188">
        <f>IF(B21&gt;1,E18,0)</f>
        <v>180</v>
      </c>
      <c r="D21" s="195">
        <f>IF(E18&gt;=120,E18-SUM(D19:D20),0)</f>
        <v>60</v>
      </c>
      <c r="E21" s="193">
        <v>1.2500000000000001E-2</v>
      </c>
      <c r="F21" s="65"/>
      <c r="G21" s="4"/>
      <c r="H21" s="179">
        <f t="shared" si="0"/>
        <v>121</v>
      </c>
      <c r="I21" s="180">
        <f t="shared" si="0"/>
        <v>180</v>
      </c>
      <c r="J21" s="198">
        <f>$D$186</f>
        <v>7011.0408167832429</v>
      </c>
    </row>
    <row r="22" spans="1:10" x14ac:dyDescent="0.3">
      <c r="B22" s="4"/>
      <c r="C22" s="4"/>
      <c r="D22" s="4"/>
      <c r="E22" s="4" t="e">
        <f>SUM</f>
        <v>#NAME?</v>
      </c>
      <c r="F22" s="65"/>
      <c r="G22" s="4"/>
      <c r="H22" s="4"/>
      <c r="I22" s="6"/>
      <c r="J22" s="6"/>
    </row>
    <row r="23" spans="1:10" x14ac:dyDescent="0.3">
      <c r="A23" s="61" t="s">
        <v>28</v>
      </c>
      <c r="B23" s="4"/>
      <c r="D23" s="4"/>
      <c r="E23" s="4"/>
      <c r="F23" s="65"/>
      <c r="G23" s="4"/>
      <c r="H23" s="2"/>
      <c r="I23" s="83"/>
      <c r="J23" s="6"/>
    </row>
    <row r="24" spans="1:10" x14ac:dyDescent="0.3">
      <c r="A24" s="62" t="s">
        <v>35</v>
      </c>
      <c r="B24" s="4"/>
      <c r="C24" s="62" t="s">
        <v>36</v>
      </c>
      <c r="D24" s="4"/>
      <c r="E24" s="4"/>
      <c r="F24" s="10"/>
      <c r="G24" s="4"/>
      <c r="H24" s="2"/>
      <c r="I24" s="83"/>
      <c r="J24" s="6"/>
    </row>
    <row r="25" spans="1:10" x14ac:dyDescent="0.3">
      <c r="A25" s="63" t="s">
        <v>29</v>
      </c>
      <c r="B25" s="11"/>
      <c r="C25" s="4" t="s">
        <v>37</v>
      </c>
      <c r="D25" s="4"/>
      <c r="E25" s="4"/>
      <c r="F25" s="12"/>
      <c r="G25" s="4"/>
      <c r="J25" s="6"/>
    </row>
    <row r="26" spans="1:10" x14ac:dyDescent="0.3">
      <c r="A26" s="64" t="s">
        <v>30</v>
      </c>
      <c r="B26" s="11"/>
      <c r="C26" s="4" t="s">
        <v>38</v>
      </c>
      <c r="D26" s="4"/>
      <c r="E26" s="4"/>
      <c r="F26" s="12"/>
      <c r="G26" s="12"/>
      <c r="H26" s="2"/>
      <c r="I26" s="83"/>
      <c r="J26" s="6"/>
    </row>
    <row r="27" spans="1:10" x14ac:dyDescent="0.3">
      <c r="A27" s="64" t="s">
        <v>31</v>
      </c>
      <c r="B27" s="11"/>
      <c r="C27" s="4" t="s">
        <v>39</v>
      </c>
      <c r="D27" s="4"/>
      <c r="E27" s="4"/>
      <c r="F27" s="12"/>
      <c r="G27" s="4"/>
      <c r="H27" s="2"/>
      <c r="I27" s="83"/>
      <c r="J27" s="6"/>
    </row>
    <row r="28" spans="1:10" x14ac:dyDescent="0.3">
      <c r="A28" s="64" t="s">
        <v>32</v>
      </c>
      <c r="B28" s="11"/>
      <c r="C28" s="4" t="s">
        <v>40</v>
      </c>
      <c r="D28" s="4"/>
      <c r="E28" s="4"/>
      <c r="F28" s="12"/>
      <c r="G28" s="4"/>
      <c r="H28" s="2"/>
      <c r="I28" s="83"/>
      <c r="J28" s="6"/>
    </row>
    <row r="29" spans="1:10" ht="17.25" customHeight="1" x14ac:dyDescent="0.3">
      <c r="A29" s="64" t="s">
        <v>33</v>
      </c>
      <c r="B29" s="4"/>
      <c r="C29" s="4"/>
      <c r="D29" s="4"/>
      <c r="E29" s="4"/>
      <c r="F29" s="11"/>
      <c r="G29" s="4"/>
      <c r="H29" s="2"/>
      <c r="I29" s="83"/>
      <c r="J29" s="6"/>
    </row>
    <row r="30" spans="1:10" ht="17.25" customHeight="1" x14ac:dyDescent="0.3">
      <c r="A30" s="64" t="s">
        <v>34</v>
      </c>
      <c r="B30" s="159"/>
      <c r="C30" s="159"/>
      <c r="D30" s="159"/>
      <c r="E30" s="159"/>
      <c r="F30" s="159"/>
      <c r="G30" s="159"/>
      <c r="H30" s="238" t="s">
        <v>244</v>
      </c>
      <c r="I30" s="238"/>
      <c r="J30" s="6"/>
    </row>
    <row r="31" spans="1:10" x14ac:dyDescent="0.3">
      <c r="A31" s="237" t="s">
        <v>100</v>
      </c>
      <c r="B31" s="237"/>
      <c r="C31" s="237"/>
      <c r="D31" s="237"/>
      <c r="E31" s="237"/>
      <c r="F31" s="237"/>
      <c r="G31" s="237"/>
      <c r="H31" s="238"/>
      <c r="I31" s="238"/>
      <c r="J31" s="6"/>
    </row>
    <row r="32" spans="1:10" x14ac:dyDescent="0.3">
      <c r="A32" s="236" t="s">
        <v>125</v>
      </c>
      <c r="B32" s="236"/>
      <c r="C32" s="236"/>
      <c r="D32" s="236"/>
      <c r="E32" s="236"/>
      <c r="F32" s="236"/>
      <c r="G32" s="236"/>
      <c r="H32" s="236"/>
      <c r="I32" s="236"/>
      <c r="J32" s="6"/>
    </row>
    <row r="33" spans="1:15" ht="16.5" hidden="1" customHeight="1" outlineLevel="1" x14ac:dyDescent="0.3">
      <c r="C33" s="13" t="s">
        <v>2</v>
      </c>
      <c r="D33" s="14">
        <f>$I$9</f>
        <v>710400</v>
      </c>
      <c r="J33" s="6"/>
      <c r="O33" s="5"/>
    </row>
    <row r="34" spans="1:15" ht="16.5" hidden="1" customHeight="1" outlineLevel="1" x14ac:dyDescent="0.3">
      <c r="C34" s="13" t="s">
        <v>3</v>
      </c>
      <c r="D34" s="14">
        <f>$I$10+I12</f>
        <v>56832</v>
      </c>
      <c r="J34" s="6"/>
      <c r="O34" s="5"/>
    </row>
    <row r="35" spans="1:15" ht="16.5" hidden="1" customHeight="1" outlineLevel="1" x14ac:dyDescent="0.3">
      <c r="C35" s="13" t="s">
        <v>4</v>
      </c>
      <c r="D35" s="15">
        <f>D33-D34</f>
        <v>653568</v>
      </c>
      <c r="J35" s="6"/>
    </row>
    <row r="36" spans="1:15" ht="16.5" hidden="1" customHeight="1" outlineLevel="1" x14ac:dyDescent="0.3">
      <c r="C36" s="16" t="s">
        <v>5</v>
      </c>
      <c r="D36" s="17">
        <f>$D$18</f>
        <v>15</v>
      </c>
      <c r="J36" s="6"/>
    </row>
    <row r="37" spans="1:15" ht="16.5" hidden="1" customHeight="1" outlineLevel="1" x14ac:dyDescent="0.3">
      <c r="C37" s="13" t="s">
        <v>6</v>
      </c>
      <c r="D37" s="18">
        <f>D36*12</f>
        <v>180</v>
      </c>
      <c r="J37" s="6"/>
    </row>
    <row r="38" spans="1:15" ht="16.5" hidden="1" customHeight="1" outlineLevel="1" x14ac:dyDescent="0.3">
      <c r="C38" s="16" t="s">
        <v>7</v>
      </c>
      <c r="D38" s="19">
        <f>D39/12</f>
        <v>4</v>
      </c>
      <c r="J38" s="6"/>
    </row>
    <row r="39" spans="1:15" ht="16.5" hidden="1" customHeight="1" outlineLevel="1" x14ac:dyDescent="0.3">
      <c r="C39" s="20" t="s">
        <v>8</v>
      </c>
      <c r="D39" s="21">
        <f>$D$19</f>
        <v>48</v>
      </c>
      <c r="J39" s="6"/>
    </row>
    <row r="40" spans="1:15" ht="16.5" hidden="1" customHeight="1" outlineLevel="1" x14ac:dyDescent="0.3">
      <c r="C40" s="16" t="s">
        <v>9</v>
      </c>
      <c r="D40" s="22">
        <f>$E$19</f>
        <v>0</v>
      </c>
      <c r="J40" s="6"/>
    </row>
    <row r="41" spans="1:15" ht="16.5" hidden="1" customHeight="1" outlineLevel="1" x14ac:dyDescent="0.3">
      <c r="C41" s="16" t="s">
        <v>10</v>
      </c>
      <c r="D41" s="23">
        <f>-PMT(D40,D37,D35)</f>
        <v>3630.9333333333334</v>
      </c>
      <c r="J41" s="6"/>
    </row>
    <row r="42" spans="1:15" ht="16.5" hidden="1" customHeight="1" outlineLevel="1" x14ac:dyDescent="0.3">
      <c r="D42" s="23">
        <f>D41*D39</f>
        <v>174284.79999999999</v>
      </c>
      <c r="J42" s="6"/>
    </row>
    <row r="43" spans="1:15" collapsed="1" x14ac:dyDescent="0.3">
      <c r="A43" s="24" t="s">
        <v>11</v>
      </c>
      <c r="B43" s="24" t="s">
        <v>12</v>
      </c>
      <c r="C43" s="24" t="s">
        <v>13</v>
      </c>
      <c r="D43" s="24" t="s">
        <v>14</v>
      </c>
      <c r="E43" s="24" t="s">
        <v>15</v>
      </c>
      <c r="F43" s="24" t="s">
        <v>16</v>
      </c>
      <c r="G43" s="24" t="s">
        <v>17</v>
      </c>
      <c r="H43" s="24" t="s">
        <v>18</v>
      </c>
      <c r="I43" s="51" t="s">
        <v>19</v>
      </c>
      <c r="J43" s="6"/>
    </row>
    <row r="44" spans="1:15" x14ac:dyDescent="0.3">
      <c r="A44" s="25">
        <v>1</v>
      </c>
      <c r="B44" s="212">
        <v>44625</v>
      </c>
      <c r="C44" s="27">
        <f>$D$35</f>
        <v>653568</v>
      </c>
      <c r="D44" s="29">
        <f t="shared" ref="D44:D91" si="1">IF(A44&lt;49,(-PMT($D$40,$D$37,$D$35)))</f>
        <v>3630.9333333333334</v>
      </c>
      <c r="E44" s="71"/>
      <c r="F44" s="29">
        <f>SUM(D44:E44)</f>
        <v>3630.9333333333334</v>
      </c>
      <c r="G44" s="27">
        <f t="shared" ref="G44:G91" si="2">IF(A44&lt;=48,(C44*$D$40),0)</f>
        <v>0</v>
      </c>
      <c r="H44" s="29">
        <f t="shared" ref="H44:H91" si="3">D44-G44</f>
        <v>3630.9333333333334</v>
      </c>
      <c r="I44" s="29">
        <f>C44-H44</f>
        <v>649937.06666666665</v>
      </c>
      <c r="J44" s="6"/>
    </row>
    <row r="45" spans="1:15" x14ac:dyDescent="0.3">
      <c r="A45" s="25">
        <f t="shared" ref="A45:A91" si="4">IF(A44&lt;$D$37,A44+1,"")</f>
        <v>2</v>
      </c>
      <c r="B45" s="26">
        <f t="shared" ref="B45:B91" si="5">IF(A44&lt;$E$18,DATE(YEAR(B44),MONTH(B44)+1,DAY(B44)),"")</f>
        <v>44656</v>
      </c>
      <c r="C45" s="27">
        <f>I44</f>
        <v>649937.06666666665</v>
      </c>
      <c r="D45" s="29">
        <f t="shared" si="1"/>
        <v>3630.9333333333334</v>
      </c>
      <c r="E45" s="71"/>
      <c r="F45" s="29">
        <f t="shared" ref="F45:F91" si="6">SUM(D45:E45)</f>
        <v>3630.9333333333334</v>
      </c>
      <c r="G45" s="27">
        <f t="shared" si="2"/>
        <v>0</v>
      </c>
      <c r="H45" s="29">
        <f t="shared" si="3"/>
        <v>3630.9333333333334</v>
      </c>
      <c r="I45" s="29">
        <f t="shared" ref="I45:I91" si="7">C45-H45</f>
        <v>646306.1333333333</v>
      </c>
      <c r="J45" s="6"/>
    </row>
    <row r="46" spans="1:15" x14ac:dyDescent="0.3">
      <c r="A46" s="25">
        <f t="shared" si="4"/>
        <v>3</v>
      </c>
      <c r="B46" s="26">
        <f t="shared" si="5"/>
        <v>44686</v>
      </c>
      <c r="C46" s="27">
        <f t="shared" ref="C46:C91" si="8">I45</f>
        <v>646306.1333333333</v>
      </c>
      <c r="D46" s="29">
        <f t="shared" si="1"/>
        <v>3630.9333333333334</v>
      </c>
      <c r="E46" s="71"/>
      <c r="F46" s="29">
        <f t="shared" si="6"/>
        <v>3630.9333333333334</v>
      </c>
      <c r="G46" s="27">
        <f t="shared" si="2"/>
        <v>0</v>
      </c>
      <c r="H46" s="29">
        <f t="shared" si="3"/>
        <v>3630.9333333333334</v>
      </c>
      <c r="I46" s="29">
        <f t="shared" si="7"/>
        <v>642675.19999999995</v>
      </c>
      <c r="J46" s="6"/>
    </row>
    <row r="47" spans="1:15" x14ac:dyDescent="0.3">
      <c r="A47" s="25">
        <f t="shared" si="4"/>
        <v>4</v>
      </c>
      <c r="B47" s="26">
        <f t="shared" si="5"/>
        <v>44717</v>
      </c>
      <c r="C47" s="27">
        <f t="shared" si="8"/>
        <v>642675.19999999995</v>
      </c>
      <c r="D47" s="29">
        <f t="shared" si="1"/>
        <v>3630.9333333333334</v>
      </c>
      <c r="E47" s="71"/>
      <c r="F47" s="29">
        <f t="shared" si="6"/>
        <v>3630.9333333333334</v>
      </c>
      <c r="G47" s="27">
        <f t="shared" si="2"/>
        <v>0</v>
      </c>
      <c r="H47" s="29">
        <f t="shared" si="3"/>
        <v>3630.9333333333334</v>
      </c>
      <c r="I47" s="29">
        <f t="shared" si="7"/>
        <v>639044.2666666666</v>
      </c>
      <c r="J47" s="6"/>
    </row>
    <row r="48" spans="1:15" x14ac:dyDescent="0.3">
      <c r="A48" s="25">
        <f t="shared" si="4"/>
        <v>5</v>
      </c>
      <c r="B48" s="26">
        <f t="shared" si="5"/>
        <v>44747</v>
      </c>
      <c r="C48" s="27">
        <f t="shared" si="8"/>
        <v>639044.2666666666</v>
      </c>
      <c r="D48" s="29">
        <f t="shared" si="1"/>
        <v>3630.9333333333334</v>
      </c>
      <c r="E48" s="71"/>
      <c r="F48" s="29">
        <f t="shared" si="6"/>
        <v>3630.9333333333334</v>
      </c>
      <c r="G48" s="27">
        <f t="shared" si="2"/>
        <v>0</v>
      </c>
      <c r="H48" s="29">
        <f t="shared" si="3"/>
        <v>3630.9333333333334</v>
      </c>
      <c r="I48" s="29">
        <f t="shared" si="7"/>
        <v>635413.33333333326</v>
      </c>
      <c r="J48" s="6"/>
    </row>
    <row r="49" spans="1:10" x14ac:dyDescent="0.3">
      <c r="A49" s="25">
        <f t="shared" si="4"/>
        <v>6</v>
      </c>
      <c r="B49" s="26">
        <f t="shared" si="5"/>
        <v>44778</v>
      </c>
      <c r="C49" s="27">
        <f t="shared" si="8"/>
        <v>635413.33333333326</v>
      </c>
      <c r="D49" s="29">
        <f t="shared" si="1"/>
        <v>3630.9333333333334</v>
      </c>
      <c r="E49" s="71"/>
      <c r="F49" s="29">
        <f t="shared" si="6"/>
        <v>3630.9333333333334</v>
      </c>
      <c r="G49" s="27">
        <f t="shared" si="2"/>
        <v>0</v>
      </c>
      <c r="H49" s="29">
        <f t="shared" si="3"/>
        <v>3630.9333333333334</v>
      </c>
      <c r="I49" s="29">
        <f t="shared" si="7"/>
        <v>631782.39999999991</v>
      </c>
      <c r="J49" s="6"/>
    </row>
    <row r="50" spans="1:10" x14ac:dyDescent="0.3">
      <c r="A50" s="25">
        <f t="shared" si="4"/>
        <v>7</v>
      </c>
      <c r="B50" s="26">
        <f t="shared" si="5"/>
        <v>44809</v>
      </c>
      <c r="C50" s="27">
        <f t="shared" si="8"/>
        <v>631782.39999999991</v>
      </c>
      <c r="D50" s="29">
        <f t="shared" si="1"/>
        <v>3630.9333333333334</v>
      </c>
      <c r="E50" s="71"/>
      <c r="F50" s="29">
        <f t="shared" si="6"/>
        <v>3630.9333333333334</v>
      </c>
      <c r="G50" s="27">
        <f t="shared" si="2"/>
        <v>0</v>
      </c>
      <c r="H50" s="29">
        <f t="shared" si="3"/>
        <v>3630.9333333333334</v>
      </c>
      <c r="I50" s="29">
        <f t="shared" si="7"/>
        <v>628151.46666666656</v>
      </c>
      <c r="J50" s="6"/>
    </row>
    <row r="51" spans="1:10" x14ac:dyDescent="0.3">
      <c r="A51" s="25">
        <f t="shared" si="4"/>
        <v>8</v>
      </c>
      <c r="B51" s="26">
        <f t="shared" si="5"/>
        <v>44839</v>
      </c>
      <c r="C51" s="27">
        <f t="shared" si="8"/>
        <v>628151.46666666656</v>
      </c>
      <c r="D51" s="29">
        <f t="shared" si="1"/>
        <v>3630.9333333333334</v>
      </c>
      <c r="E51" s="71"/>
      <c r="F51" s="29">
        <f t="shared" si="6"/>
        <v>3630.9333333333334</v>
      </c>
      <c r="G51" s="27">
        <f t="shared" si="2"/>
        <v>0</v>
      </c>
      <c r="H51" s="29">
        <f t="shared" si="3"/>
        <v>3630.9333333333334</v>
      </c>
      <c r="I51" s="29">
        <f t="shared" si="7"/>
        <v>624520.53333333321</v>
      </c>
      <c r="J51" s="6"/>
    </row>
    <row r="52" spans="1:10" x14ac:dyDescent="0.3">
      <c r="A52" s="25">
        <f t="shared" si="4"/>
        <v>9</v>
      </c>
      <c r="B52" s="26">
        <f t="shared" si="5"/>
        <v>44870</v>
      </c>
      <c r="C52" s="27">
        <f t="shared" si="8"/>
        <v>624520.53333333321</v>
      </c>
      <c r="D52" s="29">
        <f t="shared" si="1"/>
        <v>3630.9333333333334</v>
      </c>
      <c r="E52" s="71"/>
      <c r="F52" s="29">
        <f t="shared" si="6"/>
        <v>3630.9333333333334</v>
      </c>
      <c r="G52" s="27">
        <f t="shared" si="2"/>
        <v>0</v>
      </c>
      <c r="H52" s="29">
        <f t="shared" si="3"/>
        <v>3630.9333333333334</v>
      </c>
      <c r="I52" s="29">
        <f t="shared" si="7"/>
        <v>620889.59999999986</v>
      </c>
      <c r="J52" s="6"/>
    </row>
    <row r="53" spans="1:10" x14ac:dyDescent="0.3">
      <c r="A53" s="25">
        <f t="shared" si="4"/>
        <v>10</v>
      </c>
      <c r="B53" s="26">
        <f t="shared" si="5"/>
        <v>44900</v>
      </c>
      <c r="C53" s="27">
        <f t="shared" si="8"/>
        <v>620889.59999999986</v>
      </c>
      <c r="D53" s="29">
        <f t="shared" si="1"/>
        <v>3630.9333333333334</v>
      </c>
      <c r="E53" s="71"/>
      <c r="F53" s="29">
        <f t="shared" si="6"/>
        <v>3630.9333333333334</v>
      </c>
      <c r="G53" s="27">
        <f t="shared" si="2"/>
        <v>0</v>
      </c>
      <c r="H53" s="29">
        <f t="shared" si="3"/>
        <v>3630.9333333333334</v>
      </c>
      <c r="I53" s="29">
        <f t="shared" si="7"/>
        <v>617258.66666666651</v>
      </c>
      <c r="J53" s="6"/>
    </row>
    <row r="54" spans="1:10" x14ac:dyDescent="0.3">
      <c r="A54" s="25">
        <f t="shared" si="4"/>
        <v>11</v>
      </c>
      <c r="B54" s="26">
        <f t="shared" si="5"/>
        <v>44931</v>
      </c>
      <c r="C54" s="27">
        <f t="shared" si="8"/>
        <v>617258.66666666651</v>
      </c>
      <c r="D54" s="29">
        <f t="shared" si="1"/>
        <v>3630.9333333333334</v>
      </c>
      <c r="E54" s="71"/>
      <c r="F54" s="29">
        <f t="shared" si="6"/>
        <v>3630.9333333333334</v>
      </c>
      <c r="G54" s="27">
        <f t="shared" si="2"/>
        <v>0</v>
      </c>
      <c r="H54" s="29">
        <f t="shared" si="3"/>
        <v>3630.9333333333334</v>
      </c>
      <c r="I54" s="29">
        <f t="shared" si="7"/>
        <v>613627.73333333316</v>
      </c>
      <c r="J54" s="6"/>
    </row>
    <row r="55" spans="1:10" x14ac:dyDescent="0.3">
      <c r="A55" s="25">
        <f t="shared" si="4"/>
        <v>12</v>
      </c>
      <c r="B55" s="26">
        <f t="shared" si="5"/>
        <v>44962</v>
      </c>
      <c r="C55" s="27">
        <f t="shared" si="8"/>
        <v>613627.73333333316</v>
      </c>
      <c r="D55" s="29">
        <f t="shared" si="1"/>
        <v>3630.9333333333334</v>
      </c>
      <c r="E55" s="71"/>
      <c r="F55" s="29">
        <f t="shared" si="6"/>
        <v>3630.9333333333334</v>
      </c>
      <c r="G55" s="27">
        <f t="shared" si="2"/>
        <v>0</v>
      </c>
      <c r="H55" s="29">
        <f t="shared" si="3"/>
        <v>3630.9333333333334</v>
      </c>
      <c r="I55" s="29">
        <f t="shared" si="7"/>
        <v>609996.79999999981</v>
      </c>
      <c r="J55" s="6"/>
    </row>
    <row r="56" spans="1:10" x14ac:dyDescent="0.3">
      <c r="A56" s="25">
        <f t="shared" si="4"/>
        <v>13</v>
      </c>
      <c r="B56" s="26">
        <f t="shared" si="5"/>
        <v>44990</v>
      </c>
      <c r="C56" s="27">
        <f t="shared" si="8"/>
        <v>609996.79999999981</v>
      </c>
      <c r="D56" s="29">
        <f t="shared" si="1"/>
        <v>3630.9333333333334</v>
      </c>
      <c r="E56" s="71"/>
      <c r="F56" s="29">
        <f t="shared" si="6"/>
        <v>3630.9333333333334</v>
      </c>
      <c r="G56" s="27">
        <f t="shared" si="2"/>
        <v>0</v>
      </c>
      <c r="H56" s="29">
        <f t="shared" si="3"/>
        <v>3630.9333333333334</v>
      </c>
      <c r="I56" s="29">
        <f t="shared" si="7"/>
        <v>606365.86666666646</v>
      </c>
      <c r="J56" s="6"/>
    </row>
    <row r="57" spans="1:10" x14ac:dyDescent="0.3">
      <c r="A57" s="25">
        <f t="shared" si="4"/>
        <v>14</v>
      </c>
      <c r="B57" s="26">
        <f t="shared" si="5"/>
        <v>45021</v>
      </c>
      <c r="C57" s="27">
        <f t="shared" si="8"/>
        <v>606365.86666666646</v>
      </c>
      <c r="D57" s="29">
        <f t="shared" si="1"/>
        <v>3630.9333333333334</v>
      </c>
      <c r="E57" s="71"/>
      <c r="F57" s="29">
        <f t="shared" si="6"/>
        <v>3630.9333333333334</v>
      </c>
      <c r="G57" s="27">
        <f t="shared" si="2"/>
        <v>0</v>
      </c>
      <c r="H57" s="29">
        <f t="shared" si="3"/>
        <v>3630.9333333333334</v>
      </c>
      <c r="I57" s="29">
        <f t="shared" si="7"/>
        <v>602734.93333333312</v>
      </c>
      <c r="J57" s="6"/>
    </row>
    <row r="58" spans="1:10" x14ac:dyDescent="0.3">
      <c r="A58" s="25">
        <f t="shared" si="4"/>
        <v>15</v>
      </c>
      <c r="B58" s="26">
        <f t="shared" si="5"/>
        <v>45051</v>
      </c>
      <c r="C58" s="27">
        <f t="shared" si="8"/>
        <v>602734.93333333312</v>
      </c>
      <c r="D58" s="29">
        <f t="shared" si="1"/>
        <v>3630.9333333333334</v>
      </c>
      <c r="E58" s="71"/>
      <c r="F58" s="29">
        <f t="shared" si="6"/>
        <v>3630.9333333333334</v>
      </c>
      <c r="G58" s="27">
        <f t="shared" si="2"/>
        <v>0</v>
      </c>
      <c r="H58" s="29">
        <f t="shared" si="3"/>
        <v>3630.9333333333334</v>
      </c>
      <c r="I58" s="29">
        <f t="shared" si="7"/>
        <v>599103.99999999977</v>
      </c>
      <c r="J58" s="6"/>
    </row>
    <row r="59" spans="1:10" x14ac:dyDescent="0.3">
      <c r="A59" s="25">
        <f t="shared" si="4"/>
        <v>16</v>
      </c>
      <c r="B59" s="26">
        <f t="shared" si="5"/>
        <v>45082</v>
      </c>
      <c r="C59" s="27">
        <f t="shared" si="8"/>
        <v>599103.99999999977</v>
      </c>
      <c r="D59" s="29">
        <f t="shared" si="1"/>
        <v>3630.9333333333334</v>
      </c>
      <c r="E59" s="71"/>
      <c r="F59" s="29">
        <f t="shared" si="6"/>
        <v>3630.9333333333334</v>
      </c>
      <c r="G59" s="27">
        <f t="shared" si="2"/>
        <v>0</v>
      </c>
      <c r="H59" s="29">
        <f t="shared" si="3"/>
        <v>3630.9333333333334</v>
      </c>
      <c r="I59" s="29">
        <f t="shared" si="7"/>
        <v>595473.06666666642</v>
      </c>
      <c r="J59" s="6"/>
    </row>
    <row r="60" spans="1:10" x14ac:dyDescent="0.3">
      <c r="A60" s="25">
        <f t="shared" si="4"/>
        <v>17</v>
      </c>
      <c r="B60" s="26">
        <f t="shared" si="5"/>
        <v>45112</v>
      </c>
      <c r="C60" s="27">
        <f t="shared" si="8"/>
        <v>595473.06666666642</v>
      </c>
      <c r="D60" s="29">
        <f t="shared" si="1"/>
        <v>3630.9333333333334</v>
      </c>
      <c r="E60" s="71"/>
      <c r="F60" s="29">
        <f t="shared" si="6"/>
        <v>3630.9333333333334</v>
      </c>
      <c r="G60" s="27">
        <f t="shared" si="2"/>
        <v>0</v>
      </c>
      <c r="H60" s="29">
        <f t="shared" si="3"/>
        <v>3630.9333333333334</v>
      </c>
      <c r="I60" s="29">
        <f t="shared" si="7"/>
        <v>591842.13333333307</v>
      </c>
      <c r="J60" s="6"/>
    </row>
    <row r="61" spans="1:10" x14ac:dyDescent="0.3">
      <c r="A61" s="25">
        <f t="shared" si="4"/>
        <v>18</v>
      </c>
      <c r="B61" s="26">
        <f t="shared" si="5"/>
        <v>45143</v>
      </c>
      <c r="C61" s="27">
        <f t="shared" si="8"/>
        <v>591842.13333333307</v>
      </c>
      <c r="D61" s="29">
        <f t="shared" si="1"/>
        <v>3630.9333333333334</v>
      </c>
      <c r="E61" s="71"/>
      <c r="F61" s="29">
        <f t="shared" si="6"/>
        <v>3630.9333333333334</v>
      </c>
      <c r="G61" s="27">
        <f t="shared" si="2"/>
        <v>0</v>
      </c>
      <c r="H61" s="29">
        <f t="shared" si="3"/>
        <v>3630.9333333333334</v>
      </c>
      <c r="I61" s="29">
        <f t="shared" si="7"/>
        <v>588211.19999999972</v>
      </c>
      <c r="J61" s="6"/>
    </row>
    <row r="62" spans="1:10" x14ac:dyDescent="0.3">
      <c r="A62" s="25">
        <f t="shared" si="4"/>
        <v>19</v>
      </c>
      <c r="B62" s="26">
        <f t="shared" si="5"/>
        <v>45174</v>
      </c>
      <c r="C62" s="27">
        <f t="shared" si="8"/>
        <v>588211.19999999972</v>
      </c>
      <c r="D62" s="29">
        <f t="shared" si="1"/>
        <v>3630.9333333333334</v>
      </c>
      <c r="E62" s="71"/>
      <c r="F62" s="29">
        <f t="shared" si="6"/>
        <v>3630.9333333333334</v>
      </c>
      <c r="G62" s="27">
        <f t="shared" si="2"/>
        <v>0</v>
      </c>
      <c r="H62" s="29">
        <f t="shared" si="3"/>
        <v>3630.9333333333334</v>
      </c>
      <c r="I62" s="29">
        <f t="shared" si="7"/>
        <v>584580.26666666637</v>
      </c>
      <c r="J62" s="6"/>
    </row>
    <row r="63" spans="1:10" x14ac:dyDescent="0.3">
      <c r="A63" s="25">
        <f t="shared" si="4"/>
        <v>20</v>
      </c>
      <c r="B63" s="26">
        <f t="shared" si="5"/>
        <v>45204</v>
      </c>
      <c r="C63" s="27">
        <f t="shared" si="8"/>
        <v>584580.26666666637</v>
      </c>
      <c r="D63" s="29">
        <f t="shared" si="1"/>
        <v>3630.9333333333334</v>
      </c>
      <c r="E63" s="71"/>
      <c r="F63" s="29">
        <f t="shared" si="6"/>
        <v>3630.9333333333334</v>
      </c>
      <c r="G63" s="27">
        <f t="shared" si="2"/>
        <v>0</v>
      </c>
      <c r="H63" s="29">
        <f t="shared" si="3"/>
        <v>3630.9333333333334</v>
      </c>
      <c r="I63" s="29">
        <f t="shared" si="7"/>
        <v>580949.33333333302</v>
      </c>
      <c r="J63" s="6"/>
    </row>
    <row r="64" spans="1:10" x14ac:dyDescent="0.3">
      <c r="A64" s="25">
        <f t="shared" si="4"/>
        <v>21</v>
      </c>
      <c r="B64" s="26">
        <f t="shared" si="5"/>
        <v>45235</v>
      </c>
      <c r="C64" s="27">
        <f t="shared" si="8"/>
        <v>580949.33333333302</v>
      </c>
      <c r="D64" s="29">
        <f t="shared" si="1"/>
        <v>3630.9333333333334</v>
      </c>
      <c r="E64" s="71"/>
      <c r="F64" s="29">
        <f t="shared" si="6"/>
        <v>3630.9333333333334</v>
      </c>
      <c r="G64" s="27">
        <f t="shared" si="2"/>
        <v>0</v>
      </c>
      <c r="H64" s="29">
        <f t="shared" si="3"/>
        <v>3630.9333333333334</v>
      </c>
      <c r="I64" s="29">
        <f t="shared" si="7"/>
        <v>577318.39999999967</v>
      </c>
      <c r="J64" s="6"/>
    </row>
    <row r="65" spans="1:10" x14ac:dyDescent="0.3">
      <c r="A65" s="25">
        <f t="shared" si="4"/>
        <v>22</v>
      </c>
      <c r="B65" s="26">
        <f t="shared" si="5"/>
        <v>45265</v>
      </c>
      <c r="C65" s="27">
        <f t="shared" si="8"/>
        <v>577318.39999999967</v>
      </c>
      <c r="D65" s="29">
        <f t="shared" si="1"/>
        <v>3630.9333333333334</v>
      </c>
      <c r="E65" s="71"/>
      <c r="F65" s="29">
        <f t="shared" si="6"/>
        <v>3630.9333333333334</v>
      </c>
      <c r="G65" s="27">
        <f t="shared" si="2"/>
        <v>0</v>
      </c>
      <c r="H65" s="29">
        <f t="shared" si="3"/>
        <v>3630.9333333333334</v>
      </c>
      <c r="I65" s="29">
        <f t="shared" si="7"/>
        <v>573687.46666666633</v>
      </c>
      <c r="J65" s="6"/>
    </row>
    <row r="66" spans="1:10" x14ac:dyDescent="0.3">
      <c r="A66" s="25">
        <f t="shared" si="4"/>
        <v>23</v>
      </c>
      <c r="B66" s="26">
        <f t="shared" si="5"/>
        <v>45296</v>
      </c>
      <c r="C66" s="27">
        <f t="shared" si="8"/>
        <v>573687.46666666633</v>
      </c>
      <c r="D66" s="29">
        <f t="shared" si="1"/>
        <v>3630.9333333333334</v>
      </c>
      <c r="E66" s="71"/>
      <c r="F66" s="29">
        <f t="shared" si="6"/>
        <v>3630.9333333333334</v>
      </c>
      <c r="G66" s="27">
        <f t="shared" si="2"/>
        <v>0</v>
      </c>
      <c r="H66" s="29">
        <f t="shared" si="3"/>
        <v>3630.9333333333334</v>
      </c>
      <c r="I66" s="29">
        <f t="shared" si="7"/>
        <v>570056.53333333298</v>
      </c>
      <c r="J66" s="6"/>
    </row>
    <row r="67" spans="1:10" x14ac:dyDescent="0.3">
      <c r="A67" s="25">
        <f t="shared" si="4"/>
        <v>24</v>
      </c>
      <c r="B67" s="26">
        <f t="shared" si="5"/>
        <v>45327</v>
      </c>
      <c r="C67" s="27">
        <f t="shared" si="8"/>
        <v>570056.53333333298</v>
      </c>
      <c r="D67" s="29">
        <f t="shared" si="1"/>
        <v>3630.9333333333334</v>
      </c>
      <c r="E67" s="71"/>
      <c r="F67" s="29">
        <f t="shared" si="6"/>
        <v>3630.9333333333334</v>
      </c>
      <c r="G67" s="27">
        <f t="shared" si="2"/>
        <v>0</v>
      </c>
      <c r="H67" s="29">
        <f t="shared" si="3"/>
        <v>3630.9333333333334</v>
      </c>
      <c r="I67" s="29">
        <f t="shared" si="7"/>
        <v>566425.59999999963</v>
      </c>
      <c r="J67" s="6"/>
    </row>
    <row r="68" spans="1:10" x14ac:dyDescent="0.3">
      <c r="A68" s="25">
        <f t="shared" si="4"/>
        <v>25</v>
      </c>
      <c r="B68" s="26">
        <f t="shared" si="5"/>
        <v>45356</v>
      </c>
      <c r="C68" s="27">
        <f t="shared" si="8"/>
        <v>566425.59999999963</v>
      </c>
      <c r="D68" s="29">
        <f t="shared" si="1"/>
        <v>3630.9333333333334</v>
      </c>
      <c r="E68" s="71"/>
      <c r="F68" s="29">
        <f t="shared" si="6"/>
        <v>3630.9333333333334</v>
      </c>
      <c r="G68" s="27">
        <f t="shared" si="2"/>
        <v>0</v>
      </c>
      <c r="H68" s="29">
        <f t="shared" si="3"/>
        <v>3630.9333333333334</v>
      </c>
      <c r="I68" s="29">
        <f t="shared" si="7"/>
        <v>562794.66666666628</v>
      </c>
      <c r="J68" s="6"/>
    </row>
    <row r="69" spans="1:10" x14ac:dyDescent="0.3">
      <c r="A69" s="25">
        <f t="shared" si="4"/>
        <v>26</v>
      </c>
      <c r="B69" s="26">
        <f t="shared" si="5"/>
        <v>45387</v>
      </c>
      <c r="C69" s="27">
        <f t="shared" si="8"/>
        <v>562794.66666666628</v>
      </c>
      <c r="D69" s="29">
        <f t="shared" si="1"/>
        <v>3630.9333333333334</v>
      </c>
      <c r="E69" s="71"/>
      <c r="F69" s="29">
        <f t="shared" si="6"/>
        <v>3630.9333333333334</v>
      </c>
      <c r="G69" s="27">
        <f t="shared" si="2"/>
        <v>0</v>
      </c>
      <c r="H69" s="29">
        <f t="shared" si="3"/>
        <v>3630.9333333333334</v>
      </c>
      <c r="I69" s="29">
        <f t="shared" si="7"/>
        <v>559163.73333333293</v>
      </c>
      <c r="J69" s="6"/>
    </row>
    <row r="70" spans="1:10" x14ac:dyDescent="0.3">
      <c r="A70" s="25">
        <f t="shared" si="4"/>
        <v>27</v>
      </c>
      <c r="B70" s="26">
        <f t="shared" si="5"/>
        <v>45417</v>
      </c>
      <c r="C70" s="27">
        <f t="shared" si="8"/>
        <v>559163.73333333293</v>
      </c>
      <c r="D70" s="29">
        <f t="shared" si="1"/>
        <v>3630.9333333333334</v>
      </c>
      <c r="E70" s="71"/>
      <c r="F70" s="29">
        <f t="shared" si="6"/>
        <v>3630.9333333333334</v>
      </c>
      <c r="G70" s="27">
        <f t="shared" si="2"/>
        <v>0</v>
      </c>
      <c r="H70" s="29">
        <f t="shared" si="3"/>
        <v>3630.9333333333334</v>
      </c>
      <c r="I70" s="29">
        <f t="shared" si="7"/>
        <v>555532.79999999958</v>
      </c>
      <c r="J70" s="6"/>
    </row>
    <row r="71" spans="1:10" x14ac:dyDescent="0.3">
      <c r="A71" s="25">
        <f t="shared" si="4"/>
        <v>28</v>
      </c>
      <c r="B71" s="26">
        <f t="shared" si="5"/>
        <v>45448</v>
      </c>
      <c r="C71" s="27">
        <f t="shared" si="8"/>
        <v>555532.79999999958</v>
      </c>
      <c r="D71" s="29">
        <f t="shared" si="1"/>
        <v>3630.9333333333334</v>
      </c>
      <c r="E71" s="71"/>
      <c r="F71" s="29">
        <f t="shared" si="6"/>
        <v>3630.9333333333334</v>
      </c>
      <c r="G71" s="27">
        <f t="shared" si="2"/>
        <v>0</v>
      </c>
      <c r="H71" s="29">
        <f t="shared" si="3"/>
        <v>3630.9333333333334</v>
      </c>
      <c r="I71" s="29">
        <f t="shared" si="7"/>
        <v>551901.86666666623</v>
      </c>
      <c r="J71" s="6"/>
    </row>
    <row r="72" spans="1:10" x14ac:dyDescent="0.3">
      <c r="A72" s="25">
        <f t="shared" si="4"/>
        <v>29</v>
      </c>
      <c r="B72" s="26">
        <f t="shared" si="5"/>
        <v>45478</v>
      </c>
      <c r="C72" s="27">
        <f t="shared" si="8"/>
        <v>551901.86666666623</v>
      </c>
      <c r="D72" s="29">
        <f t="shared" si="1"/>
        <v>3630.9333333333334</v>
      </c>
      <c r="E72" s="71"/>
      <c r="F72" s="29">
        <f t="shared" si="6"/>
        <v>3630.9333333333334</v>
      </c>
      <c r="G72" s="27">
        <f t="shared" si="2"/>
        <v>0</v>
      </c>
      <c r="H72" s="29">
        <f t="shared" si="3"/>
        <v>3630.9333333333334</v>
      </c>
      <c r="I72" s="29">
        <f t="shared" si="7"/>
        <v>548270.93333333288</v>
      </c>
      <c r="J72" s="6"/>
    </row>
    <row r="73" spans="1:10" x14ac:dyDescent="0.3">
      <c r="A73" s="25">
        <f t="shared" si="4"/>
        <v>30</v>
      </c>
      <c r="B73" s="26">
        <f t="shared" si="5"/>
        <v>45509</v>
      </c>
      <c r="C73" s="27">
        <f t="shared" si="8"/>
        <v>548270.93333333288</v>
      </c>
      <c r="D73" s="29">
        <f t="shared" si="1"/>
        <v>3630.9333333333334</v>
      </c>
      <c r="E73" s="71"/>
      <c r="F73" s="29">
        <f t="shared" si="6"/>
        <v>3630.9333333333334</v>
      </c>
      <c r="G73" s="27">
        <f t="shared" si="2"/>
        <v>0</v>
      </c>
      <c r="H73" s="29">
        <f t="shared" si="3"/>
        <v>3630.9333333333334</v>
      </c>
      <c r="I73" s="29">
        <f t="shared" si="7"/>
        <v>544639.99999999953</v>
      </c>
      <c r="J73" s="6"/>
    </row>
    <row r="74" spans="1:10" x14ac:dyDescent="0.3">
      <c r="A74" s="25">
        <f t="shared" si="4"/>
        <v>31</v>
      </c>
      <c r="B74" s="26">
        <f t="shared" si="5"/>
        <v>45540</v>
      </c>
      <c r="C74" s="27">
        <f t="shared" si="8"/>
        <v>544639.99999999953</v>
      </c>
      <c r="D74" s="29">
        <f t="shared" si="1"/>
        <v>3630.9333333333334</v>
      </c>
      <c r="E74" s="71"/>
      <c r="F74" s="29">
        <f t="shared" si="6"/>
        <v>3630.9333333333334</v>
      </c>
      <c r="G74" s="27">
        <f t="shared" si="2"/>
        <v>0</v>
      </c>
      <c r="H74" s="29">
        <f t="shared" si="3"/>
        <v>3630.9333333333334</v>
      </c>
      <c r="I74" s="29">
        <f t="shared" si="7"/>
        <v>541009.06666666619</v>
      </c>
      <c r="J74" s="6"/>
    </row>
    <row r="75" spans="1:10" x14ac:dyDescent="0.3">
      <c r="A75" s="25">
        <f t="shared" si="4"/>
        <v>32</v>
      </c>
      <c r="B75" s="26">
        <f t="shared" si="5"/>
        <v>45570</v>
      </c>
      <c r="C75" s="27">
        <f t="shared" si="8"/>
        <v>541009.06666666619</v>
      </c>
      <c r="D75" s="29">
        <f t="shared" si="1"/>
        <v>3630.9333333333334</v>
      </c>
      <c r="E75" s="71"/>
      <c r="F75" s="29">
        <f t="shared" si="6"/>
        <v>3630.9333333333334</v>
      </c>
      <c r="G75" s="27">
        <f t="shared" si="2"/>
        <v>0</v>
      </c>
      <c r="H75" s="29">
        <f t="shared" si="3"/>
        <v>3630.9333333333334</v>
      </c>
      <c r="I75" s="29">
        <f t="shared" si="7"/>
        <v>537378.13333333284</v>
      </c>
      <c r="J75" s="6"/>
    </row>
    <row r="76" spans="1:10" x14ac:dyDescent="0.3">
      <c r="A76" s="25">
        <f t="shared" si="4"/>
        <v>33</v>
      </c>
      <c r="B76" s="26">
        <f t="shared" si="5"/>
        <v>45601</v>
      </c>
      <c r="C76" s="27">
        <f t="shared" si="8"/>
        <v>537378.13333333284</v>
      </c>
      <c r="D76" s="29">
        <f t="shared" si="1"/>
        <v>3630.9333333333334</v>
      </c>
      <c r="E76" s="71"/>
      <c r="F76" s="29">
        <f t="shared" si="6"/>
        <v>3630.9333333333334</v>
      </c>
      <c r="G76" s="27">
        <f t="shared" si="2"/>
        <v>0</v>
      </c>
      <c r="H76" s="29">
        <f t="shared" si="3"/>
        <v>3630.9333333333334</v>
      </c>
      <c r="I76" s="29">
        <f t="shared" si="7"/>
        <v>533747.19999999949</v>
      </c>
      <c r="J76" s="6"/>
    </row>
    <row r="77" spans="1:10" x14ac:dyDescent="0.3">
      <c r="A77" s="25">
        <f t="shared" si="4"/>
        <v>34</v>
      </c>
      <c r="B77" s="26">
        <f t="shared" si="5"/>
        <v>45631</v>
      </c>
      <c r="C77" s="27">
        <f t="shared" si="8"/>
        <v>533747.19999999949</v>
      </c>
      <c r="D77" s="29">
        <f t="shared" si="1"/>
        <v>3630.9333333333334</v>
      </c>
      <c r="E77" s="71"/>
      <c r="F77" s="29">
        <f t="shared" si="6"/>
        <v>3630.9333333333334</v>
      </c>
      <c r="G77" s="27">
        <f t="shared" si="2"/>
        <v>0</v>
      </c>
      <c r="H77" s="29">
        <f t="shared" si="3"/>
        <v>3630.9333333333334</v>
      </c>
      <c r="I77" s="29">
        <f t="shared" si="7"/>
        <v>530116.26666666614</v>
      </c>
      <c r="J77" s="6"/>
    </row>
    <row r="78" spans="1:10" x14ac:dyDescent="0.3">
      <c r="A78" s="25">
        <f t="shared" si="4"/>
        <v>35</v>
      </c>
      <c r="B78" s="26">
        <f t="shared" si="5"/>
        <v>45662</v>
      </c>
      <c r="C78" s="27">
        <f t="shared" si="8"/>
        <v>530116.26666666614</v>
      </c>
      <c r="D78" s="29">
        <f t="shared" si="1"/>
        <v>3630.9333333333334</v>
      </c>
      <c r="E78" s="71"/>
      <c r="F78" s="29">
        <f t="shared" si="6"/>
        <v>3630.9333333333334</v>
      </c>
      <c r="G78" s="27">
        <f t="shared" si="2"/>
        <v>0</v>
      </c>
      <c r="H78" s="29">
        <f t="shared" si="3"/>
        <v>3630.9333333333334</v>
      </c>
      <c r="I78" s="29">
        <f t="shared" si="7"/>
        <v>526485.33333333279</v>
      </c>
      <c r="J78" s="6"/>
    </row>
    <row r="79" spans="1:10" x14ac:dyDescent="0.3">
      <c r="A79" s="25">
        <f t="shared" si="4"/>
        <v>36</v>
      </c>
      <c r="B79" s="26">
        <f t="shared" si="5"/>
        <v>45693</v>
      </c>
      <c r="C79" s="27">
        <f t="shared" si="8"/>
        <v>526485.33333333279</v>
      </c>
      <c r="D79" s="29">
        <f t="shared" si="1"/>
        <v>3630.9333333333334</v>
      </c>
      <c r="E79" s="71"/>
      <c r="F79" s="29">
        <f t="shared" si="6"/>
        <v>3630.9333333333334</v>
      </c>
      <c r="G79" s="27">
        <f t="shared" si="2"/>
        <v>0</v>
      </c>
      <c r="H79" s="29">
        <f t="shared" si="3"/>
        <v>3630.9333333333334</v>
      </c>
      <c r="I79" s="29">
        <f t="shared" si="7"/>
        <v>522854.39999999944</v>
      </c>
      <c r="J79" s="6"/>
    </row>
    <row r="80" spans="1:10" x14ac:dyDescent="0.3">
      <c r="A80" s="25">
        <f t="shared" si="4"/>
        <v>37</v>
      </c>
      <c r="B80" s="26">
        <f t="shared" si="5"/>
        <v>45721</v>
      </c>
      <c r="C80" s="27">
        <f t="shared" si="8"/>
        <v>522854.39999999944</v>
      </c>
      <c r="D80" s="29">
        <f t="shared" si="1"/>
        <v>3630.9333333333334</v>
      </c>
      <c r="E80" s="71"/>
      <c r="F80" s="29">
        <f t="shared" si="6"/>
        <v>3630.9333333333334</v>
      </c>
      <c r="G80" s="27">
        <f t="shared" si="2"/>
        <v>0</v>
      </c>
      <c r="H80" s="29">
        <f t="shared" si="3"/>
        <v>3630.9333333333334</v>
      </c>
      <c r="I80" s="29">
        <f t="shared" si="7"/>
        <v>519223.46666666609</v>
      </c>
      <c r="J80" s="6"/>
    </row>
    <row r="81" spans="1:10" x14ac:dyDescent="0.3">
      <c r="A81" s="25">
        <f t="shared" si="4"/>
        <v>38</v>
      </c>
      <c r="B81" s="26">
        <f t="shared" si="5"/>
        <v>45752</v>
      </c>
      <c r="C81" s="27">
        <f t="shared" si="8"/>
        <v>519223.46666666609</v>
      </c>
      <c r="D81" s="29">
        <f t="shared" si="1"/>
        <v>3630.9333333333334</v>
      </c>
      <c r="E81" s="71"/>
      <c r="F81" s="29">
        <f t="shared" si="6"/>
        <v>3630.9333333333334</v>
      </c>
      <c r="G81" s="27">
        <f t="shared" si="2"/>
        <v>0</v>
      </c>
      <c r="H81" s="29">
        <f t="shared" si="3"/>
        <v>3630.9333333333334</v>
      </c>
      <c r="I81" s="29">
        <f t="shared" si="7"/>
        <v>515592.53333333274</v>
      </c>
      <c r="J81" s="6"/>
    </row>
    <row r="82" spans="1:10" x14ac:dyDescent="0.3">
      <c r="A82" s="25">
        <f t="shared" si="4"/>
        <v>39</v>
      </c>
      <c r="B82" s="26">
        <f t="shared" si="5"/>
        <v>45782</v>
      </c>
      <c r="C82" s="27">
        <f t="shared" si="8"/>
        <v>515592.53333333274</v>
      </c>
      <c r="D82" s="29">
        <f t="shared" si="1"/>
        <v>3630.9333333333334</v>
      </c>
      <c r="E82" s="71"/>
      <c r="F82" s="29">
        <f t="shared" si="6"/>
        <v>3630.9333333333334</v>
      </c>
      <c r="G82" s="27">
        <f t="shared" si="2"/>
        <v>0</v>
      </c>
      <c r="H82" s="29">
        <f t="shared" si="3"/>
        <v>3630.9333333333334</v>
      </c>
      <c r="I82" s="29">
        <f t="shared" si="7"/>
        <v>511961.59999999939</v>
      </c>
      <c r="J82" s="6"/>
    </row>
    <row r="83" spans="1:10" x14ac:dyDescent="0.3">
      <c r="A83" s="25">
        <f t="shared" si="4"/>
        <v>40</v>
      </c>
      <c r="B83" s="26">
        <f t="shared" si="5"/>
        <v>45813</v>
      </c>
      <c r="C83" s="27">
        <f t="shared" si="8"/>
        <v>511961.59999999939</v>
      </c>
      <c r="D83" s="29">
        <f t="shared" si="1"/>
        <v>3630.9333333333334</v>
      </c>
      <c r="E83" s="71"/>
      <c r="F83" s="29">
        <f t="shared" si="6"/>
        <v>3630.9333333333334</v>
      </c>
      <c r="G83" s="27">
        <f t="shared" si="2"/>
        <v>0</v>
      </c>
      <c r="H83" s="29">
        <f t="shared" si="3"/>
        <v>3630.9333333333334</v>
      </c>
      <c r="I83" s="29">
        <f t="shared" si="7"/>
        <v>508330.66666666605</v>
      </c>
      <c r="J83" s="6"/>
    </row>
    <row r="84" spans="1:10" x14ac:dyDescent="0.3">
      <c r="A84" s="25">
        <f t="shared" si="4"/>
        <v>41</v>
      </c>
      <c r="B84" s="26">
        <f t="shared" si="5"/>
        <v>45843</v>
      </c>
      <c r="C84" s="27">
        <f t="shared" si="8"/>
        <v>508330.66666666605</v>
      </c>
      <c r="D84" s="29">
        <f t="shared" si="1"/>
        <v>3630.9333333333334</v>
      </c>
      <c r="E84" s="71"/>
      <c r="F84" s="29">
        <f t="shared" si="6"/>
        <v>3630.9333333333334</v>
      </c>
      <c r="G84" s="27">
        <f t="shared" si="2"/>
        <v>0</v>
      </c>
      <c r="H84" s="29">
        <f t="shared" si="3"/>
        <v>3630.9333333333334</v>
      </c>
      <c r="I84" s="29">
        <f t="shared" si="7"/>
        <v>504699.7333333327</v>
      </c>
      <c r="J84" s="6"/>
    </row>
    <row r="85" spans="1:10" x14ac:dyDescent="0.3">
      <c r="A85" s="25">
        <f t="shared" si="4"/>
        <v>42</v>
      </c>
      <c r="B85" s="26">
        <f t="shared" si="5"/>
        <v>45874</v>
      </c>
      <c r="C85" s="27">
        <f t="shared" si="8"/>
        <v>504699.7333333327</v>
      </c>
      <c r="D85" s="29">
        <f t="shared" si="1"/>
        <v>3630.9333333333334</v>
      </c>
      <c r="E85" s="71"/>
      <c r="F85" s="29">
        <f t="shared" si="6"/>
        <v>3630.9333333333334</v>
      </c>
      <c r="G85" s="27">
        <f t="shared" si="2"/>
        <v>0</v>
      </c>
      <c r="H85" s="29">
        <f t="shared" si="3"/>
        <v>3630.9333333333334</v>
      </c>
      <c r="I85" s="29">
        <f t="shared" si="7"/>
        <v>501068.79999999935</v>
      </c>
      <c r="J85" s="6"/>
    </row>
    <row r="86" spans="1:10" x14ac:dyDescent="0.3">
      <c r="A86" s="25">
        <f t="shared" si="4"/>
        <v>43</v>
      </c>
      <c r="B86" s="26">
        <f t="shared" si="5"/>
        <v>45905</v>
      </c>
      <c r="C86" s="27">
        <f t="shared" si="8"/>
        <v>501068.79999999935</v>
      </c>
      <c r="D86" s="29">
        <f t="shared" si="1"/>
        <v>3630.9333333333334</v>
      </c>
      <c r="E86" s="71"/>
      <c r="F86" s="29">
        <f t="shared" si="6"/>
        <v>3630.9333333333334</v>
      </c>
      <c r="G86" s="27">
        <f t="shared" si="2"/>
        <v>0</v>
      </c>
      <c r="H86" s="29">
        <f t="shared" si="3"/>
        <v>3630.9333333333334</v>
      </c>
      <c r="I86" s="29">
        <f t="shared" si="7"/>
        <v>497437.866666666</v>
      </c>
      <c r="J86" s="6"/>
    </row>
    <row r="87" spans="1:10" x14ac:dyDescent="0.3">
      <c r="A87" s="25">
        <f t="shared" si="4"/>
        <v>44</v>
      </c>
      <c r="B87" s="26">
        <f t="shared" si="5"/>
        <v>45935</v>
      </c>
      <c r="C87" s="27">
        <f t="shared" si="8"/>
        <v>497437.866666666</v>
      </c>
      <c r="D87" s="29">
        <f t="shared" si="1"/>
        <v>3630.9333333333334</v>
      </c>
      <c r="E87" s="71"/>
      <c r="F87" s="29">
        <f t="shared" si="6"/>
        <v>3630.9333333333334</v>
      </c>
      <c r="G87" s="27">
        <f t="shared" si="2"/>
        <v>0</v>
      </c>
      <c r="H87" s="29">
        <f t="shared" si="3"/>
        <v>3630.9333333333334</v>
      </c>
      <c r="I87" s="29">
        <f t="shared" si="7"/>
        <v>493806.93333333265</v>
      </c>
      <c r="J87" s="6"/>
    </row>
    <row r="88" spans="1:10" x14ac:dyDescent="0.3">
      <c r="A88" s="25">
        <f t="shared" si="4"/>
        <v>45</v>
      </c>
      <c r="B88" s="26">
        <f t="shared" si="5"/>
        <v>45966</v>
      </c>
      <c r="C88" s="27">
        <f t="shared" si="8"/>
        <v>493806.93333333265</v>
      </c>
      <c r="D88" s="29">
        <f t="shared" si="1"/>
        <v>3630.9333333333334</v>
      </c>
      <c r="E88" s="71"/>
      <c r="F88" s="29">
        <f t="shared" si="6"/>
        <v>3630.9333333333334</v>
      </c>
      <c r="G88" s="27">
        <f t="shared" si="2"/>
        <v>0</v>
      </c>
      <c r="H88" s="29">
        <f t="shared" si="3"/>
        <v>3630.9333333333334</v>
      </c>
      <c r="I88" s="29">
        <f t="shared" si="7"/>
        <v>490175.9999999993</v>
      </c>
      <c r="J88" s="6"/>
    </row>
    <row r="89" spans="1:10" x14ac:dyDescent="0.3">
      <c r="A89" s="25">
        <f t="shared" si="4"/>
        <v>46</v>
      </c>
      <c r="B89" s="26">
        <f t="shared" si="5"/>
        <v>45996</v>
      </c>
      <c r="C89" s="27">
        <f t="shared" si="8"/>
        <v>490175.9999999993</v>
      </c>
      <c r="D89" s="29">
        <f t="shared" si="1"/>
        <v>3630.9333333333334</v>
      </c>
      <c r="E89" s="71"/>
      <c r="F89" s="29">
        <f t="shared" si="6"/>
        <v>3630.9333333333334</v>
      </c>
      <c r="G89" s="27">
        <f t="shared" si="2"/>
        <v>0</v>
      </c>
      <c r="H89" s="29">
        <f t="shared" si="3"/>
        <v>3630.9333333333334</v>
      </c>
      <c r="I89" s="29">
        <f t="shared" si="7"/>
        <v>486545.06666666595</v>
      </c>
      <c r="J89" s="6"/>
    </row>
    <row r="90" spans="1:10" x14ac:dyDescent="0.3">
      <c r="A90" s="25">
        <f t="shared" si="4"/>
        <v>47</v>
      </c>
      <c r="B90" s="26">
        <f t="shared" si="5"/>
        <v>46027</v>
      </c>
      <c r="C90" s="27">
        <f t="shared" si="8"/>
        <v>486545.06666666595</v>
      </c>
      <c r="D90" s="29">
        <f t="shared" si="1"/>
        <v>3630.9333333333334</v>
      </c>
      <c r="E90" s="71"/>
      <c r="F90" s="29">
        <f t="shared" si="6"/>
        <v>3630.9333333333334</v>
      </c>
      <c r="G90" s="27">
        <f t="shared" si="2"/>
        <v>0</v>
      </c>
      <c r="H90" s="29">
        <f t="shared" si="3"/>
        <v>3630.9333333333334</v>
      </c>
      <c r="I90" s="29">
        <f t="shared" si="7"/>
        <v>482914.1333333326</v>
      </c>
      <c r="J90" s="6"/>
    </row>
    <row r="91" spans="1:10" x14ac:dyDescent="0.3">
      <c r="A91" s="25">
        <f t="shared" si="4"/>
        <v>48</v>
      </c>
      <c r="B91" s="26">
        <f t="shared" si="5"/>
        <v>46058</v>
      </c>
      <c r="C91" s="27">
        <f t="shared" si="8"/>
        <v>482914.1333333326</v>
      </c>
      <c r="D91" s="29">
        <f t="shared" si="1"/>
        <v>3630.9333333333334</v>
      </c>
      <c r="E91" s="71"/>
      <c r="F91" s="29">
        <f t="shared" si="6"/>
        <v>3630.9333333333334</v>
      </c>
      <c r="G91" s="27">
        <f t="shared" si="2"/>
        <v>0</v>
      </c>
      <c r="H91" s="29">
        <f t="shared" si="3"/>
        <v>3630.9333333333334</v>
      </c>
      <c r="I91" s="29">
        <f t="shared" si="7"/>
        <v>479283.19999999925</v>
      </c>
      <c r="J91" s="6"/>
    </row>
    <row r="92" spans="1:10" hidden="1" outlineLevel="1" x14ac:dyDescent="0.3">
      <c r="A92" s="1"/>
      <c r="B92" s="30">
        <f>B91</f>
        <v>46058</v>
      </c>
      <c r="C92" s="31"/>
      <c r="D92" s="32"/>
      <c r="E92" s="72">
        <f>SUM(E44:E91)</f>
        <v>0</v>
      </c>
      <c r="F92" s="32"/>
      <c r="G92" s="31"/>
      <c r="H92" s="32">
        <f>SUBTOTAL(109,Tabla1141634817[ABONO A CAPITAL])</f>
        <v>174284.79999999987</v>
      </c>
      <c r="I92" s="32">
        <f>I91</f>
        <v>479283.19999999925</v>
      </c>
      <c r="J92" s="6"/>
    </row>
    <row r="93" spans="1:10" hidden="1" outlineLevel="1" x14ac:dyDescent="0.3">
      <c r="D93" s="5"/>
      <c r="E93" s="73"/>
      <c r="I93"/>
      <c r="J93" s="6"/>
    </row>
    <row r="94" spans="1:10" hidden="1" outlineLevel="1" x14ac:dyDescent="0.3">
      <c r="D94" s="5"/>
      <c r="E94" s="73"/>
      <c r="I94"/>
      <c r="J94" s="6"/>
    </row>
    <row r="95" spans="1:10" hidden="1" outlineLevel="1" x14ac:dyDescent="0.3">
      <c r="C95" s="13" t="s">
        <v>16</v>
      </c>
      <c r="D95" s="152">
        <f>$H$92</f>
        <v>174284.79999999987</v>
      </c>
      <c r="E95" s="73"/>
      <c r="I95"/>
      <c r="J95" s="6"/>
    </row>
    <row r="96" spans="1:10" hidden="1" outlineLevel="1" x14ac:dyDescent="0.3">
      <c r="C96" s="3" t="s">
        <v>20</v>
      </c>
      <c r="D96" s="153">
        <f>$D$35-$D$95</f>
        <v>479283.20000000013</v>
      </c>
      <c r="E96" s="73"/>
      <c r="I96"/>
      <c r="J96" s="6"/>
    </row>
    <row r="97" spans="1:10" hidden="1" outlineLevel="1" x14ac:dyDescent="0.3">
      <c r="C97" s="16" t="s">
        <v>21</v>
      </c>
      <c r="D97" s="153">
        <f>$D$37-$D$39</f>
        <v>132</v>
      </c>
      <c r="E97" s="74"/>
      <c r="I97"/>
      <c r="J97" s="6"/>
    </row>
    <row r="98" spans="1:10" hidden="1" outlineLevel="1" x14ac:dyDescent="0.3">
      <c r="C98" s="16" t="s">
        <v>22</v>
      </c>
      <c r="D98" s="154">
        <f>$D$99/12</f>
        <v>6</v>
      </c>
      <c r="E98" s="73"/>
      <c r="I98"/>
      <c r="J98" s="6"/>
    </row>
    <row r="99" spans="1:10" hidden="1" outlineLevel="1" x14ac:dyDescent="0.3">
      <c r="C99" s="20" t="s">
        <v>23</v>
      </c>
      <c r="D99" s="155">
        <f>$D$20</f>
        <v>72</v>
      </c>
      <c r="E99" s="73"/>
      <c r="I99"/>
      <c r="J99" s="6"/>
    </row>
    <row r="100" spans="1:10" hidden="1" outlineLevel="1" x14ac:dyDescent="0.3">
      <c r="C100" s="16" t="s">
        <v>9</v>
      </c>
      <c r="D100" s="156">
        <f>$E$20</f>
        <v>0.01</v>
      </c>
      <c r="E100" s="73"/>
      <c r="I100"/>
      <c r="J100" s="6"/>
    </row>
    <row r="101" spans="1:10" hidden="1" outlineLevel="1" x14ac:dyDescent="0.3">
      <c r="C101" s="16" t="s">
        <v>24</v>
      </c>
      <c r="D101" s="23">
        <f>-PMT(D100,D97,D96)</f>
        <v>6555.577511136622</v>
      </c>
      <c r="E101" s="73"/>
      <c r="I101"/>
      <c r="J101" s="6"/>
    </row>
    <row r="102" spans="1:10" hidden="1" outlineLevel="1" x14ac:dyDescent="0.3">
      <c r="D102" s="23">
        <f>$D$101*$D$99</f>
        <v>472001.5808018368</v>
      </c>
      <c r="E102" s="73"/>
      <c r="J102" s="6"/>
    </row>
    <row r="103" spans="1:10" hidden="1" outlineLevel="1" x14ac:dyDescent="0.3">
      <c r="A103" s="33" t="s">
        <v>11</v>
      </c>
      <c r="B103" s="33" t="s">
        <v>12</v>
      </c>
      <c r="C103" s="33" t="s">
        <v>13</v>
      </c>
      <c r="D103" s="34" t="s">
        <v>25</v>
      </c>
      <c r="E103" s="75" t="s">
        <v>15</v>
      </c>
      <c r="F103" s="33" t="s">
        <v>16</v>
      </c>
      <c r="G103" s="33" t="s">
        <v>17</v>
      </c>
      <c r="H103" s="33" t="s">
        <v>18</v>
      </c>
      <c r="I103" s="34" t="s">
        <v>19</v>
      </c>
      <c r="J103" s="6"/>
    </row>
    <row r="104" spans="1:10" hidden="1" outlineLevel="1" x14ac:dyDescent="0.3">
      <c r="A104" s="35">
        <v>48</v>
      </c>
      <c r="B104" s="36">
        <f>B92</f>
        <v>46058</v>
      </c>
      <c r="C104" s="37">
        <f>D96</f>
        <v>479283.20000000013</v>
      </c>
      <c r="D104" s="38"/>
      <c r="E104" s="76">
        <f>Tabla1141634817[[#Totals],[ABONOS]]</f>
        <v>0</v>
      </c>
      <c r="F104" s="29">
        <f t="shared" ref="F104:F168" si="9">SUM(D104:E104)</f>
        <v>0</v>
      </c>
      <c r="G104" s="37"/>
      <c r="H104" s="29">
        <f t="shared" ref="H104:H135" si="10">D104-G104</f>
        <v>0</v>
      </c>
      <c r="I104" s="29">
        <f t="shared" ref="I104:I168" si="11">C104-H104</f>
        <v>479283.20000000013</v>
      </c>
      <c r="J104" s="6"/>
    </row>
    <row r="105" spans="1:10" collapsed="1" x14ac:dyDescent="0.3">
      <c r="A105" s="25">
        <f t="shared" ref="A105:A168" si="12">IF(A104&lt;$D$37,A104+1,"")</f>
        <v>49</v>
      </c>
      <c r="B105" s="26">
        <f t="shared" ref="B105:B136" si="13">IF(A104&lt;$E$18,DATE(YEAR(B104),MONTH(B104)+1,DAY(B104)),"")</f>
        <v>46086</v>
      </c>
      <c r="C105" s="27">
        <f>I104</f>
        <v>479283.20000000013</v>
      </c>
      <c r="D105" s="29">
        <f t="shared" ref="D105:D168" si="14">IF(A105&lt;121,(-PMT($D$100,$D$97,$D$96)))</f>
        <v>6555.577511136622</v>
      </c>
      <c r="E105" s="76"/>
      <c r="F105" s="29">
        <f t="shared" si="9"/>
        <v>6555.577511136622</v>
      </c>
      <c r="G105" s="27">
        <f>IF(A105&gt;48,(C105*$D$100),0)</f>
        <v>4792.8320000000012</v>
      </c>
      <c r="H105" s="29">
        <f t="shared" si="10"/>
        <v>1762.7455111366207</v>
      </c>
      <c r="I105" s="29">
        <f t="shared" si="11"/>
        <v>477520.45448886353</v>
      </c>
      <c r="J105" s="6"/>
    </row>
    <row r="106" spans="1:10" x14ac:dyDescent="0.3">
      <c r="A106" s="25">
        <f t="shared" si="12"/>
        <v>50</v>
      </c>
      <c r="B106" s="26">
        <f t="shared" si="13"/>
        <v>46117</v>
      </c>
      <c r="C106" s="27">
        <f t="shared" ref="C106:C169" si="15">I105</f>
        <v>477520.45448886353</v>
      </c>
      <c r="D106" s="29">
        <f t="shared" si="14"/>
        <v>6555.577511136622</v>
      </c>
      <c r="E106" s="71"/>
      <c r="F106" s="29">
        <f t="shared" si="9"/>
        <v>6555.577511136622</v>
      </c>
      <c r="G106" s="27">
        <f t="shared" ref="G106:G168" si="16">IF(A106&gt;48,(C106*$D$100),0)</f>
        <v>4775.2045448886356</v>
      </c>
      <c r="H106" s="29">
        <f t="shared" si="10"/>
        <v>1780.3729662479864</v>
      </c>
      <c r="I106" s="29">
        <f t="shared" si="11"/>
        <v>475740.08152261557</v>
      </c>
      <c r="J106" s="6"/>
    </row>
    <row r="107" spans="1:10" x14ac:dyDescent="0.3">
      <c r="A107" s="25">
        <f t="shared" si="12"/>
        <v>51</v>
      </c>
      <c r="B107" s="26">
        <f t="shared" si="13"/>
        <v>46147</v>
      </c>
      <c r="C107" s="27">
        <f t="shared" si="15"/>
        <v>475740.08152261557</v>
      </c>
      <c r="D107" s="29">
        <f t="shared" si="14"/>
        <v>6555.577511136622</v>
      </c>
      <c r="E107" s="71"/>
      <c r="F107" s="29">
        <f t="shared" si="9"/>
        <v>6555.577511136622</v>
      </c>
      <c r="G107" s="27">
        <f t="shared" si="16"/>
        <v>4757.4008152261558</v>
      </c>
      <c r="H107" s="29">
        <f t="shared" si="10"/>
        <v>1798.1766959104662</v>
      </c>
      <c r="I107" s="29">
        <f t="shared" si="11"/>
        <v>473941.90482670511</v>
      </c>
      <c r="J107" s="6"/>
    </row>
    <row r="108" spans="1:10" x14ac:dyDescent="0.3">
      <c r="A108" s="25">
        <f t="shared" si="12"/>
        <v>52</v>
      </c>
      <c r="B108" s="26">
        <f t="shared" si="13"/>
        <v>46178</v>
      </c>
      <c r="C108" s="27">
        <f t="shared" si="15"/>
        <v>473941.90482670511</v>
      </c>
      <c r="D108" s="29">
        <f t="shared" si="14"/>
        <v>6555.577511136622</v>
      </c>
      <c r="E108" s="71"/>
      <c r="F108" s="29">
        <f t="shared" si="9"/>
        <v>6555.577511136622</v>
      </c>
      <c r="G108" s="27">
        <f t="shared" si="16"/>
        <v>4739.419048267051</v>
      </c>
      <c r="H108" s="29">
        <f t="shared" si="10"/>
        <v>1816.1584628695709</v>
      </c>
      <c r="I108" s="29">
        <f t="shared" si="11"/>
        <v>472125.74636383553</v>
      </c>
      <c r="J108" s="6"/>
    </row>
    <row r="109" spans="1:10" x14ac:dyDescent="0.3">
      <c r="A109" s="25">
        <f t="shared" si="12"/>
        <v>53</v>
      </c>
      <c r="B109" s="26">
        <f t="shared" si="13"/>
        <v>46208</v>
      </c>
      <c r="C109" s="27">
        <f t="shared" si="15"/>
        <v>472125.74636383553</v>
      </c>
      <c r="D109" s="29">
        <f t="shared" si="14"/>
        <v>6555.577511136622</v>
      </c>
      <c r="E109" s="71"/>
      <c r="F109" s="29">
        <f t="shared" si="9"/>
        <v>6555.577511136622</v>
      </c>
      <c r="G109" s="27">
        <f t="shared" si="16"/>
        <v>4721.2574636383551</v>
      </c>
      <c r="H109" s="29">
        <f t="shared" si="10"/>
        <v>1834.3200474982668</v>
      </c>
      <c r="I109" s="29">
        <f t="shared" si="11"/>
        <v>470291.42631633725</v>
      </c>
      <c r="J109" s="6"/>
    </row>
    <row r="110" spans="1:10" x14ac:dyDescent="0.3">
      <c r="A110" s="25">
        <f t="shared" si="12"/>
        <v>54</v>
      </c>
      <c r="B110" s="26">
        <f t="shared" si="13"/>
        <v>46239</v>
      </c>
      <c r="C110" s="27">
        <f t="shared" si="15"/>
        <v>470291.42631633725</v>
      </c>
      <c r="D110" s="29">
        <f t="shared" si="14"/>
        <v>6555.577511136622</v>
      </c>
      <c r="E110" s="71"/>
      <c r="F110" s="29">
        <f t="shared" si="9"/>
        <v>6555.577511136622</v>
      </c>
      <c r="G110" s="27">
        <f t="shared" si="16"/>
        <v>4702.9142631633722</v>
      </c>
      <c r="H110" s="29">
        <f t="shared" si="10"/>
        <v>1852.6632479732498</v>
      </c>
      <c r="I110" s="29">
        <f t="shared" si="11"/>
        <v>468438.763068364</v>
      </c>
      <c r="J110" s="6"/>
    </row>
    <row r="111" spans="1:10" x14ac:dyDescent="0.3">
      <c r="A111" s="25">
        <f t="shared" si="12"/>
        <v>55</v>
      </c>
      <c r="B111" s="26">
        <f t="shared" si="13"/>
        <v>46270</v>
      </c>
      <c r="C111" s="27">
        <f t="shared" si="15"/>
        <v>468438.763068364</v>
      </c>
      <c r="D111" s="29">
        <f t="shared" si="14"/>
        <v>6555.577511136622</v>
      </c>
      <c r="E111" s="71"/>
      <c r="F111" s="29">
        <f t="shared" si="9"/>
        <v>6555.577511136622</v>
      </c>
      <c r="G111" s="27">
        <f t="shared" si="16"/>
        <v>4684.3876306836401</v>
      </c>
      <c r="H111" s="29">
        <f t="shared" si="10"/>
        <v>1871.1898804529819</v>
      </c>
      <c r="I111" s="29">
        <f t="shared" si="11"/>
        <v>466567.57318791101</v>
      </c>
      <c r="J111" s="6"/>
    </row>
    <row r="112" spans="1:10" x14ac:dyDescent="0.3">
      <c r="A112" s="25">
        <f t="shared" si="12"/>
        <v>56</v>
      </c>
      <c r="B112" s="26">
        <f t="shared" si="13"/>
        <v>46300</v>
      </c>
      <c r="C112" s="27">
        <f t="shared" si="15"/>
        <v>466567.57318791101</v>
      </c>
      <c r="D112" s="29">
        <f t="shared" si="14"/>
        <v>6555.577511136622</v>
      </c>
      <c r="E112" s="71"/>
      <c r="F112" s="29">
        <f t="shared" si="9"/>
        <v>6555.577511136622</v>
      </c>
      <c r="G112" s="27">
        <f t="shared" si="16"/>
        <v>4665.6757318791106</v>
      </c>
      <c r="H112" s="29">
        <f t="shared" si="10"/>
        <v>1889.9017792575114</v>
      </c>
      <c r="I112" s="29">
        <f t="shared" si="11"/>
        <v>464677.67140865349</v>
      </c>
      <c r="J112" s="6"/>
    </row>
    <row r="113" spans="1:10" x14ac:dyDescent="0.3">
      <c r="A113" s="25">
        <f t="shared" si="12"/>
        <v>57</v>
      </c>
      <c r="B113" s="26">
        <f t="shared" si="13"/>
        <v>46331</v>
      </c>
      <c r="C113" s="27">
        <f t="shared" si="15"/>
        <v>464677.67140865349</v>
      </c>
      <c r="D113" s="29">
        <f t="shared" si="14"/>
        <v>6555.577511136622</v>
      </c>
      <c r="E113" s="71"/>
      <c r="F113" s="29">
        <f t="shared" si="9"/>
        <v>6555.577511136622</v>
      </c>
      <c r="G113" s="27">
        <f t="shared" si="16"/>
        <v>4646.7767140865353</v>
      </c>
      <c r="H113" s="29">
        <f t="shared" si="10"/>
        <v>1908.8007970500867</v>
      </c>
      <c r="I113" s="29">
        <f t="shared" si="11"/>
        <v>462768.87061160343</v>
      </c>
      <c r="J113" s="6"/>
    </row>
    <row r="114" spans="1:10" x14ac:dyDescent="0.3">
      <c r="A114" s="25">
        <f t="shared" si="12"/>
        <v>58</v>
      </c>
      <c r="B114" s="26">
        <f t="shared" si="13"/>
        <v>46361</v>
      </c>
      <c r="C114" s="27">
        <f t="shared" si="15"/>
        <v>462768.87061160343</v>
      </c>
      <c r="D114" s="29">
        <f t="shared" si="14"/>
        <v>6555.577511136622</v>
      </c>
      <c r="E114" s="71"/>
      <c r="F114" s="29">
        <f t="shared" si="9"/>
        <v>6555.577511136622</v>
      </c>
      <c r="G114" s="27">
        <f t="shared" si="16"/>
        <v>4627.6887061160342</v>
      </c>
      <c r="H114" s="29">
        <f t="shared" si="10"/>
        <v>1927.8888050205878</v>
      </c>
      <c r="I114" s="29">
        <f t="shared" si="11"/>
        <v>460840.98180658283</v>
      </c>
      <c r="J114" s="6"/>
    </row>
    <row r="115" spans="1:10" x14ac:dyDescent="0.3">
      <c r="A115" s="25">
        <f t="shared" si="12"/>
        <v>59</v>
      </c>
      <c r="B115" s="26">
        <f t="shared" si="13"/>
        <v>46392</v>
      </c>
      <c r="C115" s="27">
        <f t="shared" si="15"/>
        <v>460840.98180658283</v>
      </c>
      <c r="D115" s="29">
        <f t="shared" si="14"/>
        <v>6555.577511136622</v>
      </c>
      <c r="E115" s="71"/>
      <c r="F115" s="29">
        <f t="shared" si="9"/>
        <v>6555.577511136622</v>
      </c>
      <c r="G115" s="27">
        <f t="shared" si="16"/>
        <v>4608.4098180658284</v>
      </c>
      <c r="H115" s="29">
        <f t="shared" si="10"/>
        <v>1947.1676930707936</v>
      </c>
      <c r="I115" s="29">
        <f t="shared" si="11"/>
        <v>458893.81411351205</v>
      </c>
      <c r="J115" s="6"/>
    </row>
    <row r="116" spans="1:10" x14ac:dyDescent="0.3">
      <c r="A116" s="25">
        <f t="shared" si="12"/>
        <v>60</v>
      </c>
      <c r="B116" s="26">
        <f t="shared" si="13"/>
        <v>46423</v>
      </c>
      <c r="C116" s="27">
        <f t="shared" si="15"/>
        <v>458893.81411351205</v>
      </c>
      <c r="D116" s="29">
        <f t="shared" si="14"/>
        <v>6555.577511136622</v>
      </c>
      <c r="E116" s="71"/>
      <c r="F116" s="29">
        <f t="shared" si="9"/>
        <v>6555.577511136622</v>
      </c>
      <c r="G116" s="27">
        <f t="shared" si="16"/>
        <v>4588.9381411351205</v>
      </c>
      <c r="H116" s="29">
        <f t="shared" si="10"/>
        <v>1966.6393700015014</v>
      </c>
      <c r="I116" s="29">
        <f t="shared" si="11"/>
        <v>456927.17474351055</v>
      </c>
      <c r="J116" s="6"/>
    </row>
    <row r="117" spans="1:10" x14ac:dyDescent="0.3">
      <c r="A117" s="25">
        <f t="shared" si="12"/>
        <v>61</v>
      </c>
      <c r="B117" s="26">
        <f t="shared" si="13"/>
        <v>46451</v>
      </c>
      <c r="C117" s="27">
        <f t="shared" si="15"/>
        <v>456927.17474351055</v>
      </c>
      <c r="D117" s="29">
        <f t="shared" si="14"/>
        <v>6555.577511136622</v>
      </c>
      <c r="E117" s="71"/>
      <c r="F117" s="29">
        <f t="shared" si="9"/>
        <v>6555.577511136622</v>
      </c>
      <c r="G117" s="27">
        <f t="shared" si="16"/>
        <v>4569.2717474351057</v>
      </c>
      <c r="H117" s="29">
        <f t="shared" si="10"/>
        <v>1986.3057637015163</v>
      </c>
      <c r="I117" s="29">
        <f t="shared" si="11"/>
        <v>454940.86897980905</v>
      </c>
      <c r="J117" s="6"/>
    </row>
    <row r="118" spans="1:10" x14ac:dyDescent="0.3">
      <c r="A118" s="25">
        <f t="shared" si="12"/>
        <v>62</v>
      </c>
      <c r="B118" s="26">
        <f t="shared" si="13"/>
        <v>46482</v>
      </c>
      <c r="C118" s="27">
        <f t="shared" si="15"/>
        <v>454940.86897980905</v>
      </c>
      <c r="D118" s="29">
        <f t="shared" si="14"/>
        <v>6555.577511136622</v>
      </c>
      <c r="E118" s="71"/>
      <c r="F118" s="29">
        <f t="shared" si="9"/>
        <v>6555.577511136622</v>
      </c>
      <c r="G118" s="27">
        <f t="shared" si="16"/>
        <v>4549.4086897980906</v>
      </c>
      <c r="H118" s="29">
        <f t="shared" si="10"/>
        <v>2006.1688213385314</v>
      </c>
      <c r="I118" s="29">
        <f t="shared" si="11"/>
        <v>452934.70015847054</v>
      </c>
      <c r="J118" s="6"/>
    </row>
    <row r="119" spans="1:10" x14ac:dyDescent="0.3">
      <c r="A119" s="25">
        <f t="shared" si="12"/>
        <v>63</v>
      </c>
      <c r="B119" s="26">
        <f t="shared" si="13"/>
        <v>46512</v>
      </c>
      <c r="C119" s="27">
        <f t="shared" si="15"/>
        <v>452934.70015847054</v>
      </c>
      <c r="D119" s="29">
        <f t="shared" si="14"/>
        <v>6555.577511136622</v>
      </c>
      <c r="E119" s="71"/>
      <c r="F119" s="29">
        <f t="shared" si="9"/>
        <v>6555.577511136622</v>
      </c>
      <c r="G119" s="27">
        <f t="shared" si="16"/>
        <v>4529.3470015847051</v>
      </c>
      <c r="H119" s="29">
        <f t="shared" si="10"/>
        <v>2026.2305095519168</v>
      </c>
      <c r="I119" s="29">
        <f t="shared" si="11"/>
        <v>450908.4696489186</v>
      </c>
      <c r="J119" s="6"/>
    </row>
    <row r="120" spans="1:10" x14ac:dyDescent="0.3">
      <c r="A120" s="25">
        <f t="shared" si="12"/>
        <v>64</v>
      </c>
      <c r="B120" s="26">
        <f t="shared" si="13"/>
        <v>46543</v>
      </c>
      <c r="C120" s="27">
        <f t="shared" si="15"/>
        <v>450908.4696489186</v>
      </c>
      <c r="D120" s="29">
        <f t="shared" si="14"/>
        <v>6555.577511136622</v>
      </c>
      <c r="E120" s="71"/>
      <c r="F120" s="29">
        <f t="shared" si="9"/>
        <v>6555.577511136622</v>
      </c>
      <c r="G120" s="27">
        <f t="shared" si="16"/>
        <v>4509.0846964891862</v>
      </c>
      <c r="H120" s="29">
        <f t="shared" si="10"/>
        <v>2046.4928146474358</v>
      </c>
      <c r="I120" s="29">
        <f t="shared" si="11"/>
        <v>448861.97683427116</v>
      </c>
      <c r="J120" s="6"/>
    </row>
    <row r="121" spans="1:10" x14ac:dyDescent="0.3">
      <c r="A121" s="25">
        <f t="shared" si="12"/>
        <v>65</v>
      </c>
      <c r="B121" s="26">
        <f t="shared" si="13"/>
        <v>46573</v>
      </c>
      <c r="C121" s="27">
        <f t="shared" si="15"/>
        <v>448861.97683427116</v>
      </c>
      <c r="D121" s="29">
        <f t="shared" si="14"/>
        <v>6555.577511136622</v>
      </c>
      <c r="E121" s="71"/>
      <c r="F121" s="29">
        <f t="shared" si="9"/>
        <v>6555.577511136622</v>
      </c>
      <c r="G121" s="27">
        <f t="shared" si="16"/>
        <v>4488.6197683427117</v>
      </c>
      <c r="H121" s="29">
        <f t="shared" si="10"/>
        <v>2066.9577427939103</v>
      </c>
      <c r="I121" s="29">
        <f t="shared" si="11"/>
        <v>446795.01909147727</v>
      </c>
      <c r="J121" s="6"/>
    </row>
    <row r="122" spans="1:10" x14ac:dyDescent="0.3">
      <c r="A122" s="25">
        <f t="shared" si="12"/>
        <v>66</v>
      </c>
      <c r="B122" s="26">
        <f t="shared" si="13"/>
        <v>46604</v>
      </c>
      <c r="C122" s="27">
        <f t="shared" si="15"/>
        <v>446795.01909147727</v>
      </c>
      <c r="D122" s="29">
        <f t="shared" si="14"/>
        <v>6555.577511136622</v>
      </c>
      <c r="E122" s="71"/>
      <c r="F122" s="29">
        <f t="shared" si="9"/>
        <v>6555.577511136622</v>
      </c>
      <c r="G122" s="27">
        <f t="shared" si="16"/>
        <v>4467.950190914773</v>
      </c>
      <c r="H122" s="29">
        <f t="shared" si="10"/>
        <v>2087.627320221849</v>
      </c>
      <c r="I122" s="29">
        <f t="shared" si="11"/>
        <v>444707.39177125541</v>
      </c>
      <c r="J122" s="6"/>
    </row>
    <row r="123" spans="1:10" x14ac:dyDescent="0.3">
      <c r="A123" s="25">
        <f t="shared" si="12"/>
        <v>67</v>
      </c>
      <c r="B123" s="26">
        <f t="shared" si="13"/>
        <v>46635</v>
      </c>
      <c r="C123" s="27">
        <f t="shared" si="15"/>
        <v>444707.39177125541</v>
      </c>
      <c r="D123" s="29">
        <f t="shared" si="14"/>
        <v>6555.577511136622</v>
      </c>
      <c r="E123" s="71"/>
      <c r="F123" s="29">
        <f t="shared" si="9"/>
        <v>6555.577511136622</v>
      </c>
      <c r="G123" s="27">
        <f t="shared" si="16"/>
        <v>4447.0739177125542</v>
      </c>
      <c r="H123" s="29">
        <f t="shared" si="10"/>
        <v>2108.5035934240677</v>
      </c>
      <c r="I123" s="29">
        <f t="shared" si="11"/>
        <v>442598.88817783137</v>
      </c>
      <c r="J123" s="6"/>
    </row>
    <row r="124" spans="1:10" x14ac:dyDescent="0.3">
      <c r="A124" s="25">
        <f t="shared" si="12"/>
        <v>68</v>
      </c>
      <c r="B124" s="26">
        <f t="shared" si="13"/>
        <v>46665</v>
      </c>
      <c r="C124" s="27">
        <f t="shared" si="15"/>
        <v>442598.88817783137</v>
      </c>
      <c r="D124" s="29">
        <f t="shared" si="14"/>
        <v>6555.577511136622</v>
      </c>
      <c r="E124" s="71"/>
      <c r="F124" s="29">
        <f t="shared" si="9"/>
        <v>6555.577511136622</v>
      </c>
      <c r="G124" s="27">
        <f t="shared" si="16"/>
        <v>4425.988881778314</v>
      </c>
      <c r="H124" s="29">
        <f t="shared" si="10"/>
        <v>2129.588629358308</v>
      </c>
      <c r="I124" s="29">
        <f t="shared" si="11"/>
        <v>440469.29954847303</v>
      </c>
      <c r="J124" s="6"/>
    </row>
    <row r="125" spans="1:10" x14ac:dyDescent="0.3">
      <c r="A125" s="25">
        <f t="shared" si="12"/>
        <v>69</v>
      </c>
      <c r="B125" s="26">
        <f t="shared" si="13"/>
        <v>46696</v>
      </c>
      <c r="C125" s="27">
        <f t="shared" si="15"/>
        <v>440469.29954847303</v>
      </c>
      <c r="D125" s="29">
        <f t="shared" si="14"/>
        <v>6555.577511136622</v>
      </c>
      <c r="E125" s="71"/>
      <c r="F125" s="29">
        <f t="shared" si="9"/>
        <v>6555.577511136622</v>
      </c>
      <c r="G125" s="27">
        <f t="shared" si="16"/>
        <v>4404.6929954847301</v>
      </c>
      <c r="H125" s="29">
        <f t="shared" si="10"/>
        <v>2150.8845156518919</v>
      </c>
      <c r="I125" s="29">
        <f t="shared" si="11"/>
        <v>438318.41503282113</v>
      </c>
      <c r="J125" s="6"/>
    </row>
    <row r="126" spans="1:10" x14ac:dyDescent="0.3">
      <c r="A126" s="25">
        <f t="shared" si="12"/>
        <v>70</v>
      </c>
      <c r="B126" s="26">
        <f t="shared" si="13"/>
        <v>46726</v>
      </c>
      <c r="C126" s="27">
        <f t="shared" si="15"/>
        <v>438318.41503282113</v>
      </c>
      <c r="D126" s="29">
        <f t="shared" si="14"/>
        <v>6555.577511136622</v>
      </c>
      <c r="E126" s="71"/>
      <c r="F126" s="29">
        <f t="shared" si="9"/>
        <v>6555.577511136622</v>
      </c>
      <c r="G126" s="27">
        <f t="shared" si="16"/>
        <v>4383.1841503282112</v>
      </c>
      <c r="H126" s="29">
        <f t="shared" si="10"/>
        <v>2172.3933608084108</v>
      </c>
      <c r="I126" s="29">
        <f t="shared" si="11"/>
        <v>436146.02167201269</v>
      </c>
      <c r="J126" s="6"/>
    </row>
    <row r="127" spans="1:10" x14ac:dyDescent="0.3">
      <c r="A127" s="25">
        <f t="shared" si="12"/>
        <v>71</v>
      </c>
      <c r="B127" s="26">
        <f t="shared" si="13"/>
        <v>46757</v>
      </c>
      <c r="C127" s="27">
        <f t="shared" si="15"/>
        <v>436146.02167201269</v>
      </c>
      <c r="D127" s="29">
        <f t="shared" si="14"/>
        <v>6555.577511136622</v>
      </c>
      <c r="E127" s="71"/>
      <c r="F127" s="29">
        <f t="shared" si="9"/>
        <v>6555.577511136622</v>
      </c>
      <c r="G127" s="27">
        <f t="shared" si="16"/>
        <v>4361.4602167201274</v>
      </c>
      <c r="H127" s="29">
        <f t="shared" si="10"/>
        <v>2194.1172944164946</v>
      </c>
      <c r="I127" s="29">
        <f t="shared" si="11"/>
        <v>433951.90437759622</v>
      </c>
      <c r="J127" s="6"/>
    </row>
    <row r="128" spans="1:10" x14ac:dyDescent="0.3">
      <c r="A128" s="25">
        <f t="shared" si="12"/>
        <v>72</v>
      </c>
      <c r="B128" s="26">
        <f t="shared" si="13"/>
        <v>46788</v>
      </c>
      <c r="C128" s="27">
        <f t="shared" si="15"/>
        <v>433951.90437759622</v>
      </c>
      <c r="D128" s="29">
        <f t="shared" si="14"/>
        <v>6555.577511136622</v>
      </c>
      <c r="E128" s="71"/>
      <c r="F128" s="29">
        <f t="shared" si="9"/>
        <v>6555.577511136622</v>
      </c>
      <c r="G128" s="27">
        <f t="shared" si="16"/>
        <v>4339.519043775962</v>
      </c>
      <c r="H128" s="29">
        <f t="shared" si="10"/>
        <v>2216.05846736066</v>
      </c>
      <c r="I128" s="29">
        <f t="shared" si="11"/>
        <v>431735.84591023554</v>
      </c>
      <c r="J128" s="6"/>
    </row>
    <row r="129" spans="1:10" x14ac:dyDescent="0.3">
      <c r="A129" s="25">
        <f t="shared" si="12"/>
        <v>73</v>
      </c>
      <c r="B129" s="26">
        <f t="shared" si="13"/>
        <v>46817</v>
      </c>
      <c r="C129" s="27">
        <f t="shared" si="15"/>
        <v>431735.84591023554</v>
      </c>
      <c r="D129" s="29">
        <f t="shared" si="14"/>
        <v>6555.577511136622</v>
      </c>
      <c r="E129" s="71"/>
      <c r="F129" s="29">
        <f t="shared" si="9"/>
        <v>6555.577511136622</v>
      </c>
      <c r="G129" s="27">
        <f t="shared" si="16"/>
        <v>4317.3584591023555</v>
      </c>
      <c r="H129" s="29">
        <f t="shared" si="10"/>
        <v>2238.2190520342665</v>
      </c>
      <c r="I129" s="29">
        <f t="shared" si="11"/>
        <v>429497.62685820129</v>
      </c>
      <c r="J129" s="6"/>
    </row>
    <row r="130" spans="1:10" x14ac:dyDescent="0.3">
      <c r="A130" s="25">
        <f t="shared" si="12"/>
        <v>74</v>
      </c>
      <c r="B130" s="26">
        <f t="shared" si="13"/>
        <v>46848</v>
      </c>
      <c r="C130" s="27">
        <f t="shared" si="15"/>
        <v>429497.62685820129</v>
      </c>
      <c r="D130" s="29">
        <f t="shared" si="14"/>
        <v>6555.577511136622</v>
      </c>
      <c r="E130" s="71"/>
      <c r="F130" s="29">
        <f t="shared" si="9"/>
        <v>6555.577511136622</v>
      </c>
      <c r="G130" s="27">
        <f t="shared" si="16"/>
        <v>4294.9762685820133</v>
      </c>
      <c r="H130" s="29">
        <f t="shared" si="10"/>
        <v>2260.6012425546087</v>
      </c>
      <c r="I130" s="29">
        <f t="shared" si="11"/>
        <v>427237.02561564668</v>
      </c>
      <c r="J130" s="6"/>
    </row>
    <row r="131" spans="1:10" x14ac:dyDescent="0.3">
      <c r="A131" s="25">
        <f t="shared" si="12"/>
        <v>75</v>
      </c>
      <c r="B131" s="26">
        <f t="shared" si="13"/>
        <v>46878</v>
      </c>
      <c r="C131" s="27">
        <f t="shared" si="15"/>
        <v>427237.02561564668</v>
      </c>
      <c r="D131" s="29">
        <f t="shared" si="14"/>
        <v>6555.577511136622</v>
      </c>
      <c r="E131" s="71"/>
      <c r="F131" s="29">
        <f t="shared" si="9"/>
        <v>6555.577511136622</v>
      </c>
      <c r="G131" s="27">
        <f t="shared" si="16"/>
        <v>4272.3702561564669</v>
      </c>
      <c r="H131" s="29">
        <f t="shared" si="10"/>
        <v>2283.2072549801551</v>
      </c>
      <c r="I131" s="29">
        <f t="shared" si="11"/>
        <v>424953.81836066651</v>
      </c>
      <c r="J131" s="6"/>
    </row>
    <row r="132" spans="1:10" x14ac:dyDescent="0.3">
      <c r="A132" s="25">
        <f t="shared" si="12"/>
        <v>76</v>
      </c>
      <c r="B132" s="26">
        <f t="shared" si="13"/>
        <v>46909</v>
      </c>
      <c r="C132" s="27">
        <f t="shared" si="15"/>
        <v>424953.81836066651</v>
      </c>
      <c r="D132" s="29">
        <f t="shared" si="14"/>
        <v>6555.577511136622</v>
      </c>
      <c r="E132" s="71"/>
      <c r="F132" s="29">
        <f t="shared" si="9"/>
        <v>6555.577511136622</v>
      </c>
      <c r="G132" s="27">
        <f t="shared" si="16"/>
        <v>4249.5381836066654</v>
      </c>
      <c r="H132" s="29">
        <f t="shared" si="10"/>
        <v>2306.0393275299566</v>
      </c>
      <c r="I132" s="29">
        <f t="shared" si="11"/>
        <v>422647.77903313655</v>
      </c>
      <c r="J132" s="6"/>
    </row>
    <row r="133" spans="1:10" x14ac:dyDescent="0.3">
      <c r="A133" s="25">
        <f t="shared" si="12"/>
        <v>77</v>
      </c>
      <c r="B133" s="26">
        <f t="shared" si="13"/>
        <v>46939</v>
      </c>
      <c r="C133" s="27">
        <f t="shared" si="15"/>
        <v>422647.77903313655</v>
      </c>
      <c r="D133" s="29">
        <f t="shared" si="14"/>
        <v>6555.577511136622</v>
      </c>
      <c r="E133" s="71"/>
      <c r="F133" s="29">
        <f t="shared" si="9"/>
        <v>6555.577511136622</v>
      </c>
      <c r="G133" s="27">
        <f t="shared" si="16"/>
        <v>4226.4777903313652</v>
      </c>
      <c r="H133" s="29">
        <f t="shared" si="10"/>
        <v>2329.0997208052568</v>
      </c>
      <c r="I133" s="29">
        <f t="shared" si="11"/>
        <v>420318.67931233131</v>
      </c>
      <c r="J133" s="6"/>
    </row>
    <row r="134" spans="1:10" x14ac:dyDescent="0.3">
      <c r="A134" s="25">
        <f t="shared" si="12"/>
        <v>78</v>
      </c>
      <c r="B134" s="26">
        <f t="shared" si="13"/>
        <v>46970</v>
      </c>
      <c r="C134" s="27">
        <f t="shared" si="15"/>
        <v>420318.67931233131</v>
      </c>
      <c r="D134" s="29">
        <f t="shared" si="14"/>
        <v>6555.577511136622</v>
      </c>
      <c r="E134" s="71"/>
      <c r="F134" s="29">
        <f t="shared" si="9"/>
        <v>6555.577511136622</v>
      </c>
      <c r="G134" s="27">
        <f t="shared" si="16"/>
        <v>4203.1867931233128</v>
      </c>
      <c r="H134" s="29">
        <f t="shared" si="10"/>
        <v>2352.3907180133092</v>
      </c>
      <c r="I134" s="29">
        <f t="shared" si="11"/>
        <v>417966.28859431803</v>
      </c>
      <c r="J134" s="6"/>
    </row>
    <row r="135" spans="1:10" x14ac:dyDescent="0.3">
      <c r="A135" s="25">
        <f t="shared" si="12"/>
        <v>79</v>
      </c>
      <c r="B135" s="26">
        <f t="shared" si="13"/>
        <v>47001</v>
      </c>
      <c r="C135" s="27">
        <f t="shared" si="15"/>
        <v>417966.28859431803</v>
      </c>
      <c r="D135" s="29">
        <f t="shared" si="14"/>
        <v>6555.577511136622</v>
      </c>
      <c r="E135" s="71"/>
      <c r="F135" s="29">
        <f t="shared" si="9"/>
        <v>6555.577511136622</v>
      </c>
      <c r="G135" s="27">
        <f t="shared" si="16"/>
        <v>4179.6628859431803</v>
      </c>
      <c r="H135" s="29">
        <f t="shared" si="10"/>
        <v>2375.9146251934417</v>
      </c>
      <c r="I135" s="29">
        <f t="shared" si="11"/>
        <v>415590.37396912457</v>
      </c>
      <c r="J135" s="6"/>
    </row>
    <row r="136" spans="1:10" x14ac:dyDescent="0.3">
      <c r="A136" s="25">
        <f t="shared" si="12"/>
        <v>80</v>
      </c>
      <c r="B136" s="26">
        <f t="shared" si="13"/>
        <v>47031</v>
      </c>
      <c r="C136" s="27">
        <f t="shared" si="15"/>
        <v>415590.37396912457</v>
      </c>
      <c r="D136" s="29">
        <f t="shared" si="14"/>
        <v>6555.577511136622</v>
      </c>
      <c r="E136" s="71"/>
      <c r="F136" s="29">
        <f t="shared" si="9"/>
        <v>6555.577511136622</v>
      </c>
      <c r="G136" s="27">
        <f t="shared" si="16"/>
        <v>4155.9037396912454</v>
      </c>
      <c r="H136" s="29">
        <f t="shared" ref="H136:H167" si="17">D136-G136</f>
        <v>2399.6737714453766</v>
      </c>
      <c r="I136" s="29">
        <f t="shared" si="11"/>
        <v>413190.70019767922</v>
      </c>
      <c r="J136" s="6"/>
    </row>
    <row r="137" spans="1:10" x14ac:dyDescent="0.3">
      <c r="A137" s="25">
        <f t="shared" si="12"/>
        <v>81</v>
      </c>
      <c r="B137" s="26">
        <f t="shared" ref="B137:B168" si="18">IF(A136&lt;$E$18,DATE(YEAR(B136),MONTH(B136)+1,DAY(B136)),"")</f>
        <v>47062</v>
      </c>
      <c r="C137" s="27">
        <f t="shared" si="15"/>
        <v>413190.70019767922</v>
      </c>
      <c r="D137" s="29">
        <f t="shared" si="14"/>
        <v>6555.577511136622</v>
      </c>
      <c r="E137" s="71"/>
      <c r="F137" s="29">
        <f t="shared" si="9"/>
        <v>6555.577511136622</v>
      </c>
      <c r="G137" s="27">
        <f t="shared" si="16"/>
        <v>4131.9070019767923</v>
      </c>
      <c r="H137" s="29">
        <f t="shared" si="17"/>
        <v>2423.6705091598296</v>
      </c>
      <c r="I137" s="29">
        <f t="shared" si="11"/>
        <v>410767.02968851937</v>
      </c>
      <c r="J137" s="6"/>
    </row>
    <row r="138" spans="1:10" x14ac:dyDescent="0.3">
      <c r="A138" s="25">
        <f t="shared" si="12"/>
        <v>82</v>
      </c>
      <c r="B138" s="26">
        <f t="shared" si="18"/>
        <v>47092</v>
      </c>
      <c r="C138" s="27">
        <f t="shared" si="15"/>
        <v>410767.02968851937</v>
      </c>
      <c r="D138" s="29">
        <f t="shared" si="14"/>
        <v>6555.577511136622</v>
      </c>
      <c r="E138" s="71"/>
      <c r="F138" s="29">
        <f t="shared" si="9"/>
        <v>6555.577511136622</v>
      </c>
      <c r="G138" s="27">
        <f t="shared" si="16"/>
        <v>4107.6702968851941</v>
      </c>
      <c r="H138" s="29">
        <f t="shared" si="17"/>
        <v>2447.9072142514278</v>
      </c>
      <c r="I138" s="29">
        <f t="shared" si="11"/>
        <v>408319.12247426796</v>
      </c>
      <c r="J138" s="6"/>
    </row>
    <row r="139" spans="1:10" x14ac:dyDescent="0.3">
      <c r="A139" s="25">
        <f t="shared" si="12"/>
        <v>83</v>
      </c>
      <c r="B139" s="26">
        <f t="shared" si="18"/>
        <v>47123</v>
      </c>
      <c r="C139" s="27">
        <f t="shared" si="15"/>
        <v>408319.12247426796</v>
      </c>
      <c r="D139" s="29">
        <f t="shared" si="14"/>
        <v>6555.577511136622</v>
      </c>
      <c r="E139" s="71"/>
      <c r="F139" s="29">
        <f t="shared" si="9"/>
        <v>6555.577511136622</v>
      </c>
      <c r="G139" s="27">
        <f t="shared" si="16"/>
        <v>4083.1912247426799</v>
      </c>
      <c r="H139" s="29">
        <f t="shared" si="17"/>
        <v>2472.3862863939421</v>
      </c>
      <c r="I139" s="29">
        <f t="shared" si="11"/>
        <v>405846.73618787405</v>
      </c>
      <c r="J139" s="6"/>
    </row>
    <row r="140" spans="1:10" x14ac:dyDescent="0.3">
      <c r="A140" s="25">
        <f t="shared" si="12"/>
        <v>84</v>
      </c>
      <c r="B140" s="26">
        <f t="shared" si="18"/>
        <v>47154</v>
      </c>
      <c r="C140" s="27">
        <f t="shared" si="15"/>
        <v>405846.73618787405</v>
      </c>
      <c r="D140" s="29">
        <f t="shared" si="14"/>
        <v>6555.577511136622</v>
      </c>
      <c r="E140" s="71"/>
      <c r="F140" s="29">
        <f t="shared" si="9"/>
        <v>6555.577511136622</v>
      </c>
      <c r="G140" s="27">
        <f t="shared" si="16"/>
        <v>4058.4673618787406</v>
      </c>
      <c r="H140" s="29">
        <f t="shared" si="17"/>
        <v>2497.1101492578814</v>
      </c>
      <c r="I140" s="29">
        <f t="shared" si="11"/>
        <v>403349.62603861617</v>
      </c>
      <c r="J140" s="6"/>
    </row>
    <row r="141" spans="1:10" x14ac:dyDescent="0.3">
      <c r="A141" s="25">
        <f t="shared" si="12"/>
        <v>85</v>
      </c>
      <c r="B141" s="26">
        <f t="shared" si="18"/>
        <v>47182</v>
      </c>
      <c r="C141" s="27">
        <f t="shared" si="15"/>
        <v>403349.62603861617</v>
      </c>
      <c r="D141" s="29">
        <f t="shared" si="14"/>
        <v>6555.577511136622</v>
      </c>
      <c r="E141" s="71"/>
      <c r="F141" s="29">
        <f t="shared" si="9"/>
        <v>6555.577511136622</v>
      </c>
      <c r="G141" s="27">
        <f t="shared" si="16"/>
        <v>4033.4962603861618</v>
      </c>
      <c r="H141" s="29">
        <f t="shared" si="17"/>
        <v>2522.0812507504602</v>
      </c>
      <c r="I141" s="29">
        <f t="shared" si="11"/>
        <v>400827.54478786571</v>
      </c>
      <c r="J141" s="6"/>
    </row>
    <row r="142" spans="1:10" x14ac:dyDescent="0.3">
      <c r="A142" s="25">
        <f t="shared" si="12"/>
        <v>86</v>
      </c>
      <c r="B142" s="26">
        <f t="shared" si="18"/>
        <v>47213</v>
      </c>
      <c r="C142" s="27">
        <f t="shared" si="15"/>
        <v>400827.54478786571</v>
      </c>
      <c r="D142" s="29">
        <f t="shared" si="14"/>
        <v>6555.577511136622</v>
      </c>
      <c r="E142" s="71"/>
      <c r="F142" s="29">
        <f t="shared" si="9"/>
        <v>6555.577511136622</v>
      </c>
      <c r="G142" s="27">
        <f t="shared" si="16"/>
        <v>4008.2754478786574</v>
      </c>
      <c r="H142" s="29">
        <f t="shared" si="17"/>
        <v>2547.3020632579646</v>
      </c>
      <c r="I142" s="29">
        <f t="shared" si="11"/>
        <v>398280.24272460776</v>
      </c>
      <c r="J142" s="6"/>
    </row>
    <row r="143" spans="1:10" x14ac:dyDescent="0.3">
      <c r="A143" s="25">
        <f t="shared" si="12"/>
        <v>87</v>
      </c>
      <c r="B143" s="26">
        <f t="shared" si="18"/>
        <v>47243</v>
      </c>
      <c r="C143" s="27">
        <f t="shared" si="15"/>
        <v>398280.24272460776</v>
      </c>
      <c r="D143" s="29">
        <f t="shared" si="14"/>
        <v>6555.577511136622</v>
      </c>
      <c r="E143" s="71"/>
      <c r="F143" s="29">
        <f t="shared" si="9"/>
        <v>6555.577511136622</v>
      </c>
      <c r="G143" s="27">
        <f t="shared" si="16"/>
        <v>3982.8024272460775</v>
      </c>
      <c r="H143" s="29">
        <f t="shared" si="17"/>
        <v>2572.7750838905445</v>
      </c>
      <c r="I143" s="29">
        <f t="shared" si="11"/>
        <v>395707.46764071722</v>
      </c>
      <c r="J143" s="6"/>
    </row>
    <row r="144" spans="1:10" x14ac:dyDescent="0.3">
      <c r="A144" s="25">
        <f t="shared" si="12"/>
        <v>88</v>
      </c>
      <c r="B144" s="26">
        <f t="shared" si="18"/>
        <v>47274</v>
      </c>
      <c r="C144" s="27">
        <f t="shared" si="15"/>
        <v>395707.46764071722</v>
      </c>
      <c r="D144" s="29">
        <f t="shared" si="14"/>
        <v>6555.577511136622</v>
      </c>
      <c r="E144" s="71"/>
      <c r="F144" s="29">
        <f t="shared" si="9"/>
        <v>6555.577511136622</v>
      </c>
      <c r="G144" s="27">
        <f t="shared" si="16"/>
        <v>3957.0746764071723</v>
      </c>
      <c r="H144" s="29">
        <f t="shared" si="17"/>
        <v>2598.5028347294497</v>
      </c>
      <c r="I144" s="29">
        <f t="shared" si="11"/>
        <v>393108.96480598778</v>
      </c>
      <c r="J144" s="6"/>
    </row>
    <row r="145" spans="1:10" x14ac:dyDescent="0.3">
      <c r="A145" s="25">
        <f t="shared" si="12"/>
        <v>89</v>
      </c>
      <c r="B145" s="26">
        <f t="shared" si="18"/>
        <v>47304</v>
      </c>
      <c r="C145" s="27">
        <f t="shared" si="15"/>
        <v>393108.96480598778</v>
      </c>
      <c r="D145" s="29">
        <f t="shared" si="14"/>
        <v>6555.577511136622</v>
      </c>
      <c r="E145" s="71"/>
      <c r="F145" s="29">
        <f t="shared" si="9"/>
        <v>6555.577511136622</v>
      </c>
      <c r="G145" s="27">
        <f t="shared" si="16"/>
        <v>3931.0896480598781</v>
      </c>
      <c r="H145" s="29">
        <f t="shared" si="17"/>
        <v>2624.4878630767439</v>
      </c>
      <c r="I145" s="29">
        <f t="shared" si="11"/>
        <v>390484.47694291105</v>
      </c>
      <c r="J145" s="6"/>
    </row>
    <row r="146" spans="1:10" x14ac:dyDescent="0.3">
      <c r="A146" s="25">
        <f t="shared" si="12"/>
        <v>90</v>
      </c>
      <c r="B146" s="26">
        <f t="shared" si="18"/>
        <v>47335</v>
      </c>
      <c r="C146" s="27">
        <f t="shared" si="15"/>
        <v>390484.47694291105</v>
      </c>
      <c r="D146" s="29">
        <f t="shared" si="14"/>
        <v>6555.577511136622</v>
      </c>
      <c r="E146" s="71"/>
      <c r="F146" s="29">
        <f t="shared" si="9"/>
        <v>6555.577511136622</v>
      </c>
      <c r="G146" s="27">
        <f t="shared" si="16"/>
        <v>3904.8447694291103</v>
      </c>
      <c r="H146" s="29">
        <f t="shared" si="17"/>
        <v>2650.7327417075117</v>
      </c>
      <c r="I146" s="29">
        <f t="shared" si="11"/>
        <v>387833.74420120352</v>
      </c>
      <c r="J146" s="6"/>
    </row>
    <row r="147" spans="1:10" x14ac:dyDescent="0.3">
      <c r="A147" s="25">
        <f t="shared" si="12"/>
        <v>91</v>
      </c>
      <c r="B147" s="26">
        <f t="shared" si="18"/>
        <v>47366</v>
      </c>
      <c r="C147" s="27">
        <f t="shared" si="15"/>
        <v>387833.74420120352</v>
      </c>
      <c r="D147" s="29">
        <f t="shared" si="14"/>
        <v>6555.577511136622</v>
      </c>
      <c r="E147" s="71"/>
      <c r="F147" s="29">
        <f t="shared" si="9"/>
        <v>6555.577511136622</v>
      </c>
      <c r="G147" s="27">
        <f t="shared" si="16"/>
        <v>3878.3374420120354</v>
      </c>
      <c r="H147" s="29">
        <f t="shared" si="17"/>
        <v>2677.2400691245866</v>
      </c>
      <c r="I147" s="29">
        <f t="shared" si="11"/>
        <v>385156.5041320789</v>
      </c>
      <c r="J147" s="6"/>
    </row>
    <row r="148" spans="1:10" x14ac:dyDescent="0.3">
      <c r="A148" s="25">
        <f t="shared" si="12"/>
        <v>92</v>
      </c>
      <c r="B148" s="26">
        <f t="shared" si="18"/>
        <v>47396</v>
      </c>
      <c r="C148" s="27">
        <f t="shared" si="15"/>
        <v>385156.5041320789</v>
      </c>
      <c r="D148" s="29">
        <f t="shared" si="14"/>
        <v>6555.577511136622</v>
      </c>
      <c r="E148" s="71"/>
      <c r="F148" s="29">
        <f t="shared" si="9"/>
        <v>6555.577511136622</v>
      </c>
      <c r="G148" s="27">
        <f t="shared" si="16"/>
        <v>3851.5650413207891</v>
      </c>
      <c r="H148" s="29">
        <f t="shared" si="17"/>
        <v>2704.0124698158329</v>
      </c>
      <c r="I148" s="29">
        <f t="shared" si="11"/>
        <v>382452.49166226306</v>
      </c>
      <c r="J148" s="6"/>
    </row>
    <row r="149" spans="1:10" x14ac:dyDescent="0.3">
      <c r="A149" s="25">
        <f t="shared" si="12"/>
        <v>93</v>
      </c>
      <c r="B149" s="26">
        <f t="shared" si="18"/>
        <v>47427</v>
      </c>
      <c r="C149" s="27">
        <f t="shared" si="15"/>
        <v>382452.49166226306</v>
      </c>
      <c r="D149" s="29">
        <f t="shared" si="14"/>
        <v>6555.577511136622</v>
      </c>
      <c r="E149" s="71"/>
      <c r="F149" s="29">
        <f t="shared" si="9"/>
        <v>6555.577511136622</v>
      </c>
      <c r="G149" s="27">
        <f t="shared" si="16"/>
        <v>3824.5249166226308</v>
      </c>
      <c r="H149" s="29">
        <f t="shared" si="17"/>
        <v>2731.0525945139912</v>
      </c>
      <c r="I149" s="29">
        <f t="shared" si="11"/>
        <v>379721.43906774907</v>
      </c>
      <c r="J149" s="6"/>
    </row>
    <row r="150" spans="1:10" x14ac:dyDescent="0.3">
      <c r="A150" s="25">
        <f t="shared" si="12"/>
        <v>94</v>
      </c>
      <c r="B150" s="26">
        <f t="shared" si="18"/>
        <v>47457</v>
      </c>
      <c r="C150" s="27">
        <f t="shared" si="15"/>
        <v>379721.43906774907</v>
      </c>
      <c r="D150" s="29">
        <f t="shared" si="14"/>
        <v>6555.577511136622</v>
      </c>
      <c r="E150" s="71"/>
      <c r="F150" s="29">
        <f t="shared" si="9"/>
        <v>6555.577511136622</v>
      </c>
      <c r="G150" s="27">
        <f t="shared" si="16"/>
        <v>3797.2143906774909</v>
      </c>
      <c r="H150" s="29">
        <f t="shared" si="17"/>
        <v>2758.3631204591311</v>
      </c>
      <c r="I150" s="29">
        <f t="shared" si="11"/>
        <v>376963.07594728994</v>
      </c>
      <c r="J150" s="6"/>
    </row>
    <row r="151" spans="1:10" x14ac:dyDescent="0.3">
      <c r="A151" s="25">
        <f t="shared" si="12"/>
        <v>95</v>
      </c>
      <c r="B151" s="26">
        <f t="shared" si="18"/>
        <v>47488</v>
      </c>
      <c r="C151" s="27">
        <f t="shared" si="15"/>
        <v>376963.07594728994</v>
      </c>
      <c r="D151" s="29">
        <f t="shared" si="14"/>
        <v>6555.577511136622</v>
      </c>
      <c r="E151" s="71"/>
      <c r="F151" s="29">
        <f t="shared" si="9"/>
        <v>6555.577511136622</v>
      </c>
      <c r="G151" s="27">
        <f t="shared" si="16"/>
        <v>3769.6307594728996</v>
      </c>
      <c r="H151" s="29">
        <f t="shared" si="17"/>
        <v>2785.9467516637224</v>
      </c>
      <c r="I151" s="29">
        <f t="shared" si="11"/>
        <v>374177.12919562624</v>
      </c>
      <c r="J151" s="6"/>
    </row>
    <row r="152" spans="1:10" x14ac:dyDescent="0.3">
      <c r="A152" s="25">
        <f t="shared" si="12"/>
        <v>96</v>
      </c>
      <c r="B152" s="26">
        <f t="shared" si="18"/>
        <v>47519</v>
      </c>
      <c r="C152" s="27">
        <f t="shared" si="15"/>
        <v>374177.12919562624</v>
      </c>
      <c r="D152" s="29">
        <f t="shared" si="14"/>
        <v>6555.577511136622</v>
      </c>
      <c r="E152" s="71"/>
      <c r="F152" s="29">
        <f t="shared" si="9"/>
        <v>6555.577511136622</v>
      </c>
      <c r="G152" s="27">
        <f t="shared" si="16"/>
        <v>3741.7712919562623</v>
      </c>
      <c r="H152" s="29">
        <f t="shared" si="17"/>
        <v>2813.8062191803597</v>
      </c>
      <c r="I152" s="29">
        <f t="shared" si="11"/>
        <v>371363.3229764459</v>
      </c>
      <c r="J152" s="6"/>
    </row>
    <row r="153" spans="1:10" x14ac:dyDescent="0.3">
      <c r="A153" s="25">
        <f t="shared" si="12"/>
        <v>97</v>
      </c>
      <c r="B153" s="26">
        <f t="shared" si="18"/>
        <v>47547</v>
      </c>
      <c r="C153" s="27">
        <f t="shared" si="15"/>
        <v>371363.3229764459</v>
      </c>
      <c r="D153" s="29">
        <f t="shared" si="14"/>
        <v>6555.577511136622</v>
      </c>
      <c r="E153" s="71"/>
      <c r="F153" s="29">
        <f t="shared" si="9"/>
        <v>6555.577511136622</v>
      </c>
      <c r="G153" s="27">
        <f t="shared" si="16"/>
        <v>3713.633229764459</v>
      </c>
      <c r="H153" s="29">
        <f t="shared" si="17"/>
        <v>2841.944281372163</v>
      </c>
      <c r="I153" s="29">
        <f t="shared" si="11"/>
        <v>368521.37869507371</v>
      </c>
      <c r="J153" s="6"/>
    </row>
    <row r="154" spans="1:10" x14ac:dyDescent="0.3">
      <c r="A154" s="25">
        <f t="shared" si="12"/>
        <v>98</v>
      </c>
      <c r="B154" s="26">
        <f t="shared" si="18"/>
        <v>47578</v>
      </c>
      <c r="C154" s="27">
        <f t="shared" si="15"/>
        <v>368521.37869507371</v>
      </c>
      <c r="D154" s="29">
        <f t="shared" si="14"/>
        <v>6555.577511136622</v>
      </c>
      <c r="E154" s="71"/>
      <c r="F154" s="29">
        <f t="shared" si="9"/>
        <v>6555.577511136622</v>
      </c>
      <c r="G154" s="27">
        <f t="shared" si="16"/>
        <v>3685.2137869507374</v>
      </c>
      <c r="H154" s="29">
        <f t="shared" si="17"/>
        <v>2870.3637241858846</v>
      </c>
      <c r="I154" s="29">
        <f t="shared" si="11"/>
        <v>365651.0149708878</v>
      </c>
      <c r="J154" s="6"/>
    </row>
    <row r="155" spans="1:10" x14ac:dyDescent="0.3">
      <c r="A155" s="25">
        <f t="shared" si="12"/>
        <v>99</v>
      </c>
      <c r="B155" s="26">
        <f t="shared" si="18"/>
        <v>47608</v>
      </c>
      <c r="C155" s="27">
        <f t="shared" si="15"/>
        <v>365651.0149708878</v>
      </c>
      <c r="D155" s="29">
        <f t="shared" si="14"/>
        <v>6555.577511136622</v>
      </c>
      <c r="E155" s="71"/>
      <c r="F155" s="29">
        <f t="shared" si="9"/>
        <v>6555.577511136622</v>
      </c>
      <c r="G155" s="27">
        <f t="shared" si="16"/>
        <v>3656.5101497088781</v>
      </c>
      <c r="H155" s="29">
        <f t="shared" si="17"/>
        <v>2899.0673614277439</v>
      </c>
      <c r="I155" s="29">
        <f t="shared" si="11"/>
        <v>362751.94760946004</v>
      </c>
      <c r="J155" s="6"/>
    </row>
    <row r="156" spans="1:10" x14ac:dyDescent="0.3">
      <c r="A156" s="25">
        <f t="shared" si="12"/>
        <v>100</v>
      </c>
      <c r="B156" s="26">
        <f t="shared" si="18"/>
        <v>47639</v>
      </c>
      <c r="C156" s="27">
        <f t="shared" si="15"/>
        <v>362751.94760946004</v>
      </c>
      <c r="D156" s="29">
        <f t="shared" si="14"/>
        <v>6555.577511136622</v>
      </c>
      <c r="E156" s="71"/>
      <c r="F156" s="29">
        <f t="shared" si="9"/>
        <v>6555.577511136622</v>
      </c>
      <c r="G156" s="27">
        <f t="shared" si="16"/>
        <v>3627.5194760946006</v>
      </c>
      <c r="H156" s="29">
        <f t="shared" si="17"/>
        <v>2928.0580350420214</v>
      </c>
      <c r="I156" s="29">
        <f t="shared" si="11"/>
        <v>359823.88957441802</v>
      </c>
      <c r="J156" s="6"/>
    </row>
    <row r="157" spans="1:10" x14ac:dyDescent="0.3">
      <c r="A157" s="25">
        <f t="shared" si="12"/>
        <v>101</v>
      </c>
      <c r="B157" s="26">
        <f t="shared" si="18"/>
        <v>47669</v>
      </c>
      <c r="C157" s="27">
        <f t="shared" si="15"/>
        <v>359823.88957441802</v>
      </c>
      <c r="D157" s="29">
        <f t="shared" si="14"/>
        <v>6555.577511136622</v>
      </c>
      <c r="E157" s="71"/>
      <c r="F157" s="29">
        <f t="shared" si="9"/>
        <v>6555.577511136622</v>
      </c>
      <c r="G157" s="27">
        <f t="shared" si="16"/>
        <v>3598.2388957441804</v>
      </c>
      <c r="H157" s="29">
        <f t="shared" si="17"/>
        <v>2957.3386153924416</v>
      </c>
      <c r="I157" s="29">
        <f t="shared" si="11"/>
        <v>356866.55095902557</v>
      </c>
      <c r="J157" s="6"/>
    </row>
    <row r="158" spans="1:10" x14ac:dyDescent="0.3">
      <c r="A158" s="25">
        <f t="shared" si="12"/>
        <v>102</v>
      </c>
      <c r="B158" s="26">
        <f t="shared" si="18"/>
        <v>47700</v>
      </c>
      <c r="C158" s="27">
        <f t="shared" si="15"/>
        <v>356866.55095902557</v>
      </c>
      <c r="D158" s="29">
        <f t="shared" si="14"/>
        <v>6555.577511136622</v>
      </c>
      <c r="E158" s="71"/>
      <c r="F158" s="29">
        <f t="shared" si="9"/>
        <v>6555.577511136622</v>
      </c>
      <c r="G158" s="27">
        <f t="shared" si="16"/>
        <v>3568.6655095902556</v>
      </c>
      <c r="H158" s="29">
        <f t="shared" si="17"/>
        <v>2986.9120015463664</v>
      </c>
      <c r="I158" s="29">
        <f t="shared" si="11"/>
        <v>353879.63895747921</v>
      </c>
      <c r="J158" s="6"/>
    </row>
    <row r="159" spans="1:10" x14ac:dyDescent="0.3">
      <c r="A159" s="25">
        <f t="shared" si="12"/>
        <v>103</v>
      </c>
      <c r="B159" s="26">
        <f t="shared" si="18"/>
        <v>47731</v>
      </c>
      <c r="C159" s="27">
        <f t="shared" si="15"/>
        <v>353879.63895747921</v>
      </c>
      <c r="D159" s="29">
        <f t="shared" si="14"/>
        <v>6555.577511136622</v>
      </c>
      <c r="E159" s="71"/>
      <c r="F159" s="29">
        <f t="shared" si="9"/>
        <v>6555.577511136622</v>
      </c>
      <c r="G159" s="27">
        <f t="shared" si="16"/>
        <v>3538.7963895747921</v>
      </c>
      <c r="H159" s="29">
        <f t="shared" si="17"/>
        <v>3016.7811215618299</v>
      </c>
      <c r="I159" s="29">
        <f t="shared" si="11"/>
        <v>350862.85783591738</v>
      </c>
      <c r="J159" s="6"/>
    </row>
    <row r="160" spans="1:10" x14ac:dyDescent="0.3">
      <c r="A160" s="25">
        <f t="shared" si="12"/>
        <v>104</v>
      </c>
      <c r="B160" s="26">
        <f t="shared" si="18"/>
        <v>47761</v>
      </c>
      <c r="C160" s="27">
        <f t="shared" si="15"/>
        <v>350862.85783591738</v>
      </c>
      <c r="D160" s="29">
        <f t="shared" si="14"/>
        <v>6555.577511136622</v>
      </c>
      <c r="E160" s="71"/>
      <c r="F160" s="29">
        <f t="shared" si="9"/>
        <v>6555.577511136622</v>
      </c>
      <c r="G160" s="27">
        <f t="shared" si="16"/>
        <v>3508.6285783591738</v>
      </c>
      <c r="H160" s="29">
        <f t="shared" si="17"/>
        <v>3046.9489327774481</v>
      </c>
      <c r="I160" s="29">
        <f t="shared" si="11"/>
        <v>347815.90890313993</v>
      </c>
      <c r="J160" s="6"/>
    </row>
    <row r="161" spans="1:10" x14ac:dyDescent="0.3">
      <c r="A161" s="25">
        <f t="shared" si="12"/>
        <v>105</v>
      </c>
      <c r="B161" s="26">
        <f t="shared" si="18"/>
        <v>47792</v>
      </c>
      <c r="C161" s="27">
        <f t="shared" si="15"/>
        <v>347815.90890313993</v>
      </c>
      <c r="D161" s="29">
        <f t="shared" si="14"/>
        <v>6555.577511136622</v>
      </c>
      <c r="E161" s="71"/>
      <c r="F161" s="29">
        <f t="shared" si="9"/>
        <v>6555.577511136622</v>
      </c>
      <c r="G161" s="27">
        <f t="shared" si="16"/>
        <v>3478.1590890313996</v>
      </c>
      <c r="H161" s="29">
        <f t="shared" si="17"/>
        <v>3077.4184221052224</v>
      </c>
      <c r="I161" s="29">
        <f t="shared" si="11"/>
        <v>344738.49048103474</v>
      </c>
      <c r="J161" s="6"/>
    </row>
    <row r="162" spans="1:10" x14ac:dyDescent="0.3">
      <c r="A162" s="25">
        <f t="shared" si="12"/>
        <v>106</v>
      </c>
      <c r="B162" s="26">
        <f t="shared" si="18"/>
        <v>47822</v>
      </c>
      <c r="C162" s="27">
        <f t="shared" si="15"/>
        <v>344738.49048103474</v>
      </c>
      <c r="D162" s="29">
        <f t="shared" si="14"/>
        <v>6555.577511136622</v>
      </c>
      <c r="E162" s="71"/>
      <c r="F162" s="29">
        <f t="shared" si="9"/>
        <v>6555.577511136622</v>
      </c>
      <c r="G162" s="27">
        <f t="shared" si="16"/>
        <v>3447.3849048103475</v>
      </c>
      <c r="H162" s="29">
        <f t="shared" si="17"/>
        <v>3108.1926063262745</v>
      </c>
      <c r="I162" s="29">
        <f t="shared" si="11"/>
        <v>341630.29787470849</v>
      </c>
      <c r="J162" s="6"/>
    </row>
    <row r="163" spans="1:10" x14ac:dyDescent="0.3">
      <c r="A163" s="25">
        <f t="shared" si="12"/>
        <v>107</v>
      </c>
      <c r="B163" s="26">
        <f t="shared" si="18"/>
        <v>47853</v>
      </c>
      <c r="C163" s="27">
        <f t="shared" si="15"/>
        <v>341630.29787470849</v>
      </c>
      <c r="D163" s="29">
        <f t="shared" si="14"/>
        <v>6555.577511136622</v>
      </c>
      <c r="E163" s="71"/>
      <c r="F163" s="29">
        <f t="shared" si="9"/>
        <v>6555.577511136622</v>
      </c>
      <c r="G163" s="27">
        <f t="shared" si="16"/>
        <v>3416.302978747085</v>
      </c>
      <c r="H163" s="29">
        <f t="shared" si="17"/>
        <v>3139.2745323895369</v>
      </c>
      <c r="I163" s="29">
        <f t="shared" si="11"/>
        <v>338491.02334231895</v>
      </c>
      <c r="J163" s="6"/>
    </row>
    <row r="164" spans="1:10" x14ac:dyDescent="0.3">
      <c r="A164" s="25">
        <f t="shared" si="12"/>
        <v>108</v>
      </c>
      <c r="B164" s="26">
        <f t="shared" si="18"/>
        <v>47884</v>
      </c>
      <c r="C164" s="27">
        <f t="shared" si="15"/>
        <v>338491.02334231895</v>
      </c>
      <c r="D164" s="29">
        <f t="shared" si="14"/>
        <v>6555.577511136622</v>
      </c>
      <c r="E164" s="71"/>
      <c r="F164" s="29">
        <f t="shared" si="9"/>
        <v>6555.577511136622</v>
      </c>
      <c r="G164" s="27">
        <f t="shared" si="16"/>
        <v>3384.9102334231898</v>
      </c>
      <c r="H164" s="29">
        <f t="shared" si="17"/>
        <v>3170.6672777134322</v>
      </c>
      <c r="I164" s="29">
        <f t="shared" si="11"/>
        <v>335320.35606460553</v>
      </c>
      <c r="J164" s="6"/>
    </row>
    <row r="165" spans="1:10" x14ac:dyDescent="0.3">
      <c r="A165" s="25">
        <f t="shared" si="12"/>
        <v>109</v>
      </c>
      <c r="B165" s="26">
        <f t="shared" si="18"/>
        <v>47912</v>
      </c>
      <c r="C165" s="27">
        <f t="shared" si="15"/>
        <v>335320.35606460553</v>
      </c>
      <c r="D165" s="29">
        <f t="shared" si="14"/>
        <v>6555.577511136622</v>
      </c>
      <c r="E165" s="71"/>
      <c r="F165" s="29">
        <f t="shared" si="9"/>
        <v>6555.577511136622</v>
      </c>
      <c r="G165" s="27">
        <f t="shared" si="16"/>
        <v>3353.2035606460554</v>
      </c>
      <c r="H165" s="29">
        <f t="shared" si="17"/>
        <v>3202.3739504905666</v>
      </c>
      <c r="I165" s="29">
        <f t="shared" si="11"/>
        <v>332117.98211411497</v>
      </c>
      <c r="J165" s="6"/>
    </row>
    <row r="166" spans="1:10" x14ac:dyDescent="0.3">
      <c r="A166" s="25">
        <f t="shared" si="12"/>
        <v>110</v>
      </c>
      <c r="B166" s="26">
        <f t="shared" si="18"/>
        <v>47943</v>
      </c>
      <c r="C166" s="27">
        <f t="shared" si="15"/>
        <v>332117.98211411497</v>
      </c>
      <c r="D166" s="29">
        <f t="shared" si="14"/>
        <v>6555.577511136622</v>
      </c>
      <c r="E166" s="71"/>
      <c r="F166" s="29">
        <f t="shared" si="9"/>
        <v>6555.577511136622</v>
      </c>
      <c r="G166" s="27">
        <f t="shared" si="16"/>
        <v>3321.1798211411497</v>
      </c>
      <c r="H166" s="29">
        <f t="shared" si="17"/>
        <v>3234.3976899954723</v>
      </c>
      <c r="I166" s="29">
        <f t="shared" si="11"/>
        <v>328883.5844241195</v>
      </c>
      <c r="J166" s="6"/>
    </row>
    <row r="167" spans="1:10" x14ac:dyDescent="0.3">
      <c r="A167" s="25">
        <f t="shared" si="12"/>
        <v>111</v>
      </c>
      <c r="B167" s="26">
        <f t="shared" si="18"/>
        <v>47973</v>
      </c>
      <c r="C167" s="27">
        <f t="shared" si="15"/>
        <v>328883.5844241195</v>
      </c>
      <c r="D167" s="29">
        <f t="shared" si="14"/>
        <v>6555.577511136622</v>
      </c>
      <c r="E167" s="71"/>
      <c r="F167" s="29">
        <f t="shared" si="9"/>
        <v>6555.577511136622</v>
      </c>
      <c r="G167" s="27">
        <f t="shared" si="16"/>
        <v>3288.835844241195</v>
      </c>
      <c r="H167" s="29">
        <f t="shared" si="17"/>
        <v>3266.741666895427</v>
      </c>
      <c r="I167" s="29">
        <f t="shared" si="11"/>
        <v>325616.84275722405</v>
      </c>
      <c r="J167" s="6"/>
    </row>
    <row r="168" spans="1:10" x14ac:dyDescent="0.3">
      <c r="A168" s="25">
        <f t="shared" si="12"/>
        <v>112</v>
      </c>
      <c r="B168" s="26">
        <f t="shared" si="18"/>
        <v>48004</v>
      </c>
      <c r="C168" s="27">
        <f t="shared" si="15"/>
        <v>325616.84275722405</v>
      </c>
      <c r="D168" s="29">
        <f t="shared" si="14"/>
        <v>6555.577511136622</v>
      </c>
      <c r="E168" s="71"/>
      <c r="F168" s="29">
        <f t="shared" si="9"/>
        <v>6555.577511136622</v>
      </c>
      <c r="G168" s="27">
        <f t="shared" si="16"/>
        <v>3256.1684275722405</v>
      </c>
      <c r="H168" s="29">
        <f t="shared" ref="H168:H176" si="19">D168-G168</f>
        <v>3299.4090835643815</v>
      </c>
      <c r="I168" s="29">
        <f t="shared" si="11"/>
        <v>322317.43367365969</v>
      </c>
      <c r="J168" s="6"/>
    </row>
    <row r="169" spans="1:10" x14ac:dyDescent="0.3">
      <c r="A169" s="25">
        <f t="shared" ref="A169:A176" si="20">IF(A168&lt;$D$37,A168+1,"")</f>
        <v>113</v>
      </c>
      <c r="B169" s="26">
        <f t="shared" ref="B169:B176" si="21">IF(A168&lt;$E$18,DATE(YEAR(B168),MONTH(B168)+1,DAY(B168)),"")</f>
        <v>48034</v>
      </c>
      <c r="C169" s="27">
        <f t="shared" si="15"/>
        <v>322317.43367365969</v>
      </c>
      <c r="D169" s="29">
        <f t="shared" ref="D169:D176" si="22">IF(A169&lt;121,(-PMT($D$100,$D$97,$D$96)))</f>
        <v>6555.577511136622</v>
      </c>
      <c r="E169" s="71"/>
      <c r="F169" s="29">
        <f t="shared" ref="F169:F176" si="23">SUM(D169:E169)</f>
        <v>6555.577511136622</v>
      </c>
      <c r="G169" s="27">
        <f t="shared" ref="G169:G176" si="24">IF(A169&gt;48,(C169*$D$100),0)</f>
        <v>3223.1743367365971</v>
      </c>
      <c r="H169" s="29">
        <f t="shared" si="19"/>
        <v>3332.4031744000249</v>
      </c>
      <c r="I169" s="29">
        <f t="shared" ref="I169:I176" si="25">C169-H169</f>
        <v>318985.03049925965</v>
      </c>
      <c r="J169" s="6"/>
    </row>
    <row r="170" spans="1:10" x14ac:dyDescent="0.3">
      <c r="A170" s="25">
        <f t="shared" si="20"/>
        <v>114</v>
      </c>
      <c r="B170" s="26">
        <f t="shared" si="21"/>
        <v>48065</v>
      </c>
      <c r="C170" s="27">
        <f t="shared" ref="C170:C176" si="26">I169</f>
        <v>318985.03049925965</v>
      </c>
      <c r="D170" s="29">
        <f t="shared" si="22"/>
        <v>6555.577511136622</v>
      </c>
      <c r="E170" s="71"/>
      <c r="F170" s="29">
        <f t="shared" si="23"/>
        <v>6555.577511136622</v>
      </c>
      <c r="G170" s="27">
        <f t="shared" si="24"/>
        <v>3189.8503049925966</v>
      </c>
      <c r="H170" s="29">
        <f t="shared" si="19"/>
        <v>3365.7272061440253</v>
      </c>
      <c r="I170" s="29">
        <f t="shared" si="25"/>
        <v>315619.30329311563</v>
      </c>
      <c r="J170" s="6"/>
    </row>
    <row r="171" spans="1:10" x14ac:dyDescent="0.3">
      <c r="A171" s="25">
        <f t="shared" si="20"/>
        <v>115</v>
      </c>
      <c r="B171" s="26">
        <f t="shared" si="21"/>
        <v>48096</v>
      </c>
      <c r="C171" s="27">
        <f t="shared" si="26"/>
        <v>315619.30329311563</v>
      </c>
      <c r="D171" s="29">
        <f t="shared" si="22"/>
        <v>6555.577511136622</v>
      </c>
      <c r="E171" s="71"/>
      <c r="F171" s="29">
        <f t="shared" si="23"/>
        <v>6555.577511136622</v>
      </c>
      <c r="G171" s="27">
        <f t="shared" si="24"/>
        <v>3156.1930329311563</v>
      </c>
      <c r="H171" s="29">
        <f t="shared" si="19"/>
        <v>3399.3844782054657</v>
      </c>
      <c r="I171" s="29">
        <f t="shared" si="25"/>
        <v>312219.91881491017</v>
      </c>
      <c r="J171" s="6"/>
    </row>
    <row r="172" spans="1:10" x14ac:dyDescent="0.3">
      <c r="A172" s="25">
        <f t="shared" si="20"/>
        <v>116</v>
      </c>
      <c r="B172" s="26">
        <f t="shared" si="21"/>
        <v>48126</v>
      </c>
      <c r="C172" s="27">
        <f t="shared" si="26"/>
        <v>312219.91881491017</v>
      </c>
      <c r="D172" s="29">
        <f t="shared" si="22"/>
        <v>6555.577511136622</v>
      </c>
      <c r="E172" s="71"/>
      <c r="F172" s="29">
        <f t="shared" si="23"/>
        <v>6555.577511136622</v>
      </c>
      <c r="G172" s="27">
        <f t="shared" si="24"/>
        <v>3122.1991881491017</v>
      </c>
      <c r="H172" s="29">
        <f t="shared" si="19"/>
        <v>3433.3783229875203</v>
      </c>
      <c r="I172" s="29">
        <f t="shared" si="25"/>
        <v>308786.54049192264</v>
      </c>
      <c r="J172" s="6"/>
    </row>
    <row r="173" spans="1:10" x14ac:dyDescent="0.3">
      <c r="A173" s="25">
        <f t="shared" si="20"/>
        <v>117</v>
      </c>
      <c r="B173" s="26">
        <f t="shared" si="21"/>
        <v>48157</v>
      </c>
      <c r="C173" s="27">
        <f t="shared" si="26"/>
        <v>308786.54049192264</v>
      </c>
      <c r="D173" s="29">
        <f t="shared" si="22"/>
        <v>6555.577511136622</v>
      </c>
      <c r="E173" s="71"/>
      <c r="F173" s="29">
        <f t="shared" si="23"/>
        <v>6555.577511136622</v>
      </c>
      <c r="G173" s="27">
        <f t="shared" si="24"/>
        <v>3087.8654049192264</v>
      </c>
      <c r="H173" s="29">
        <f t="shared" si="19"/>
        <v>3467.7121062173956</v>
      </c>
      <c r="I173" s="29">
        <f t="shared" si="25"/>
        <v>305318.82838570524</v>
      </c>
      <c r="J173" s="6"/>
    </row>
    <row r="174" spans="1:10" x14ac:dyDescent="0.3">
      <c r="A174" s="25">
        <f t="shared" si="20"/>
        <v>118</v>
      </c>
      <c r="B174" s="26">
        <f t="shared" si="21"/>
        <v>48187</v>
      </c>
      <c r="C174" s="27">
        <f t="shared" si="26"/>
        <v>305318.82838570524</v>
      </c>
      <c r="D174" s="29">
        <f t="shared" si="22"/>
        <v>6555.577511136622</v>
      </c>
      <c r="E174" s="71"/>
      <c r="F174" s="29">
        <f t="shared" si="23"/>
        <v>6555.577511136622</v>
      </c>
      <c r="G174" s="27">
        <f t="shared" si="24"/>
        <v>3053.1882838570527</v>
      </c>
      <c r="H174" s="29">
        <f t="shared" si="19"/>
        <v>3502.3892272795692</v>
      </c>
      <c r="I174" s="29">
        <f t="shared" si="25"/>
        <v>301816.43915842567</v>
      </c>
      <c r="J174" s="6"/>
    </row>
    <row r="175" spans="1:10" x14ac:dyDescent="0.3">
      <c r="A175" s="25">
        <f t="shared" si="20"/>
        <v>119</v>
      </c>
      <c r="B175" s="26">
        <f t="shared" si="21"/>
        <v>48218</v>
      </c>
      <c r="C175" s="27">
        <f t="shared" si="26"/>
        <v>301816.43915842567</v>
      </c>
      <c r="D175" s="29">
        <f t="shared" si="22"/>
        <v>6555.577511136622</v>
      </c>
      <c r="E175" s="71"/>
      <c r="F175" s="29">
        <f t="shared" si="23"/>
        <v>6555.577511136622</v>
      </c>
      <c r="G175" s="27">
        <f t="shared" si="24"/>
        <v>3018.1643915842569</v>
      </c>
      <c r="H175" s="29">
        <f t="shared" si="19"/>
        <v>3537.4131195523651</v>
      </c>
      <c r="I175" s="29">
        <f t="shared" si="25"/>
        <v>298279.0260388733</v>
      </c>
      <c r="J175" s="6"/>
    </row>
    <row r="176" spans="1:10" x14ac:dyDescent="0.3">
      <c r="A176" s="25">
        <f t="shared" si="20"/>
        <v>120</v>
      </c>
      <c r="B176" s="26">
        <f t="shared" si="21"/>
        <v>48249</v>
      </c>
      <c r="C176" s="27">
        <f t="shared" si="26"/>
        <v>298279.0260388733</v>
      </c>
      <c r="D176" s="29">
        <f t="shared" si="22"/>
        <v>6555.577511136622</v>
      </c>
      <c r="E176" s="71"/>
      <c r="F176" s="29">
        <f t="shared" si="23"/>
        <v>6555.577511136622</v>
      </c>
      <c r="G176" s="27">
        <f t="shared" si="24"/>
        <v>2982.7902603887333</v>
      </c>
      <c r="H176" s="29">
        <f t="shared" si="19"/>
        <v>3572.7872507478887</v>
      </c>
      <c r="I176" s="29">
        <f t="shared" si="25"/>
        <v>294706.2387881254</v>
      </c>
      <c r="J176" s="6"/>
    </row>
    <row r="177" spans="1:10" hidden="1" x14ac:dyDescent="0.3">
      <c r="A177" s="39"/>
      <c r="B177" s="40"/>
      <c r="C177" s="41"/>
      <c r="D177" s="42"/>
      <c r="E177" s="77">
        <f>SUM(E104:E176)</f>
        <v>0</v>
      </c>
      <c r="F177" s="42"/>
      <c r="G177" s="41"/>
      <c r="H177" s="42">
        <f>SUBTOTAL(109,Tabla12111735918[ABONO A CAPITAL])</f>
        <v>184576.96121187485</v>
      </c>
      <c r="I177" s="42">
        <f>I176</f>
        <v>294706.2387881254</v>
      </c>
      <c r="J177" s="6"/>
    </row>
    <row r="178" spans="1:10" hidden="1" outlineLevel="1" x14ac:dyDescent="0.3">
      <c r="A178" s="43"/>
      <c r="B178" s="43"/>
      <c r="C178" s="43"/>
      <c r="D178" s="46"/>
      <c r="E178" s="78"/>
      <c r="F178" s="43"/>
      <c r="G178" s="43"/>
      <c r="H178" s="43"/>
      <c r="I178" s="43"/>
      <c r="J178" s="6"/>
    </row>
    <row r="179" spans="1:10" hidden="1" outlineLevel="1" x14ac:dyDescent="0.3">
      <c r="A179" s="43"/>
      <c r="B179" s="43"/>
      <c r="C179" s="43"/>
      <c r="D179" s="46"/>
      <c r="E179" s="78"/>
      <c r="F179" s="43"/>
      <c r="G179" s="43"/>
      <c r="H179" s="43"/>
      <c r="I179" s="43"/>
      <c r="J179" s="6"/>
    </row>
    <row r="180" spans="1:10" hidden="1" outlineLevel="1" x14ac:dyDescent="0.3">
      <c r="A180" s="43"/>
      <c r="B180" s="43"/>
      <c r="C180" s="13" t="s">
        <v>16</v>
      </c>
      <c r="D180" s="152">
        <f>$H$177</f>
        <v>184576.96121187485</v>
      </c>
      <c r="E180" s="78"/>
      <c r="F180" s="43"/>
      <c r="G180" s="43"/>
      <c r="H180" s="43"/>
      <c r="I180" s="43"/>
      <c r="J180" s="6"/>
    </row>
    <row r="181" spans="1:10" hidden="1" outlineLevel="1" x14ac:dyDescent="0.3">
      <c r="A181" s="43"/>
      <c r="B181" s="43"/>
      <c r="C181" s="44" t="s">
        <v>20</v>
      </c>
      <c r="D181" s="154">
        <f>$D$96-$D$180</f>
        <v>294706.23878812528</v>
      </c>
      <c r="E181" s="78"/>
      <c r="F181" s="43"/>
      <c r="G181" s="43"/>
      <c r="H181" s="43"/>
      <c r="I181" s="43"/>
      <c r="J181" s="6"/>
    </row>
    <row r="182" spans="1:10" hidden="1" outlineLevel="1" x14ac:dyDescent="0.3">
      <c r="A182" s="43"/>
      <c r="B182" s="43"/>
      <c r="C182" s="13" t="s">
        <v>21</v>
      </c>
      <c r="D182" s="154">
        <f>$D$97-$D$99</f>
        <v>60</v>
      </c>
      <c r="E182" s="78"/>
      <c r="F182" s="43"/>
      <c r="G182" s="43"/>
      <c r="H182" s="43"/>
      <c r="I182" s="43"/>
      <c r="J182" s="6"/>
    </row>
    <row r="183" spans="1:10" hidden="1" outlineLevel="1" x14ac:dyDescent="0.3">
      <c r="A183" s="43"/>
      <c r="B183" s="43"/>
      <c r="C183" s="13" t="s">
        <v>22</v>
      </c>
      <c r="D183" s="154">
        <f>$D$182/12</f>
        <v>5</v>
      </c>
      <c r="E183" s="78"/>
      <c r="F183" s="43"/>
      <c r="G183" s="43"/>
      <c r="H183" s="43"/>
      <c r="I183" s="43"/>
      <c r="J183" s="6"/>
    </row>
    <row r="184" spans="1:10" hidden="1" outlineLevel="1" x14ac:dyDescent="0.3">
      <c r="A184" s="43"/>
      <c r="B184" s="43"/>
      <c r="C184" s="20" t="s">
        <v>26</v>
      </c>
      <c r="D184" s="155">
        <f>$D$21</f>
        <v>60</v>
      </c>
      <c r="E184" s="78"/>
      <c r="F184" s="43"/>
      <c r="G184" s="43"/>
      <c r="H184" s="43"/>
      <c r="I184" s="43"/>
      <c r="J184" s="6"/>
    </row>
    <row r="185" spans="1:10" hidden="1" outlineLevel="1" x14ac:dyDescent="0.3">
      <c r="A185" s="43"/>
      <c r="B185" s="43"/>
      <c r="C185" s="13" t="s">
        <v>9</v>
      </c>
      <c r="D185" s="222">
        <f>$E$21</f>
        <v>1.2500000000000001E-2</v>
      </c>
      <c r="E185" s="78"/>
      <c r="F185" s="43"/>
      <c r="G185" s="43"/>
      <c r="H185" s="43"/>
      <c r="I185" s="43"/>
      <c r="J185" s="6"/>
    </row>
    <row r="186" spans="1:10" hidden="1" outlineLevel="1" x14ac:dyDescent="0.3">
      <c r="A186" s="43"/>
      <c r="B186" s="43"/>
      <c r="C186" s="13" t="s">
        <v>24</v>
      </c>
      <c r="D186" s="45">
        <f>-PMT(D185,D182,D181)</f>
        <v>7011.0408167832429</v>
      </c>
      <c r="E186" s="79"/>
      <c r="F186" s="46"/>
      <c r="G186" s="43"/>
      <c r="H186" s="43"/>
      <c r="I186" s="43"/>
      <c r="J186" s="6"/>
    </row>
    <row r="187" spans="1:10" hidden="1" outlineLevel="1" x14ac:dyDescent="0.3">
      <c r="A187" s="43"/>
      <c r="B187" s="43"/>
      <c r="C187" s="43"/>
      <c r="D187" s="45">
        <f>D186*D184</f>
        <v>420662.4490069946</v>
      </c>
      <c r="E187" s="80"/>
      <c r="F187" s="43"/>
      <c r="G187" s="43"/>
      <c r="H187" s="43"/>
      <c r="I187" s="46"/>
      <c r="J187" s="6"/>
    </row>
    <row r="188" spans="1:10" hidden="1" outlineLevel="1" x14ac:dyDescent="0.3">
      <c r="A188" s="47" t="s">
        <v>11</v>
      </c>
      <c r="B188" s="48" t="s">
        <v>12</v>
      </c>
      <c r="C188" s="49" t="s">
        <v>13</v>
      </c>
      <c r="D188" s="50" t="s">
        <v>25</v>
      </c>
      <c r="E188" s="81" t="s">
        <v>15</v>
      </c>
      <c r="F188" s="49" t="s">
        <v>16</v>
      </c>
      <c r="G188" s="49" t="s">
        <v>17</v>
      </c>
      <c r="H188" s="49" t="s">
        <v>18</v>
      </c>
      <c r="I188" s="50" t="s">
        <v>19</v>
      </c>
      <c r="J188" s="6"/>
    </row>
    <row r="189" spans="1:10" hidden="1" outlineLevel="1" x14ac:dyDescent="0.3">
      <c r="A189" s="219">
        <v>120</v>
      </c>
      <c r="B189" s="220">
        <f>B176</f>
        <v>48249</v>
      </c>
      <c r="C189" s="221">
        <f>D181</f>
        <v>294706.23878812528</v>
      </c>
      <c r="D189" s="29"/>
      <c r="E189" s="71">
        <f>Tabla12111735918[[#Totals],[ABONOS]]</f>
        <v>0</v>
      </c>
      <c r="F189" s="29">
        <f t="shared" ref="F189:F249" si="27">SUM(D189:E189)</f>
        <v>0</v>
      </c>
      <c r="G189" s="27"/>
      <c r="H189" s="29">
        <f t="shared" ref="H189:H249" si="28">F189-G189</f>
        <v>0</v>
      </c>
      <c r="I189" s="29">
        <f t="shared" ref="I189:I249" si="29">C189-H189</f>
        <v>294706.23878812528</v>
      </c>
      <c r="J189" s="6"/>
    </row>
    <row r="190" spans="1:10" collapsed="1" x14ac:dyDescent="0.3">
      <c r="A190" s="25">
        <f>IF(A189&lt;$D$37,A189+1,"")</f>
        <v>121</v>
      </c>
      <c r="B190" s="26">
        <f>IF(A190&lt;=$E$18,DATE(YEAR(B189),MONTH(B189)+1,DAY(B189)),"")</f>
        <v>48278</v>
      </c>
      <c r="C190" s="27">
        <f>IF(I189&gt;120,I189,0)</f>
        <v>294706.23878812528</v>
      </c>
      <c r="D190" s="29">
        <f t="shared" ref="D190:D220" si="30">IF(C190&gt;0,(-PMT($D$185,$D$182,$D$181)))</f>
        <v>7011.0408167832429</v>
      </c>
      <c r="E190" s="71"/>
      <c r="F190" s="29">
        <f t="shared" si="27"/>
        <v>7011.0408167832429</v>
      </c>
      <c r="G190" s="27">
        <f t="shared" ref="G190:G249" si="31">IF(A190&gt;=121,(C190*$D$185),0)</f>
        <v>3683.8279848515663</v>
      </c>
      <c r="H190" s="29">
        <f t="shared" si="28"/>
        <v>3327.2128319316766</v>
      </c>
      <c r="I190" s="29">
        <f t="shared" si="29"/>
        <v>291379.02595619363</v>
      </c>
      <c r="J190" s="6"/>
    </row>
    <row r="191" spans="1:10" x14ac:dyDescent="0.3">
      <c r="A191" s="25">
        <f t="shared" ref="A191:A249" si="32">IF(A190&lt;$D$37,A190+1,"")</f>
        <v>122</v>
      </c>
      <c r="B191" s="26">
        <f t="shared" ref="B191:B249" si="33">IF(A191&lt;=$E$18,DATE(YEAR(B190),MONTH(B190)+1,DAY(B190)),"")</f>
        <v>48309</v>
      </c>
      <c r="C191" s="27">
        <f t="shared" ref="C191:C249" si="34">IF(I190&gt;120,I190,0)</f>
        <v>291379.02595619363</v>
      </c>
      <c r="D191" s="29">
        <f t="shared" si="30"/>
        <v>7011.0408167832429</v>
      </c>
      <c r="E191" s="71"/>
      <c r="F191" s="29">
        <f t="shared" si="27"/>
        <v>7011.0408167832429</v>
      </c>
      <c r="G191" s="27">
        <f t="shared" si="31"/>
        <v>3642.2378244524207</v>
      </c>
      <c r="H191" s="29">
        <f t="shared" si="28"/>
        <v>3368.8029923308222</v>
      </c>
      <c r="I191" s="29">
        <f t="shared" si="29"/>
        <v>288010.22296386282</v>
      </c>
      <c r="J191" s="6"/>
    </row>
    <row r="192" spans="1:10" x14ac:dyDescent="0.3">
      <c r="A192" s="25">
        <f t="shared" si="32"/>
        <v>123</v>
      </c>
      <c r="B192" s="26">
        <f t="shared" si="33"/>
        <v>48339</v>
      </c>
      <c r="C192" s="27">
        <f t="shared" si="34"/>
        <v>288010.22296386282</v>
      </c>
      <c r="D192" s="29">
        <f t="shared" si="30"/>
        <v>7011.0408167832429</v>
      </c>
      <c r="E192" s="71"/>
      <c r="F192" s="29">
        <f t="shared" si="27"/>
        <v>7011.0408167832429</v>
      </c>
      <c r="G192" s="27">
        <f t="shared" si="31"/>
        <v>3600.1277870482854</v>
      </c>
      <c r="H192" s="29">
        <f t="shared" si="28"/>
        <v>3410.9130297349575</v>
      </c>
      <c r="I192" s="29">
        <f t="shared" si="29"/>
        <v>284599.30993412784</v>
      </c>
      <c r="J192" s="6"/>
    </row>
    <row r="193" spans="1:10" x14ac:dyDescent="0.3">
      <c r="A193" s="25">
        <f t="shared" si="32"/>
        <v>124</v>
      </c>
      <c r="B193" s="26">
        <f t="shared" si="33"/>
        <v>48370</v>
      </c>
      <c r="C193" s="27">
        <f t="shared" si="34"/>
        <v>284599.30993412784</v>
      </c>
      <c r="D193" s="29">
        <f t="shared" si="30"/>
        <v>7011.0408167832429</v>
      </c>
      <c r="E193" s="71"/>
      <c r="F193" s="29">
        <f t="shared" si="27"/>
        <v>7011.0408167832429</v>
      </c>
      <c r="G193" s="27">
        <f t="shared" si="31"/>
        <v>3557.4913741765981</v>
      </c>
      <c r="H193" s="29">
        <f t="shared" si="28"/>
        <v>3453.5494426066448</v>
      </c>
      <c r="I193" s="29">
        <f t="shared" si="29"/>
        <v>281145.76049152121</v>
      </c>
      <c r="J193" s="6"/>
    </row>
    <row r="194" spans="1:10" x14ac:dyDescent="0.3">
      <c r="A194" s="25">
        <f t="shared" si="32"/>
        <v>125</v>
      </c>
      <c r="B194" s="26">
        <f t="shared" si="33"/>
        <v>48400</v>
      </c>
      <c r="C194" s="27">
        <f t="shared" si="34"/>
        <v>281145.76049152121</v>
      </c>
      <c r="D194" s="29">
        <f t="shared" si="30"/>
        <v>7011.0408167832429</v>
      </c>
      <c r="E194" s="71"/>
      <c r="F194" s="29">
        <f t="shared" si="27"/>
        <v>7011.0408167832429</v>
      </c>
      <c r="G194" s="27">
        <f t="shared" si="31"/>
        <v>3514.3220061440152</v>
      </c>
      <c r="H194" s="29">
        <f t="shared" si="28"/>
        <v>3496.7188106392277</v>
      </c>
      <c r="I194" s="29">
        <f t="shared" si="29"/>
        <v>277649.04168088199</v>
      </c>
      <c r="J194" s="6"/>
    </row>
    <row r="195" spans="1:10" x14ac:dyDescent="0.3">
      <c r="A195" s="25">
        <f t="shared" si="32"/>
        <v>126</v>
      </c>
      <c r="B195" s="26">
        <f t="shared" si="33"/>
        <v>48431</v>
      </c>
      <c r="C195" s="27">
        <f t="shared" si="34"/>
        <v>277649.04168088199</v>
      </c>
      <c r="D195" s="29">
        <f t="shared" si="30"/>
        <v>7011.0408167832429</v>
      </c>
      <c r="E195" s="71"/>
      <c r="F195" s="29">
        <f t="shared" si="27"/>
        <v>7011.0408167832429</v>
      </c>
      <c r="G195" s="27">
        <f t="shared" si="31"/>
        <v>3470.613021011025</v>
      </c>
      <c r="H195" s="29">
        <f t="shared" si="28"/>
        <v>3540.4277957722179</v>
      </c>
      <c r="I195" s="29">
        <f t="shared" si="29"/>
        <v>274108.61388510978</v>
      </c>
      <c r="J195" s="6"/>
    </row>
    <row r="196" spans="1:10" x14ac:dyDescent="0.3">
      <c r="A196" s="25">
        <f t="shared" si="32"/>
        <v>127</v>
      </c>
      <c r="B196" s="26">
        <f t="shared" si="33"/>
        <v>48462</v>
      </c>
      <c r="C196" s="27">
        <f t="shared" si="34"/>
        <v>274108.61388510978</v>
      </c>
      <c r="D196" s="29">
        <f t="shared" si="30"/>
        <v>7011.0408167832429</v>
      </c>
      <c r="E196" s="71"/>
      <c r="F196" s="29">
        <f t="shared" si="27"/>
        <v>7011.0408167832429</v>
      </c>
      <c r="G196" s="27">
        <f t="shared" si="31"/>
        <v>3426.3576735638726</v>
      </c>
      <c r="H196" s="29">
        <f t="shared" si="28"/>
        <v>3584.6831432193703</v>
      </c>
      <c r="I196" s="29">
        <f t="shared" si="29"/>
        <v>270523.93074189039</v>
      </c>
      <c r="J196" s="6"/>
    </row>
    <row r="197" spans="1:10" x14ac:dyDescent="0.3">
      <c r="A197" s="25">
        <f t="shared" si="32"/>
        <v>128</v>
      </c>
      <c r="B197" s="26">
        <f t="shared" si="33"/>
        <v>48492</v>
      </c>
      <c r="C197" s="27">
        <f t="shared" si="34"/>
        <v>270523.93074189039</v>
      </c>
      <c r="D197" s="29">
        <f t="shared" si="30"/>
        <v>7011.0408167832429</v>
      </c>
      <c r="E197" s="71"/>
      <c r="F197" s="29">
        <f t="shared" si="27"/>
        <v>7011.0408167832429</v>
      </c>
      <c r="G197" s="27">
        <f t="shared" si="31"/>
        <v>3381.54913427363</v>
      </c>
      <c r="H197" s="29">
        <f t="shared" si="28"/>
        <v>3629.4916825096129</v>
      </c>
      <c r="I197" s="29">
        <f t="shared" si="29"/>
        <v>266894.43905938079</v>
      </c>
      <c r="J197" s="6"/>
    </row>
    <row r="198" spans="1:10" x14ac:dyDescent="0.3">
      <c r="A198" s="25">
        <f t="shared" si="32"/>
        <v>129</v>
      </c>
      <c r="B198" s="26">
        <f t="shared" si="33"/>
        <v>48523</v>
      </c>
      <c r="C198" s="27">
        <f t="shared" si="34"/>
        <v>266894.43905938079</v>
      </c>
      <c r="D198" s="29">
        <f t="shared" si="30"/>
        <v>7011.0408167832429</v>
      </c>
      <c r="E198" s="71"/>
      <c r="F198" s="29">
        <f t="shared" si="27"/>
        <v>7011.0408167832429</v>
      </c>
      <c r="G198" s="27">
        <f t="shared" si="31"/>
        <v>3336.1804882422603</v>
      </c>
      <c r="H198" s="29">
        <f t="shared" si="28"/>
        <v>3674.8603285409827</v>
      </c>
      <c r="I198" s="29">
        <f t="shared" si="29"/>
        <v>263219.57873083983</v>
      </c>
      <c r="J198" s="6"/>
    </row>
    <row r="199" spans="1:10" x14ac:dyDescent="0.3">
      <c r="A199" s="25">
        <f t="shared" si="32"/>
        <v>130</v>
      </c>
      <c r="B199" s="26">
        <f t="shared" si="33"/>
        <v>48553</v>
      </c>
      <c r="C199" s="27">
        <f t="shared" si="34"/>
        <v>263219.57873083983</v>
      </c>
      <c r="D199" s="29">
        <f t="shared" si="30"/>
        <v>7011.0408167832429</v>
      </c>
      <c r="E199" s="71"/>
      <c r="F199" s="29">
        <f t="shared" si="27"/>
        <v>7011.0408167832429</v>
      </c>
      <c r="G199" s="27">
        <f t="shared" si="31"/>
        <v>3290.2447341354982</v>
      </c>
      <c r="H199" s="29">
        <f t="shared" si="28"/>
        <v>3720.7960826477447</v>
      </c>
      <c r="I199" s="29">
        <f t="shared" si="29"/>
        <v>259498.78264819208</v>
      </c>
      <c r="J199" s="6"/>
    </row>
    <row r="200" spans="1:10" x14ac:dyDescent="0.3">
      <c r="A200" s="25">
        <f t="shared" si="32"/>
        <v>131</v>
      </c>
      <c r="B200" s="26">
        <f t="shared" si="33"/>
        <v>48584</v>
      </c>
      <c r="C200" s="27">
        <f t="shared" si="34"/>
        <v>259498.78264819208</v>
      </c>
      <c r="D200" s="29">
        <f t="shared" si="30"/>
        <v>7011.0408167832429</v>
      </c>
      <c r="E200" s="71"/>
      <c r="F200" s="29">
        <f t="shared" si="27"/>
        <v>7011.0408167832429</v>
      </c>
      <c r="G200" s="27">
        <f t="shared" si="31"/>
        <v>3243.7347831024013</v>
      </c>
      <c r="H200" s="29">
        <f t="shared" si="28"/>
        <v>3767.3060336808417</v>
      </c>
      <c r="I200" s="29">
        <f t="shared" si="29"/>
        <v>255731.47661451122</v>
      </c>
      <c r="J200" s="6"/>
    </row>
    <row r="201" spans="1:10" x14ac:dyDescent="0.3">
      <c r="A201" s="25">
        <f t="shared" si="32"/>
        <v>132</v>
      </c>
      <c r="B201" s="26">
        <f t="shared" si="33"/>
        <v>48615</v>
      </c>
      <c r="C201" s="27">
        <f t="shared" si="34"/>
        <v>255731.47661451122</v>
      </c>
      <c r="D201" s="29">
        <f t="shared" si="30"/>
        <v>7011.0408167832429</v>
      </c>
      <c r="E201" s="71"/>
      <c r="F201" s="29">
        <f t="shared" si="27"/>
        <v>7011.0408167832429</v>
      </c>
      <c r="G201" s="27">
        <f t="shared" si="31"/>
        <v>3196.6434576813904</v>
      </c>
      <c r="H201" s="29">
        <f t="shared" si="28"/>
        <v>3814.3973591018525</v>
      </c>
      <c r="I201" s="29">
        <f t="shared" si="29"/>
        <v>251917.07925540936</v>
      </c>
      <c r="J201" s="6"/>
    </row>
    <row r="202" spans="1:10" x14ac:dyDescent="0.3">
      <c r="A202" s="25">
        <f t="shared" si="32"/>
        <v>133</v>
      </c>
      <c r="B202" s="26">
        <f t="shared" si="33"/>
        <v>48643</v>
      </c>
      <c r="C202" s="27">
        <f t="shared" si="34"/>
        <v>251917.07925540936</v>
      </c>
      <c r="D202" s="29">
        <f t="shared" si="30"/>
        <v>7011.0408167832429</v>
      </c>
      <c r="E202" s="71"/>
      <c r="F202" s="29">
        <f t="shared" si="27"/>
        <v>7011.0408167832429</v>
      </c>
      <c r="G202" s="27">
        <f t="shared" si="31"/>
        <v>3148.9634906926171</v>
      </c>
      <c r="H202" s="29">
        <f t="shared" si="28"/>
        <v>3862.0773260906258</v>
      </c>
      <c r="I202" s="29">
        <f t="shared" si="29"/>
        <v>248055.00192931874</v>
      </c>
      <c r="J202" s="6"/>
    </row>
    <row r="203" spans="1:10" x14ac:dyDescent="0.3">
      <c r="A203" s="25">
        <f t="shared" si="32"/>
        <v>134</v>
      </c>
      <c r="B203" s="26">
        <f t="shared" si="33"/>
        <v>48674</v>
      </c>
      <c r="C203" s="27">
        <f t="shared" si="34"/>
        <v>248055.00192931874</v>
      </c>
      <c r="D203" s="29">
        <f t="shared" si="30"/>
        <v>7011.0408167832429</v>
      </c>
      <c r="E203" s="71"/>
      <c r="F203" s="29">
        <f t="shared" si="27"/>
        <v>7011.0408167832429</v>
      </c>
      <c r="G203" s="27">
        <f t="shared" si="31"/>
        <v>3100.6875241164844</v>
      </c>
      <c r="H203" s="29">
        <f t="shared" si="28"/>
        <v>3910.3532926667585</v>
      </c>
      <c r="I203" s="29">
        <f t="shared" si="29"/>
        <v>244144.64863665198</v>
      </c>
      <c r="J203" s="6"/>
    </row>
    <row r="204" spans="1:10" x14ac:dyDescent="0.3">
      <c r="A204" s="25">
        <f t="shared" si="32"/>
        <v>135</v>
      </c>
      <c r="B204" s="26">
        <f t="shared" si="33"/>
        <v>48704</v>
      </c>
      <c r="C204" s="27">
        <f t="shared" si="34"/>
        <v>244144.64863665198</v>
      </c>
      <c r="D204" s="29">
        <f t="shared" si="30"/>
        <v>7011.0408167832429</v>
      </c>
      <c r="E204" s="71"/>
      <c r="F204" s="29">
        <f t="shared" si="27"/>
        <v>7011.0408167832429</v>
      </c>
      <c r="G204" s="27">
        <f t="shared" si="31"/>
        <v>3051.8081079581498</v>
      </c>
      <c r="H204" s="29">
        <f t="shared" si="28"/>
        <v>3959.2327088250931</v>
      </c>
      <c r="I204" s="29">
        <f t="shared" si="29"/>
        <v>240185.41592782689</v>
      </c>
      <c r="J204" s="6"/>
    </row>
    <row r="205" spans="1:10" x14ac:dyDescent="0.3">
      <c r="A205" s="25">
        <f t="shared" si="32"/>
        <v>136</v>
      </c>
      <c r="B205" s="26">
        <f t="shared" si="33"/>
        <v>48735</v>
      </c>
      <c r="C205" s="27">
        <f t="shared" si="34"/>
        <v>240185.41592782689</v>
      </c>
      <c r="D205" s="29">
        <f t="shared" si="30"/>
        <v>7011.0408167832429</v>
      </c>
      <c r="E205" s="71"/>
      <c r="F205" s="29">
        <f t="shared" si="27"/>
        <v>7011.0408167832429</v>
      </c>
      <c r="G205" s="27">
        <f t="shared" si="31"/>
        <v>3002.3176990978363</v>
      </c>
      <c r="H205" s="29">
        <f t="shared" si="28"/>
        <v>4008.7231176854066</v>
      </c>
      <c r="I205" s="29">
        <f t="shared" si="29"/>
        <v>236176.69281014148</v>
      </c>
      <c r="J205" s="6"/>
    </row>
    <row r="206" spans="1:10" x14ac:dyDescent="0.3">
      <c r="A206" s="25">
        <f t="shared" si="32"/>
        <v>137</v>
      </c>
      <c r="B206" s="26">
        <f t="shared" si="33"/>
        <v>48765</v>
      </c>
      <c r="C206" s="27">
        <f t="shared" si="34"/>
        <v>236176.69281014148</v>
      </c>
      <c r="D206" s="29">
        <f t="shared" si="30"/>
        <v>7011.0408167832429</v>
      </c>
      <c r="E206" s="71"/>
      <c r="F206" s="29">
        <f t="shared" si="27"/>
        <v>7011.0408167832429</v>
      </c>
      <c r="G206" s="27">
        <f t="shared" si="31"/>
        <v>2952.2086601267688</v>
      </c>
      <c r="H206" s="29">
        <f t="shared" si="28"/>
        <v>4058.8321566564741</v>
      </c>
      <c r="I206" s="29">
        <f t="shared" si="29"/>
        <v>232117.860653485</v>
      </c>
      <c r="J206" s="6"/>
    </row>
    <row r="207" spans="1:10" x14ac:dyDescent="0.3">
      <c r="A207" s="25">
        <f t="shared" si="32"/>
        <v>138</v>
      </c>
      <c r="B207" s="26">
        <f t="shared" si="33"/>
        <v>48796</v>
      </c>
      <c r="C207" s="27">
        <f t="shared" si="34"/>
        <v>232117.860653485</v>
      </c>
      <c r="D207" s="29">
        <f t="shared" si="30"/>
        <v>7011.0408167832429</v>
      </c>
      <c r="E207" s="71"/>
      <c r="F207" s="29">
        <f t="shared" si="27"/>
        <v>7011.0408167832429</v>
      </c>
      <c r="G207" s="27">
        <f t="shared" si="31"/>
        <v>2901.4732581685626</v>
      </c>
      <c r="H207" s="29">
        <f t="shared" si="28"/>
        <v>4109.5675586146808</v>
      </c>
      <c r="I207" s="29">
        <f t="shared" si="29"/>
        <v>228008.29309487031</v>
      </c>
      <c r="J207" s="6"/>
    </row>
    <row r="208" spans="1:10" x14ac:dyDescent="0.3">
      <c r="A208" s="25">
        <f t="shared" si="32"/>
        <v>139</v>
      </c>
      <c r="B208" s="26">
        <f t="shared" si="33"/>
        <v>48827</v>
      </c>
      <c r="C208" s="27">
        <f t="shared" si="34"/>
        <v>228008.29309487031</v>
      </c>
      <c r="D208" s="29">
        <f t="shared" si="30"/>
        <v>7011.0408167832429</v>
      </c>
      <c r="E208" s="71"/>
      <c r="F208" s="29">
        <f t="shared" si="27"/>
        <v>7011.0408167832429</v>
      </c>
      <c r="G208" s="27">
        <f t="shared" si="31"/>
        <v>2850.1036636858789</v>
      </c>
      <c r="H208" s="29">
        <f t="shared" si="28"/>
        <v>4160.937153097364</v>
      </c>
      <c r="I208" s="29">
        <f t="shared" si="29"/>
        <v>223847.35594177296</v>
      </c>
      <c r="J208" s="6"/>
    </row>
    <row r="209" spans="1:18" x14ac:dyDescent="0.3">
      <c r="A209" s="25">
        <f t="shared" si="32"/>
        <v>140</v>
      </c>
      <c r="B209" s="26">
        <f t="shared" si="33"/>
        <v>48857</v>
      </c>
      <c r="C209" s="27">
        <f t="shared" si="34"/>
        <v>223847.35594177296</v>
      </c>
      <c r="D209" s="29">
        <f t="shared" si="30"/>
        <v>7011.0408167832429</v>
      </c>
      <c r="E209" s="71"/>
      <c r="F209" s="29">
        <f t="shared" si="27"/>
        <v>7011.0408167832429</v>
      </c>
      <c r="G209" s="27">
        <f t="shared" si="31"/>
        <v>2798.0919492721623</v>
      </c>
      <c r="H209" s="29">
        <f t="shared" si="28"/>
        <v>4212.9488675110806</v>
      </c>
      <c r="I209" s="29">
        <f t="shared" si="29"/>
        <v>219634.40707426186</v>
      </c>
      <c r="J209" s="6"/>
    </row>
    <row r="210" spans="1:18" x14ac:dyDescent="0.3">
      <c r="A210" s="25">
        <f t="shared" si="32"/>
        <v>141</v>
      </c>
      <c r="B210" s="26">
        <f t="shared" si="33"/>
        <v>48888</v>
      </c>
      <c r="C210" s="27">
        <f t="shared" si="34"/>
        <v>219634.40707426186</v>
      </c>
      <c r="D210" s="29">
        <f t="shared" si="30"/>
        <v>7011.0408167832429</v>
      </c>
      <c r="E210" s="71"/>
      <c r="F210" s="29">
        <f t="shared" si="27"/>
        <v>7011.0408167832429</v>
      </c>
      <c r="G210" s="27">
        <f t="shared" si="31"/>
        <v>2745.4300884282734</v>
      </c>
      <c r="H210" s="29">
        <f t="shared" si="28"/>
        <v>4265.61072835497</v>
      </c>
      <c r="I210" s="29">
        <f t="shared" si="29"/>
        <v>215368.79634590689</v>
      </c>
      <c r="J210" s="6"/>
    </row>
    <row r="211" spans="1:18" x14ac:dyDescent="0.3">
      <c r="A211" s="25">
        <f t="shared" si="32"/>
        <v>142</v>
      </c>
      <c r="B211" s="26">
        <f t="shared" si="33"/>
        <v>48918</v>
      </c>
      <c r="C211" s="27">
        <f t="shared" si="34"/>
        <v>215368.79634590689</v>
      </c>
      <c r="D211" s="29">
        <f t="shared" si="30"/>
        <v>7011.0408167832429</v>
      </c>
      <c r="E211" s="71"/>
      <c r="F211" s="29">
        <f t="shared" si="27"/>
        <v>7011.0408167832429</v>
      </c>
      <c r="G211" s="27">
        <f t="shared" si="31"/>
        <v>2692.1099543238361</v>
      </c>
      <c r="H211" s="29">
        <f t="shared" si="28"/>
        <v>4318.9308624594069</v>
      </c>
      <c r="I211" s="29">
        <f t="shared" si="29"/>
        <v>211049.86548344747</v>
      </c>
      <c r="J211" s="6"/>
    </row>
    <row r="212" spans="1:18" x14ac:dyDescent="0.3">
      <c r="A212" s="25">
        <f t="shared" si="32"/>
        <v>143</v>
      </c>
      <c r="B212" s="26">
        <f t="shared" si="33"/>
        <v>48949</v>
      </c>
      <c r="C212" s="27">
        <f t="shared" si="34"/>
        <v>211049.86548344747</v>
      </c>
      <c r="D212" s="29">
        <f t="shared" si="30"/>
        <v>7011.0408167832429</v>
      </c>
      <c r="E212" s="71"/>
      <c r="F212" s="29">
        <f>SUM(D212:E212)</f>
        <v>7011.0408167832429</v>
      </c>
      <c r="G212" s="27">
        <f t="shared" si="31"/>
        <v>2638.1233185430938</v>
      </c>
      <c r="H212" s="29">
        <f t="shared" si="28"/>
        <v>4372.9174982401491</v>
      </c>
      <c r="I212" s="29">
        <f t="shared" si="29"/>
        <v>206676.94798520731</v>
      </c>
      <c r="J212" s="6"/>
    </row>
    <row r="213" spans="1:18" x14ac:dyDescent="0.3">
      <c r="A213" s="25">
        <f t="shared" si="32"/>
        <v>144</v>
      </c>
      <c r="B213" s="26">
        <f t="shared" si="33"/>
        <v>48980</v>
      </c>
      <c r="C213" s="27">
        <f t="shared" si="34"/>
        <v>206676.94798520731</v>
      </c>
      <c r="D213" s="29">
        <f t="shared" si="30"/>
        <v>7011.0408167832429</v>
      </c>
      <c r="E213" s="71"/>
      <c r="F213" s="29">
        <f t="shared" si="27"/>
        <v>7011.0408167832429</v>
      </c>
      <c r="G213" s="27">
        <f t="shared" si="31"/>
        <v>2583.4618498150917</v>
      </c>
      <c r="H213" s="29">
        <f t="shared" si="28"/>
        <v>4427.5789669681508</v>
      </c>
      <c r="I213" s="29">
        <f t="shared" si="29"/>
        <v>202249.36901823917</v>
      </c>
      <c r="J213" s="6"/>
    </row>
    <row r="214" spans="1:18" x14ac:dyDescent="0.3">
      <c r="A214" s="25">
        <f t="shared" si="32"/>
        <v>145</v>
      </c>
      <c r="B214" s="26">
        <f t="shared" si="33"/>
        <v>49008</v>
      </c>
      <c r="C214" s="27">
        <f t="shared" si="34"/>
        <v>202249.36901823917</v>
      </c>
      <c r="D214" s="29">
        <f t="shared" si="30"/>
        <v>7011.0408167832429</v>
      </c>
      <c r="E214" s="71"/>
      <c r="F214" s="29">
        <f t="shared" si="27"/>
        <v>7011.0408167832429</v>
      </c>
      <c r="G214" s="27">
        <f t="shared" si="31"/>
        <v>2528.1171127279899</v>
      </c>
      <c r="H214" s="29">
        <f t="shared" si="28"/>
        <v>4482.9237040552525</v>
      </c>
      <c r="I214" s="29">
        <f t="shared" si="29"/>
        <v>197766.44531418392</v>
      </c>
      <c r="J214" s="6"/>
    </row>
    <row r="215" spans="1:18" x14ac:dyDescent="0.3">
      <c r="A215" s="25">
        <f t="shared" si="32"/>
        <v>146</v>
      </c>
      <c r="B215" s="26">
        <f t="shared" si="33"/>
        <v>49039</v>
      </c>
      <c r="C215" s="27">
        <f t="shared" si="34"/>
        <v>197766.44531418392</v>
      </c>
      <c r="D215" s="29">
        <f t="shared" si="30"/>
        <v>7011.0408167832429</v>
      </c>
      <c r="E215" s="71"/>
      <c r="F215" s="29">
        <f t="shared" si="27"/>
        <v>7011.0408167832429</v>
      </c>
      <c r="G215" s="27">
        <f t="shared" si="31"/>
        <v>2472.0805664272993</v>
      </c>
      <c r="H215" s="29">
        <f t="shared" si="28"/>
        <v>4538.9602503559436</v>
      </c>
      <c r="I215" s="29">
        <f t="shared" si="29"/>
        <v>193227.48506382797</v>
      </c>
      <c r="J215" s="6"/>
    </row>
    <row r="216" spans="1:18" x14ac:dyDescent="0.3">
      <c r="A216" s="25">
        <f t="shared" si="32"/>
        <v>147</v>
      </c>
      <c r="B216" s="26">
        <f t="shared" si="33"/>
        <v>49069</v>
      </c>
      <c r="C216" s="27">
        <f t="shared" si="34"/>
        <v>193227.48506382797</v>
      </c>
      <c r="D216" s="29">
        <f t="shared" si="30"/>
        <v>7011.0408167832429</v>
      </c>
      <c r="E216" s="71"/>
      <c r="F216" s="29">
        <f t="shared" si="27"/>
        <v>7011.0408167832429</v>
      </c>
      <c r="G216" s="27">
        <f t="shared" si="31"/>
        <v>2415.3435632978499</v>
      </c>
      <c r="H216" s="29">
        <f t="shared" si="28"/>
        <v>4595.697253485393</v>
      </c>
      <c r="I216" s="29">
        <f t="shared" si="29"/>
        <v>188631.78781034259</v>
      </c>
      <c r="J216" s="6"/>
    </row>
    <row r="217" spans="1:18" x14ac:dyDescent="0.3">
      <c r="A217" s="25">
        <f t="shared" si="32"/>
        <v>148</v>
      </c>
      <c r="B217" s="26">
        <f t="shared" si="33"/>
        <v>49100</v>
      </c>
      <c r="C217" s="27">
        <f t="shared" si="34"/>
        <v>188631.78781034259</v>
      </c>
      <c r="D217" s="29">
        <f t="shared" si="30"/>
        <v>7011.0408167832429</v>
      </c>
      <c r="E217" s="71"/>
      <c r="F217" s="29">
        <f t="shared" si="27"/>
        <v>7011.0408167832429</v>
      </c>
      <c r="G217" s="27">
        <f t="shared" si="31"/>
        <v>2357.8973476292826</v>
      </c>
      <c r="H217" s="29">
        <f t="shared" si="28"/>
        <v>4653.1434691539598</v>
      </c>
      <c r="I217" s="29">
        <f t="shared" si="29"/>
        <v>183978.64434118863</v>
      </c>
      <c r="J217" s="6"/>
    </row>
    <row r="218" spans="1:18" x14ac:dyDescent="0.3">
      <c r="A218" s="25">
        <f t="shared" si="32"/>
        <v>149</v>
      </c>
      <c r="B218" s="26">
        <f t="shared" si="33"/>
        <v>49130</v>
      </c>
      <c r="C218" s="27">
        <f t="shared" si="34"/>
        <v>183978.64434118863</v>
      </c>
      <c r="D218" s="29">
        <f t="shared" si="30"/>
        <v>7011.0408167832429</v>
      </c>
      <c r="E218" s="71"/>
      <c r="F218" s="29">
        <f t="shared" si="27"/>
        <v>7011.0408167832429</v>
      </c>
      <c r="G218" s="27">
        <f t="shared" si="31"/>
        <v>2299.7330542648579</v>
      </c>
      <c r="H218" s="29">
        <f t="shared" si="28"/>
        <v>4711.3077625183851</v>
      </c>
      <c r="I218" s="29">
        <f t="shared" si="29"/>
        <v>179267.33657867025</v>
      </c>
      <c r="J218" s="6"/>
    </row>
    <row r="219" spans="1:18" x14ac:dyDescent="0.3">
      <c r="A219" s="25">
        <f t="shared" si="32"/>
        <v>150</v>
      </c>
      <c r="B219" s="26">
        <f t="shared" si="33"/>
        <v>49161</v>
      </c>
      <c r="C219" s="27">
        <f t="shared" si="34"/>
        <v>179267.33657867025</v>
      </c>
      <c r="D219" s="29">
        <f t="shared" si="30"/>
        <v>7011.0408167832429</v>
      </c>
      <c r="E219" s="71"/>
      <c r="F219" s="29">
        <f t="shared" si="27"/>
        <v>7011.0408167832429</v>
      </c>
      <c r="G219" s="27">
        <f t="shared" si="31"/>
        <v>2240.8417072333782</v>
      </c>
      <c r="H219" s="29">
        <f t="shared" si="28"/>
        <v>4770.1991095498652</v>
      </c>
      <c r="I219" s="29">
        <f t="shared" si="29"/>
        <v>174497.13746912038</v>
      </c>
      <c r="J219" s="6"/>
    </row>
    <row r="220" spans="1:18" x14ac:dyDescent="0.3">
      <c r="A220" s="25">
        <f t="shared" si="32"/>
        <v>151</v>
      </c>
      <c r="B220" s="26">
        <f t="shared" si="33"/>
        <v>49192</v>
      </c>
      <c r="C220" s="27">
        <f t="shared" si="34"/>
        <v>174497.13746912038</v>
      </c>
      <c r="D220" s="29">
        <f t="shared" si="30"/>
        <v>7011.0408167832429</v>
      </c>
      <c r="E220" s="71"/>
      <c r="F220" s="29">
        <f t="shared" si="27"/>
        <v>7011.0408167832429</v>
      </c>
      <c r="G220" s="27">
        <f t="shared" si="31"/>
        <v>2181.2142183640049</v>
      </c>
      <c r="H220" s="29">
        <f t="shared" si="28"/>
        <v>4829.8265984192385</v>
      </c>
      <c r="I220" s="29">
        <f t="shared" si="29"/>
        <v>169667.31087070116</v>
      </c>
      <c r="J220" s="6"/>
    </row>
    <row r="221" spans="1:18" x14ac:dyDescent="0.3">
      <c r="A221" s="25">
        <f t="shared" si="32"/>
        <v>152</v>
      </c>
      <c r="B221" s="26">
        <f t="shared" si="33"/>
        <v>49222</v>
      </c>
      <c r="C221" s="27">
        <f t="shared" si="34"/>
        <v>169667.31087070116</v>
      </c>
      <c r="D221" s="29">
        <f t="shared" ref="D221:D249" si="35">IF(C221&gt;0,(-PMT($D$185,$D$182,$D$181)))</f>
        <v>7011.0408167832429</v>
      </c>
      <c r="E221" s="71"/>
      <c r="F221" s="29">
        <f t="shared" si="27"/>
        <v>7011.0408167832429</v>
      </c>
      <c r="G221" s="27">
        <f t="shared" si="31"/>
        <v>2120.8413858837644</v>
      </c>
      <c r="H221" s="29">
        <f t="shared" si="28"/>
        <v>4890.1994308994781</v>
      </c>
      <c r="I221" s="29">
        <f t="shared" si="29"/>
        <v>164777.11143980167</v>
      </c>
      <c r="J221" s="6"/>
    </row>
    <row r="222" spans="1:18" x14ac:dyDescent="0.3">
      <c r="A222" s="25">
        <f t="shared" si="32"/>
        <v>153</v>
      </c>
      <c r="B222" s="26">
        <f t="shared" si="33"/>
        <v>49253</v>
      </c>
      <c r="C222" s="27">
        <f t="shared" si="34"/>
        <v>164777.11143980167</v>
      </c>
      <c r="D222" s="29">
        <f t="shared" si="35"/>
        <v>7011.0408167832429</v>
      </c>
      <c r="E222" s="71"/>
      <c r="F222" s="29">
        <f t="shared" si="27"/>
        <v>7011.0408167832429</v>
      </c>
      <c r="G222" s="27">
        <f t="shared" si="31"/>
        <v>2059.7138929975208</v>
      </c>
      <c r="H222" s="29">
        <f t="shared" si="28"/>
        <v>4951.3269237857221</v>
      </c>
      <c r="I222" s="29">
        <f t="shared" si="29"/>
        <v>159825.78451601593</v>
      </c>
      <c r="J222" s="6"/>
    </row>
    <row r="223" spans="1:18" x14ac:dyDescent="0.3">
      <c r="A223" s="25">
        <f t="shared" si="32"/>
        <v>154</v>
      </c>
      <c r="B223" s="26">
        <f t="shared" si="33"/>
        <v>49283</v>
      </c>
      <c r="C223" s="27">
        <f t="shared" si="34"/>
        <v>159825.78451601593</v>
      </c>
      <c r="D223" s="29">
        <f t="shared" si="35"/>
        <v>7011.0408167832429</v>
      </c>
      <c r="E223" s="71"/>
      <c r="F223" s="29">
        <f t="shared" si="27"/>
        <v>7011.0408167832429</v>
      </c>
      <c r="G223" s="27">
        <f t="shared" si="31"/>
        <v>1997.8223064501992</v>
      </c>
      <c r="H223" s="29">
        <f t="shared" si="28"/>
        <v>5013.2185103330439</v>
      </c>
      <c r="I223" s="29">
        <f t="shared" si="29"/>
        <v>154812.56600568289</v>
      </c>
      <c r="J223" s="6"/>
    </row>
    <row r="224" spans="1:18" x14ac:dyDescent="0.3">
      <c r="A224" s="25">
        <f t="shared" si="32"/>
        <v>155</v>
      </c>
      <c r="B224" s="26">
        <f t="shared" si="33"/>
        <v>49314</v>
      </c>
      <c r="C224" s="27">
        <f t="shared" si="34"/>
        <v>154812.56600568289</v>
      </c>
      <c r="D224" s="29">
        <f t="shared" si="35"/>
        <v>7011.0408167832429</v>
      </c>
      <c r="E224" s="71"/>
      <c r="F224" s="29">
        <f t="shared" si="27"/>
        <v>7011.0408167832429</v>
      </c>
      <c r="G224" s="27">
        <f t="shared" si="31"/>
        <v>1935.1570750710362</v>
      </c>
      <c r="H224" s="29">
        <f t="shared" si="28"/>
        <v>5075.8837417122068</v>
      </c>
      <c r="I224" s="29">
        <f t="shared" si="29"/>
        <v>149736.6822639707</v>
      </c>
      <c r="J224" s="6"/>
      <c r="R224" s="5"/>
    </row>
    <row r="225" spans="1:18" x14ac:dyDescent="0.3">
      <c r="A225" s="25">
        <f t="shared" si="32"/>
        <v>156</v>
      </c>
      <c r="B225" s="26">
        <f t="shared" si="33"/>
        <v>49345</v>
      </c>
      <c r="C225" s="27">
        <f t="shared" si="34"/>
        <v>149736.6822639707</v>
      </c>
      <c r="D225" s="29">
        <f t="shared" si="35"/>
        <v>7011.0408167832429</v>
      </c>
      <c r="E225" s="71"/>
      <c r="F225" s="29">
        <f t="shared" si="27"/>
        <v>7011.0408167832429</v>
      </c>
      <c r="G225" s="27">
        <f t="shared" si="31"/>
        <v>1871.7085282996338</v>
      </c>
      <c r="H225" s="29">
        <f t="shared" si="28"/>
        <v>5139.3322884836089</v>
      </c>
      <c r="I225" s="29">
        <f t="shared" si="29"/>
        <v>144597.3499754871</v>
      </c>
      <c r="J225" s="6"/>
      <c r="R225" s="5"/>
    </row>
    <row r="226" spans="1:18" x14ac:dyDescent="0.3">
      <c r="A226" s="25">
        <f t="shared" si="32"/>
        <v>157</v>
      </c>
      <c r="B226" s="26">
        <f t="shared" si="33"/>
        <v>49373</v>
      </c>
      <c r="C226" s="27">
        <f t="shared" si="34"/>
        <v>144597.3499754871</v>
      </c>
      <c r="D226" s="29">
        <f t="shared" si="35"/>
        <v>7011.0408167832429</v>
      </c>
      <c r="E226" s="71"/>
      <c r="F226" s="29">
        <f t="shared" si="27"/>
        <v>7011.0408167832429</v>
      </c>
      <c r="G226" s="27">
        <f t="shared" si="31"/>
        <v>1807.4668746935888</v>
      </c>
      <c r="H226" s="29">
        <f t="shared" si="28"/>
        <v>5203.5739420896543</v>
      </c>
      <c r="I226" s="29">
        <f t="shared" si="29"/>
        <v>139393.77603339744</v>
      </c>
      <c r="J226" s="6"/>
      <c r="R226" s="5"/>
    </row>
    <row r="227" spans="1:18" x14ac:dyDescent="0.3">
      <c r="A227" s="25">
        <f t="shared" si="32"/>
        <v>158</v>
      </c>
      <c r="B227" s="26">
        <f t="shared" si="33"/>
        <v>49404</v>
      </c>
      <c r="C227" s="27">
        <f t="shared" si="34"/>
        <v>139393.77603339744</v>
      </c>
      <c r="D227" s="29">
        <f t="shared" si="35"/>
        <v>7011.0408167832429</v>
      </c>
      <c r="E227" s="71"/>
      <c r="F227" s="29">
        <f t="shared" si="27"/>
        <v>7011.0408167832429</v>
      </c>
      <c r="G227" s="27">
        <f t="shared" si="31"/>
        <v>1742.422200417468</v>
      </c>
      <c r="H227" s="29">
        <f t="shared" si="28"/>
        <v>5268.6186163657749</v>
      </c>
      <c r="I227" s="29">
        <f t="shared" si="29"/>
        <v>134125.15741703167</v>
      </c>
      <c r="J227" s="6"/>
      <c r="R227" s="5"/>
    </row>
    <row r="228" spans="1:18" x14ac:dyDescent="0.3">
      <c r="A228" s="25">
        <f t="shared" si="32"/>
        <v>159</v>
      </c>
      <c r="B228" s="26">
        <f t="shared" si="33"/>
        <v>49434</v>
      </c>
      <c r="C228" s="27">
        <f t="shared" si="34"/>
        <v>134125.15741703167</v>
      </c>
      <c r="D228" s="29">
        <f t="shared" si="35"/>
        <v>7011.0408167832429</v>
      </c>
      <c r="E228" s="71"/>
      <c r="F228" s="29">
        <f t="shared" si="27"/>
        <v>7011.0408167832429</v>
      </c>
      <c r="G228" s="27">
        <f t="shared" si="31"/>
        <v>1676.564467712896</v>
      </c>
      <c r="H228" s="29">
        <f t="shared" si="28"/>
        <v>5334.4763490703472</v>
      </c>
      <c r="I228" s="29">
        <f t="shared" si="29"/>
        <v>128790.68106796133</v>
      </c>
      <c r="J228" s="6"/>
      <c r="R228" s="5"/>
    </row>
    <row r="229" spans="1:18" x14ac:dyDescent="0.3">
      <c r="A229" s="25">
        <f t="shared" si="32"/>
        <v>160</v>
      </c>
      <c r="B229" s="26">
        <f t="shared" si="33"/>
        <v>49465</v>
      </c>
      <c r="C229" s="27">
        <f t="shared" si="34"/>
        <v>128790.68106796133</v>
      </c>
      <c r="D229" s="29">
        <f t="shared" si="35"/>
        <v>7011.0408167832429</v>
      </c>
      <c r="E229" s="71"/>
      <c r="F229" s="29">
        <f t="shared" si="27"/>
        <v>7011.0408167832429</v>
      </c>
      <c r="G229" s="27">
        <f t="shared" si="31"/>
        <v>1609.8835133495168</v>
      </c>
      <c r="H229" s="29">
        <f t="shared" si="28"/>
        <v>5401.1573034337262</v>
      </c>
      <c r="I229" s="29">
        <f t="shared" si="29"/>
        <v>123389.52376452761</v>
      </c>
      <c r="J229" s="6"/>
      <c r="R229" s="5"/>
    </row>
    <row r="230" spans="1:18" x14ac:dyDescent="0.3">
      <c r="A230" s="25">
        <f t="shared" si="32"/>
        <v>161</v>
      </c>
      <c r="B230" s="26">
        <f t="shared" si="33"/>
        <v>49495</v>
      </c>
      <c r="C230" s="27">
        <f t="shared" si="34"/>
        <v>123389.52376452761</v>
      </c>
      <c r="D230" s="29">
        <f t="shared" si="35"/>
        <v>7011.0408167832429</v>
      </c>
      <c r="E230" s="71"/>
      <c r="F230" s="29">
        <f t="shared" si="27"/>
        <v>7011.0408167832429</v>
      </c>
      <c r="G230" s="27">
        <f t="shared" si="31"/>
        <v>1542.3690470565953</v>
      </c>
      <c r="H230" s="29">
        <f t="shared" si="28"/>
        <v>5468.6717697266477</v>
      </c>
      <c r="I230" s="29">
        <f t="shared" si="29"/>
        <v>117920.85199480096</v>
      </c>
      <c r="J230" s="6"/>
      <c r="R230" s="5"/>
    </row>
    <row r="231" spans="1:18" x14ac:dyDescent="0.3">
      <c r="A231" s="25">
        <f t="shared" si="32"/>
        <v>162</v>
      </c>
      <c r="B231" s="26">
        <f t="shared" si="33"/>
        <v>49526</v>
      </c>
      <c r="C231" s="27">
        <f t="shared" si="34"/>
        <v>117920.85199480096</v>
      </c>
      <c r="D231" s="29">
        <f t="shared" si="35"/>
        <v>7011.0408167832429</v>
      </c>
      <c r="E231" s="71"/>
      <c r="F231" s="29">
        <f t="shared" si="27"/>
        <v>7011.0408167832429</v>
      </c>
      <c r="G231" s="27">
        <f t="shared" si="31"/>
        <v>1474.0106499350122</v>
      </c>
      <c r="H231" s="29">
        <f t="shared" si="28"/>
        <v>5537.0301668482307</v>
      </c>
      <c r="I231" s="29">
        <f t="shared" si="29"/>
        <v>112383.82182795274</v>
      </c>
      <c r="J231" s="6"/>
      <c r="R231" s="5"/>
    </row>
    <row r="232" spans="1:18" x14ac:dyDescent="0.3">
      <c r="A232" s="25">
        <f t="shared" si="32"/>
        <v>163</v>
      </c>
      <c r="B232" s="26">
        <f t="shared" si="33"/>
        <v>49557</v>
      </c>
      <c r="C232" s="27">
        <f t="shared" si="34"/>
        <v>112383.82182795274</v>
      </c>
      <c r="D232" s="29">
        <f t="shared" si="35"/>
        <v>7011.0408167832429</v>
      </c>
      <c r="E232" s="71"/>
      <c r="F232" s="29">
        <f t="shared" si="27"/>
        <v>7011.0408167832429</v>
      </c>
      <c r="G232" s="27">
        <f t="shared" si="31"/>
        <v>1404.7977728494093</v>
      </c>
      <c r="H232" s="29">
        <f t="shared" si="28"/>
        <v>5606.2430439338332</v>
      </c>
      <c r="I232" s="29">
        <f t="shared" si="29"/>
        <v>106777.5787840189</v>
      </c>
      <c r="J232" s="6"/>
      <c r="R232" s="5"/>
    </row>
    <row r="233" spans="1:18" x14ac:dyDescent="0.3">
      <c r="A233" s="25">
        <f t="shared" si="32"/>
        <v>164</v>
      </c>
      <c r="B233" s="26">
        <f t="shared" si="33"/>
        <v>49587</v>
      </c>
      <c r="C233" s="27">
        <f t="shared" si="34"/>
        <v>106777.5787840189</v>
      </c>
      <c r="D233" s="29">
        <f t="shared" si="35"/>
        <v>7011.0408167832429</v>
      </c>
      <c r="E233" s="71"/>
      <c r="F233" s="29">
        <f t="shared" si="27"/>
        <v>7011.0408167832429</v>
      </c>
      <c r="G233" s="27">
        <f t="shared" si="31"/>
        <v>1334.7197348002364</v>
      </c>
      <c r="H233" s="29">
        <f t="shared" si="28"/>
        <v>5676.3210819830065</v>
      </c>
      <c r="I233" s="29">
        <f t="shared" si="29"/>
        <v>101101.25770203589</v>
      </c>
      <c r="J233" s="6"/>
      <c r="R233" s="5"/>
    </row>
    <row r="234" spans="1:18" x14ac:dyDescent="0.3">
      <c r="A234" s="25">
        <f t="shared" si="32"/>
        <v>165</v>
      </c>
      <c r="B234" s="26">
        <f t="shared" si="33"/>
        <v>49618</v>
      </c>
      <c r="C234" s="27">
        <f t="shared" si="34"/>
        <v>101101.25770203589</v>
      </c>
      <c r="D234" s="29">
        <f t="shared" si="35"/>
        <v>7011.0408167832429</v>
      </c>
      <c r="E234" s="71"/>
      <c r="F234" s="29">
        <f t="shared" si="27"/>
        <v>7011.0408167832429</v>
      </c>
      <c r="G234" s="27">
        <f t="shared" si="31"/>
        <v>1263.7657212754486</v>
      </c>
      <c r="H234" s="29">
        <f t="shared" si="28"/>
        <v>5747.2750955077945</v>
      </c>
      <c r="I234" s="29">
        <f t="shared" si="29"/>
        <v>95353.982606528094</v>
      </c>
      <c r="J234" s="6"/>
      <c r="R234" s="5"/>
    </row>
    <row r="235" spans="1:18" x14ac:dyDescent="0.3">
      <c r="A235" s="25">
        <f t="shared" si="32"/>
        <v>166</v>
      </c>
      <c r="B235" s="26">
        <f t="shared" si="33"/>
        <v>49648</v>
      </c>
      <c r="C235" s="27">
        <f t="shared" si="34"/>
        <v>95353.982606528094</v>
      </c>
      <c r="D235" s="29">
        <f t="shared" si="35"/>
        <v>7011.0408167832429</v>
      </c>
      <c r="E235" s="71"/>
      <c r="F235" s="29">
        <f t="shared" si="27"/>
        <v>7011.0408167832429</v>
      </c>
      <c r="G235" s="27">
        <f t="shared" si="31"/>
        <v>1191.9247825816012</v>
      </c>
      <c r="H235" s="29">
        <f t="shared" si="28"/>
        <v>5819.1160342016419</v>
      </c>
      <c r="I235" s="29">
        <f t="shared" si="29"/>
        <v>89534.866572326457</v>
      </c>
      <c r="J235" s="6"/>
      <c r="R235" s="5"/>
    </row>
    <row r="236" spans="1:18" x14ac:dyDescent="0.3">
      <c r="A236" s="25">
        <f t="shared" si="32"/>
        <v>167</v>
      </c>
      <c r="B236" s="26">
        <f t="shared" si="33"/>
        <v>49679</v>
      </c>
      <c r="C236" s="27">
        <f t="shared" si="34"/>
        <v>89534.866572326457</v>
      </c>
      <c r="D236" s="29">
        <f t="shared" si="35"/>
        <v>7011.0408167832429</v>
      </c>
      <c r="E236" s="71"/>
      <c r="F236" s="29">
        <f t="shared" si="27"/>
        <v>7011.0408167832429</v>
      </c>
      <c r="G236" s="27">
        <f t="shared" si="31"/>
        <v>1119.1858321540808</v>
      </c>
      <c r="H236" s="29">
        <f t="shared" si="28"/>
        <v>5891.8549846291626</v>
      </c>
      <c r="I236" s="29">
        <f t="shared" si="29"/>
        <v>83643.0115876973</v>
      </c>
      <c r="J236" s="6"/>
      <c r="R236" s="5"/>
    </row>
    <row r="237" spans="1:18" x14ac:dyDescent="0.3">
      <c r="A237" s="25">
        <f t="shared" si="32"/>
        <v>168</v>
      </c>
      <c r="B237" s="26">
        <f t="shared" si="33"/>
        <v>49710</v>
      </c>
      <c r="C237" s="27">
        <f t="shared" si="34"/>
        <v>83643.0115876973</v>
      </c>
      <c r="D237" s="29">
        <f t="shared" si="35"/>
        <v>7011.0408167832429</v>
      </c>
      <c r="E237" s="71"/>
      <c r="F237" s="29">
        <f t="shared" si="27"/>
        <v>7011.0408167832429</v>
      </c>
      <c r="G237" s="27">
        <f t="shared" si="31"/>
        <v>1045.5376448462164</v>
      </c>
      <c r="H237" s="29">
        <f t="shared" si="28"/>
        <v>5965.5031719370263</v>
      </c>
      <c r="I237" s="29">
        <f t="shared" si="29"/>
        <v>77677.508415760269</v>
      </c>
      <c r="J237" s="6"/>
      <c r="R237" s="5"/>
    </row>
    <row r="238" spans="1:18" x14ac:dyDescent="0.3">
      <c r="A238" s="25">
        <f t="shared" si="32"/>
        <v>169</v>
      </c>
      <c r="B238" s="26">
        <f t="shared" si="33"/>
        <v>49739</v>
      </c>
      <c r="C238" s="27">
        <f t="shared" si="34"/>
        <v>77677.508415760269</v>
      </c>
      <c r="D238" s="29">
        <f t="shared" si="35"/>
        <v>7011.0408167832429</v>
      </c>
      <c r="E238" s="71"/>
      <c r="F238" s="29">
        <f t="shared" si="27"/>
        <v>7011.0408167832429</v>
      </c>
      <c r="G238" s="27">
        <f t="shared" si="31"/>
        <v>970.96885519700345</v>
      </c>
      <c r="H238" s="29">
        <f t="shared" si="28"/>
        <v>6040.0719615862399</v>
      </c>
      <c r="I238" s="29">
        <f t="shared" si="29"/>
        <v>71637.436454174021</v>
      </c>
      <c r="J238" s="6"/>
      <c r="R238" s="5"/>
    </row>
    <row r="239" spans="1:18" x14ac:dyDescent="0.3">
      <c r="A239" s="25">
        <f t="shared" si="32"/>
        <v>170</v>
      </c>
      <c r="B239" s="26">
        <f t="shared" si="33"/>
        <v>49770</v>
      </c>
      <c r="C239" s="27">
        <f t="shared" si="34"/>
        <v>71637.436454174021</v>
      </c>
      <c r="D239" s="29">
        <f t="shared" si="35"/>
        <v>7011.0408167832429</v>
      </c>
      <c r="E239" s="71"/>
      <c r="F239" s="29">
        <f t="shared" si="27"/>
        <v>7011.0408167832429</v>
      </c>
      <c r="G239" s="27">
        <f t="shared" si="31"/>
        <v>895.46795567717527</v>
      </c>
      <c r="H239" s="29">
        <f t="shared" si="28"/>
        <v>6115.5728611060676</v>
      </c>
      <c r="I239" s="29">
        <f t="shared" si="29"/>
        <v>65521.863593067952</v>
      </c>
      <c r="J239" s="6"/>
      <c r="R239" s="5"/>
    </row>
    <row r="240" spans="1:18" x14ac:dyDescent="0.3">
      <c r="A240" s="25">
        <f t="shared" si="32"/>
        <v>171</v>
      </c>
      <c r="B240" s="26">
        <f t="shared" si="33"/>
        <v>49800</v>
      </c>
      <c r="C240" s="27">
        <f t="shared" si="34"/>
        <v>65521.863593067952</v>
      </c>
      <c r="D240" s="29">
        <f t="shared" si="35"/>
        <v>7011.0408167832429</v>
      </c>
      <c r="E240" s="71"/>
      <c r="F240" s="29">
        <f t="shared" si="27"/>
        <v>7011.0408167832429</v>
      </c>
      <c r="G240" s="27">
        <f t="shared" si="31"/>
        <v>819.02329491334945</v>
      </c>
      <c r="H240" s="29">
        <f t="shared" si="28"/>
        <v>6192.0175218698932</v>
      </c>
      <c r="I240" s="29">
        <f t="shared" si="29"/>
        <v>59329.846071198059</v>
      </c>
      <c r="J240" s="6"/>
      <c r="R240" s="5"/>
    </row>
    <row r="241" spans="1:18" x14ac:dyDescent="0.3">
      <c r="A241" s="25">
        <f t="shared" si="32"/>
        <v>172</v>
      </c>
      <c r="B241" s="26">
        <f t="shared" si="33"/>
        <v>49831</v>
      </c>
      <c r="C241" s="27">
        <f t="shared" si="34"/>
        <v>59329.846071198059</v>
      </c>
      <c r="D241" s="29">
        <f t="shared" si="35"/>
        <v>7011.0408167832429</v>
      </c>
      <c r="E241" s="71"/>
      <c r="F241" s="29">
        <f t="shared" si="27"/>
        <v>7011.0408167832429</v>
      </c>
      <c r="G241" s="27">
        <f t="shared" si="31"/>
        <v>741.62307588997578</v>
      </c>
      <c r="H241" s="29">
        <f t="shared" si="28"/>
        <v>6269.4177408932674</v>
      </c>
      <c r="I241" s="29">
        <f t="shared" si="29"/>
        <v>53060.428330304792</v>
      </c>
      <c r="J241" s="6"/>
      <c r="R241" s="5"/>
    </row>
    <row r="242" spans="1:18" x14ac:dyDescent="0.3">
      <c r="A242" s="25">
        <f t="shared" si="32"/>
        <v>173</v>
      </c>
      <c r="B242" s="26">
        <f t="shared" si="33"/>
        <v>49861</v>
      </c>
      <c r="C242" s="27">
        <f t="shared" si="34"/>
        <v>53060.428330304792</v>
      </c>
      <c r="D242" s="29">
        <f t="shared" si="35"/>
        <v>7011.0408167832429</v>
      </c>
      <c r="E242" s="71"/>
      <c r="F242" s="29">
        <f t="shared" si="27"/>
        <v>7011.0408167832429</v>
      </c>
      <c r="G242" s="27">
        <f t="shared" si="31"/>
        <v>663.25535412880993</v>
      </c>
      <c r="H242" s="29">
        <f t="shared" si="28"/>
        <v>6347.7854626544331</v>
      </c>
      <c r="I242" s="29">
        <f t="shared" si="29"/>
        <v>46712.642867650356</v>
      </c>
      <c r="J242" s="6"/>
      <c r="R242" s="5"/>
    </row>
    <row r="243" spans="1:18" x14ac:dyDescent="0.3">
      <c r="A243" s="25">
        <f t="shared" si="32"/>
        <v>174</v>
      </c>
      <c r="B243" s="26">
        <f t="shared" si="33"/>
        <v>49892</v>
      </c>
      <c r="C243" s="27">
        <f t="shared" si="34"/>
        <v>46712.642867650356</v>
      </c>
      <c r="D243" s="29">
        <f t="shared" si="35"/>
        <v>7011.0408167832429</v>
      </c>
      <c r="E243" s="71"/>
      <c r="F243" s="29">
        <f t="shared" si="27"/>
        <v>7011.0408167832429</v>
      </c>
      <c r="G243" s="27">
        <f t="shared" si="31"/>
        <v>583.90803584562946</v>
      </c>
      <c r="H243" s="29">
        <f t="shared" si="28"/>
        <v>6427.1327809376135</v>
      </c>
      <c r="I243" s="29">
        <f t="shared" si="29"/>
        <v>40285.51008671274</v>
      </c>
      <c r="J243" s="6"/>
      <c r="R243" s="5"/>
    </row>
    <row r="244" spans="1:18" x14ac:dyDescent="0.3">
      <c r="A244" s="25">
        <f t="shared" si="32"/>
        <v>175</v>
      </c>
      <c r="B244" s="26">
        <f t="shared" si="33"/>
        <v>49923</v>
      </c>
      <c r="C244" s="27">
        <f t="shared" si="34"/>
        <v>40285.51008671274</v>
      </c>
      <c r="D244" s="29">
        <f t="shared" si="35"/>
        <v>7011.0408167832429</v>
      </c>
      <c r="E244" s="71"/>
      <c r="F244" s="29">
        <f t="shared" si="27"/>
        <v>7011.0408167832429</v>
      </c>
      <c r="G244" s="27">
        <f t="shared" si="31"/>
        <v>503.56887608390929</v>
      </c>
      <c r="H244" s="29">
        <f t="shared" si="28"/>
        <v>6507.4719406993336</v>
      </c>
      <c r="I244" s="29">
        <f t="shared" si="29"/>
        <v>33778.038146013409</v>
      </c>
      <c r="J244" s="6"/>
      <c r="R244" s="5"/>
    </row>
    <row r="245" spans="1:18" x14ac:dyDescent="0.3">
      <c r="A245" s="25">
        <f t="shared" si="32"/>
        <v>176</v>
      </c>
      <c r="B245" s="26">
        <f t="shared" si="33"/>
        <v>49953</v>
      </c>
      <c r="C245" s="27">
        <f t="shared" si="34"/>
        <v>33778.038146013409</v>
      </c>
      <c r="D245" s="29">
        <f t="shared" si="35"/>
        <v>7011.0408167832429</v>
      </c>
      <c r="E245" s="71"/>
      <c r="F245" s="29">
        <f t="shared" si="27"/>
        <v>7011.0408167832429</v>
      </c>
      <c r="G245" s="27">
        <f t="shared" si="31"/>
        <v>422.22547682516762</v>
      </c>
      <c r="H245" s="29">
        <f t="shared" si="28"/>
        <v>6588.8153399580751</v>
      </c>
      <c r="I245" s="29">
        <f t="shared" si="29"/>
        <v>27189.222806055332</v>
      </c>
      <c r="J245" s="6"/>
      <c r="R245" s="5"/>
    </row>
    <row r="246" spans="1:18" x14ac:dyDescent="0.3">
      <c r="A246" s="25">
        <f t="shared" si="32"/>
        <v>177</v>
      </c>
      <c r="B246" s="26">
        <f t="shared" si="33"/>
        <v>49984</v>
      </c>
      <c r="C246" s="27">
        <f t="shared" si="34"/>
        <v>27189.222806055332</v>
      </c>
      <c r="D246" s="29">
        <f t="shared" si="35"/>
        <v>7011.0408167832429</v>
      </c>
      <c r="E246" s="71"/>
      <c r="F246" s="29">
        <f t="shared" si="27"/>
        <v>7011.0408167832429</v>
      </c>
      <c r="G246" s="27">
        <f t="shared" si="31"/>
        <v>339.86528507569165</v>
      </c>
      <c r="H246" s="29">
        <f t="shared" si="28"/>
        <v>6671.1755317075513</v>
      </c>
      <c r="I246" s="29">
        <f t="shared" si="29"/>
        <v>20518.04727434778</v>
      </c>
      <c r="J246" s="6"/>
      <c r="R246" s="5"/>
    </row>
    <row r="247" spans="1:18" x14ac:dyDescent="0.3">
      <c r="A247" s="25">
        <f t="shared" si="32"/>
        <v>178</v>
      </c>
      <c r="B247" s="26">
        <f t="shared" si="33"/>
        <v>50014</v>
      </c>
      <c r="C247" s="27">
        <f t="shared" si="34"/>
        <v>20518.04727434778</v>
      </c>
      <c r="D247" s="29">
        <f t="shared" si="35"/>
        <v>7011.0408167832429</v>
      </c>
      <c r="E247" s="71"/>
      <c r="F247" s="29">
        <f t="shared" si="27"/>
        <v>7011.0408167832429</v>
      </c>
      <c r="G247" s="27">
        <f t="shared" si="31"/>
        <v>256.47559092934728</v>
      </c>
      <c r="H247" s="29">
        <f t="shared" si="28"/>
        <v>6754.5652258538958</v>
      </c>
      <c r="I247" s="29">
        <f t="shared" si="29"/>
        <v>13763.482048493885</v>
      </c>
      <c r="J247" s="6"/>
      <c r="R247" s="5"/>
    </row>
    <row r="248" spans="1:18" x14ac:dyDescent="0.3">
      <c r="A248" s="25">
        <f t="shared" si="32"/>
        <v>179</v>
      </c>
      <c r="B248" s="26">
        <f t="shared" si="33"/>
        <v>50045</v>
      </c>
      <c r="C248" s="27">
        <f t="shared" si="34"/>
        <v>13763.482048493885</v>
      </c>
      <c r="D248" s="29">
        <f t="shared" si="35"/>
        <v>7011.0408167832429</v>
      </c>
      <c r="E248" s="71"/>
      <c r="F248" s="29">
        <f t="shared" si="27"/>
        <v>7011.0408167832429</v>
      </c>
      <c r="G248" s="27">
        <f t="shared" si="31"/>
        <v>172.04352560617357</v>
      </c>
      <c r="H248" s="29">
        <f t="shared" si="28"/>
        <v>6838.9972911770692</v>
      </c>
      <c r="I248" s="29">
        <f t="shared" si="29"/>
        <v>6924.4847573168154</v>
      </c>
      <c r="J248" s="6"/>
      <c r="R248" s="5"/>
    </row>
    <row r="249" spans="1:18" x14ac:dyDescent="0.3">
      <c r="A249" s="25">
        <f t="shared" si="32"/>
        <v>180</v>
      </c>
      <c r="B249" s="26">
        <f t="shared" si="33"/>
        <v>50076</v>
      </c>
      <c r="C249" s="27">
        <f t="shared" si="34"/>
        <v>6924.4847573168154</v>
      </c>
      <c r="D249" s="29">
        <f t="shared" si="35"/>
        <v>7011.0408167832429</v>
      </c>
      <c r="E249" s="71"/>
      <c r="F249" s="29">
        <f t="shared" si="27"/>
        <v>7011.0408167832429</v>
      </c>
      <c r="G249" s="27">
        <f t="shared" si="31"/>
        <v>86.556059466460198</v>
      </c>
      <c r="H249" s="29">
        <f t="shared" si="28"/>
        <v>6924.4847573167826</v>
      </c>
      <c r="I249" s="29">
        <f t="shared" si="29"/>
        <v>3.2741809263825417E-11</v>
      </c>
      <c r="J249" s="58"/>
      <c r="R249" s="5"/>
    </row>
    <row r="250" spans="1:18" hidden="1" x14ac:dyDescent="0.3">
      <c r="A250" s="25"/>
      <c r="B250" s="25"/>
      <c r="C250" s="27"/>
      <c r="D250" s="29"/>
      <c r="E250" s="29"/>
      <c r="F250" s="29"/>
      <c r="G250" s="27"/>
      <c r="H250" s="29">
        <f>SUBTOTAL(109,Tabla131524361019[ABONO A CAPITAL])</f>
        <v>294706.23878812516</v>
      </c>
      <c r="I250" s="29">
        <f>I249</f>
        <v>3.2741809263825417E-11</v>
      </c>
      <c r="J250" s="58"/>
      <c r="R250" s="5"/>
    </row>
    <row r="251" spans="1:18" x14ac:dyDescent="0.3">
      <c r="A251" s="25"/>
      <c r="B251" s="25"/>
      <c r="C251" s="27"/>
      <c r="D251" s="28"/>
      <c r="E251" s="29"/>
      <c r="F251" s="29"/>
      <c r="G251" s="27"/>
      <c r="H251" s="29"/>
      <c r="I251" s="29"/>
      <c r="J251" s="58"/>
      <c r="R251" s="5"/>
    </row>
    <row r="252" spans="1:18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58"/>
    </row>
    <row r="253" spans="1:18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58"/>
    </row>
    <row r="254" spans="1:18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58"/>
    </row>
    <row r="255" spans="1:18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58"/>
    </row>
    <row r="256" spans="1:18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58"/>
    </row>
    <row r="257" spans="1:10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58"/>
    </row>
    <row r="258" spans="1:10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58"/>
    </row>
    <row r="259" spans="1:10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58"/>
    </row>
    <row r="260" spans="1:10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58"/>
    </row>
    <row r="261" spans="1:10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3"/>
    </row>
    <row r="262" spans="1:10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6"/>
    </row>
    <row r="263" spans="1:10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6"/>
    </row>
    <row r="264" spans="1:10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6"/>
    </row>
    <row r="265" spans="1:10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6"/>
    </row>
    <row r="266" spans="1:10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6"/>
    </row>
    <row r="267" spans="1:10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6"/>
    </row>
    <row r="268" spans="1:10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6"/>
    </row>
    <row r="269" spans="1:10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6"/>
    </row>
    <row r="270" spans="1:10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6"/>
    </row>
    <row r="271" spans="1:10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6"/>
    </row>
    <row r="272" spans="1:10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6"/>
    </row>
    <row r="273" spans="1:10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6"/>
    </row>
    <row r="274" spans="1:10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6"/>
    </row>
    <row r="275" spans="1:10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6"/>
    </row>
    <row r="276" spans="1:10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6"/>
    </row>
    <row r="277" spans="1:10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6"/>
    </row>
    <row r="278" spans="1:10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6"/>
    </row>
    <row r="279" spans="1:10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6"/>
    </row>
    <row r="280" spans="1:10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6"/>
    </row>
    <row r="281" spans="1:10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10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10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10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10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10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10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10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">
      <c r="A303" s="4"/>
      <c r="B303" s="4"/>
      <c r="C303" s="4"/>
      <c r="D303" s="4"/>
      <c r="E303" s="4"/>
      <c r="F303" s="4"/>
      <c r="G303" s="4"/>
      <c r="H303" s="4"/>
      <c r="I303" s="4"/>
    </row>
  </sheetData>
  <sheetProtection algorithmName="SHA-512" hashValue="fmHrGO13aY7XJeuNUWbfdzbrIHGeUdGv8hbKUNdPTPdFQ4Aa6vZ4otrOV/8qWx5VgXM8vk70FFhLXueO7Bf/dw==" saltValue="F3qR5z3nf32q1fu0jYZBJw==" spinCount="100000" sheet="1" objects="1" scenarios="1"/>
  <mergeCells count="8">
    <mergeCell ref="C1:H1"/>
    <mergeCell ref="I2:J2"/>
    <mergeCell ref="I3:J3"/>
    <mergeCell ref="A32:I32"/>
    <mergeCell ref="A31:G31"/>
    <mergeCell ref="H31:I31"/>
    <mergeCell ref="H30:I30"/>
    <mergeCell ref="A1:B5"/>
  </mergeCells>
  <conditionalFormatting sqref="A103:J103 C95:J102 C180:J187 S35:XFD116 A177:J179 C33:J42 F4 H6:I6 C16:H16 C1 G27:H28 I2:I3 C11 I7 J252:J303 L33:XFD34 A304:J1048576 L117:XFD1048576 B6:B10 C7:C9 C15:E15 C12:E12 D24:F28 C25:C28 B29:G29 A30 I18 G21 J19:J21 B18 D18:E21 A43:J94 A188:J251 E13:E14 G22:H24 G25:G26 C14">
    <cfRule type="containsErrors" dxfId="131" priority="102">
      <formula>ISERROR(A1)</formula>
    </cfRule>
  </conditionalFormatting>
  <conditionalFormatting sqref="A103:J103 A177:J177">
    <cfRule type="containsText" dxfId="130" priority="97" operator="containsText" text="FALSO">
      <formula>NOT(ISERROR(SEARCH("FALSO",A103)))</formula>
    </cfRule>
    <cfRule type="containsErrors" dxfId="129" priority="98">
      <formula>ISERROR(A103)</formula>
    </cfRule>
  </conditionalFormatting>
  <conditionalFormatting sqref="F5">
    <cfRule type="containsErrors" dxfId="128" priority="89">
      <formula>ISERROR(F5)</formula>
    </cfRule>
  </conditionalFormatting>
  <conditionalFormatting sqref="G17:G20">
    <cfRule type="containsErrors" dxfId="127" priority="88">
      <formula>ISERROR(G17)</formula>
    </cfRule>
  </conditionalFormatting>
  <conditionalFormatting sqref="D3">
    <cfRule type="containsErrors" dxfId="126" priority="85">
      <formula>ISERROR(D3)</formula>
    </cfRule>
  </conditionalFormatting>
  <conditionalFormatting sqref="C2">
    <cfRule type="containsErrors" dxfId="125" priority="84">
      <formula>ISERROR(C2)</formula>
    </cfRule>
  </conditionalFormatting>
  <conditionalFormatting sqref="C3">
    <cfRule type="containsErrors" dxfId="124" priority="83">
      <formula>ISERROR(C3)</formula>
    </cfRule>
  </conditionalFormatting>
  <conditionalFormatting sqref="C22:F22 B25:B28 D23:F23">
    <cfRule type="containsErrors" dxfId="123" priority="82">
      <formula>ISERROR(B22)</formula>
    </cfRule>
  </conditionalFormatting>
  <conditionalFormatting sqref="H3">
    <cfRule type="containsErrors" dxfId="122" priority="79">
      <formula>ISERROR(H3)</formula>
    </cfRule>
  </conditionalFormatting>
  <conditionalFormatting sqref="A252:I303">
    <cfRule type="containsErrors" dxfId="121" priority="78">
      <formula>ISERROR(A252)</formula>
    </cfRule>
  </conditionalFormatting>
  <conditionalFormatting sqref="D2">
    <cfRule type="containsErrors" dxfId="120" priority="77">
      <formula>ISERROR(D2)</formula>
    </cfRule>
  </conditionalFormatting>
  <conditionalFormatting sqref="H26">
    <cfRule type="containsErrors" dxfId="119" priority="76">
      <formula>ISERROR(H26)</formula>
    </cfRule>
  </conditionalFormatting>
  <conditionalFormatting sqref="H29">
    <cfRule type="containsErrors" dxfId="118" priority="75">
      <formula>ISERROR(H29)</formula>
    </cfRule>
  </conditionalFormatting>
  <conditionalFormatting sqref="D7:D8">
    <cfRule type="expression" dxfId="117" priority="74">
      <formula>ISERROR(D38)</formula>
    </cfRule>
  </conditionalFormatting>
  <conditionalFormatting sqref="D11">
    <cfRule type="expression" dxfId="116" priority="72">
      <formula>ISERROR(D11)</formula>
    </cfRule>
  </conditionalFormatting>
  <conditionalFormatting sqref="D10">
    <cfRule type="expression" dxfId="115" priority="71">
      <formula>ISERROR(D41)</formula>
    </cfRule>
  </conditionalFormatting>
  <conditionalFormatting sqref="A32">
    <cfRule type="expression" dxfId="114" priority="70">
      <formula>ISERROR(A40)</formula>
    </cfRule>
  </conditionalFormatting>
  <conditionalFormatting sqref="A31">
    <cfRule type="expression" dxfId="113" priority="69">
      <formula>ISERROR(A39)</formula>
    </cfRule>
  </conditionalFormatting>
  <conditionalFormatting sqref="H7">
    <cfRule type="containsErrors" dxfId="112" priority="60">
      <formula>ISERROR(H7)</formula>
    </cfRule>
  </conditionalFormatting>
  <conditionalFormatting sqref="H7">
    <cfRule type="containsErrors" dxfId="111" priority="59">
      <formula>ISERROR(H7)</formula>
    </cfRule>
  </conditionalFormatting>
  <conditionalFormatting sqref="H8">
    <cfRule type="containsErrors" dxfId="110" priority="58">
      <formula>ISERROR(H8)</formula>
    </cfRule>
  </conditionalFormatting>
  <conditionalFormatting sqref="H9">
    <cfRule type="containsErrors" dxfId="109" priority="57">
      <formula>ISERROR(H9)</formula>
    </cfRule>
  </conditionalFormatting>
  <conditionalFormatting sqref="H9">
    <cfRule type="containsErrors" dxfId="108" priority="56">
      <formula>ISERROR(H9)</formula>
    </cfRule>
  </conditionalFormatting>
  <conditionalFormatting sqref="H10">
    <cfRule type="containsErrors" dxfId="107" priority="55">
      <formula>ISERROR(H10)</formula>
    </cfRule>
  </conditionalFormatting>
  <conditionalFormatting sqref="H10">
    <cfRule type="containsErrors" dxfId="106" priority="54">
      <formula>ISERROR(H10)</formula>
    </cfRule>
  </conditionalFormatting>
  <conditionalFormatting sqref="H11">
    <cfRule type="containsErrors" dxfId="105" priority="53">
      <formula>ISERROR(H11)</formula>
    </cfRule>
  </conditionalFormatting>
  <conditionalFormatting sqref="H12">
    <cfRule type="containsErrors" dxfId="104" priority="52">
      <formula>ISERROR(H12)</formula>
    </cfRule>
  </conditionalFormatting>
  <conditionalFormatting sqref="H13">
    <cfRule type="containsErrors" dxfId="103" priority="51">
      <formula>ISERROR(H13)</formula>
    </cfRule>
  </conditionalFormatting>
  <conditionalFormatting sqref="H13">
    <cfRule type="containsErrors" dxfId="102" priority="50">
      <formula>ISERROR(H13)</formula>
    </cfRule>
  </conditionalFormatting>
  <conditionalFormatting sqref="H14">
    <cfRule type="containsErrors" dxfId="101" priority="49">
      <formula>ISERROR(H14)</formula>
    </cfRule>
  </conditionalFormatting>
  <conditionalFormatting sqref="H15">
    <cfRule type="containsErrors" dxfId="100" priority="48">
      <formula>ISERROR(H15)</formula>
    </cfRule>
  </conditionalFormatting>
  <conditionalFormatting sqref="L9:L10">
    <cfRule type="containsErrors" dxfId="99" priority="47">
      <formula>ISERROR(L9)</formula>
    </cfRule>
  </conditionalFormatting>
  <conditionalFormatting sqref="I11">
    <cfRule type="containsErrors" dxfId="98" priority="42">
      <formula>ISERROR(I11)</formula>
    </cfRule>
  </conditionalFormatting>
  <conditionalFormatting sqref="I11">
    <cfRule type="cellIs" dxfId="97" priority="40" operator="equal">
      <formula>0</formula>
    </cfRule>
    <cfRule type="cellIs" dxfId="96" priority="41" operator="lessThan">
      <formula>0.0001</formula>
    </cfRule>
  </conditionalFormatting>
  <conditionalFormatting sqref="H5">
    <cfRule type="containsErrors" dxfId="95" priority="39">
      <formula>ISERROR(H5)</formula>
    </cfRule>
  </conditionalFormatting>
  <conditionalFormatting sqref="I5">
    <cfRule type="containsErrors" dxfId="94" priority="38">
      <formula>ISERROR(I5)</formula>
    </cfRule>
  </conditionalFormatting>
  <conditionalFormatting sqref="C5">
    <cfRule type="containsErrors" dxfId="93" priority="37">
      <formula>ISERROR(C5)</formula>
    </cfRule>
  </conditionalFormatting>
  <conditionalFormatting sqref="C5">
    <cfRule type="containsErrors" dxfId="92" priority="36">
      <formula>ISERROR(C5)</formula>
    </cfRule>
  </conditionalFormatting>
  <conditionalFormatting sqref="H20:I20 H19:H21">
    <cfRule type="containsErrors" dxfId="91" priority="35">
      <formula>ISERROR(H19)</formula>
    </cfRule>
  </conditionalFormatting>
  <conditionalFormatting sqref="I19:I21">
    <cfRule type="containsErrors" dxfId="90" priority="34">
      <formula>ISERROR(I19)</formula>
    </cfRule>
  </conditionalFormatting>
  <conditionalFormatting sqref="H21:I21">
    <cfRule type="containsErrors" dxfId="89" priority="33">
      <formula>ISERROR(H21)</formula>
    </cfRule>
  </conditionalFormatting>
  <conditionalFormatting sqref="I21">
    <cfRule type="containsErrors" dxfId="88" priority="32">
      <formula>ISERROR(I21)</formula>
    </cfRule>
  </conditionalFormatting>
  <conditionalFormatting sqref="H17">
    <cfRule type="containsErrors" dxfId="87" priority="31">
      <formula>ISERROR(H17)</formula>
    </cfRule>
  </conditionalFormatting>
  <conditionalFormatting sqref="J17">
    <cfRule type="containsErrors" dxfId="86" priority="30">
      <formula>ISERROR(J17)</formula>
    </cfRule>
  </conditionalFormatting>
  <conditionalFormatting sqref="B19:C19">
    <cfRule type="containsErrors" dxfId="85" priority="28">
      <formula>ISERROR(B19)</formula>
    </cfRule>
  </conditionalFormatting>
  <conditionalFormatting sqref="C19">
    <cfRule type="containsErrors" dxfId="84" priority="27">
      <formula>ISERROR(C19)</formula>
    </cfRule>
  </conditionalFormatting>
  <conditionalFormatting sqref="B20:C20">
    <cfRule type="containsErrors" dxfId="83" priority="26">
      <formula>ISERROR(B20)</formula>
    </cfRule>
  </conditionalFormatting>
  <conditionalFormatting sqref="C20">
    <cfRule type="containsErrors" dxfId="82" priority="25">
      <formula>ISERROR(C20)</formula>
    </cfRule>
  </conditionalFormatting>
  <conditionalFormatting sqref="B21:C21">
    <cfRule type="containsErrors" dxfId="81" priority="24">
      <formula>ISERROR(B21)</formula>
    </cfRule>
  </conditionalFormatting>
  <conditionalFormatting sqref="C21">
    <cfRule type="containsErrors" dxfId="80" priority="23">
      <formula>ISERROR(C21)</formula>
    </cfRule>
  </conditionalFormatting>
  <conditionalFormatting sqref="B17">
    <cfRule type="containsErrors" dxfId="79" priority="22">
      <formula>ISERROR(B17)</formula>
    </cfRule>
  </conditionalFormatting>
  <conditionalFormatting sqref="I12">
    <cfRule type="containsErrors" dxfId="78" priority="21">
      <formula>ISERROR(I12)</formula>
    </cfRule>
  </conditionalFormatting>
  <conditionalFormatting sqref="I12">
    <cfRule type="cellIs" dxfId="77" priority="19" operator="equal">
      <formula>0</formula>
    </cfRule>
    <cfRule type="cellIs" dxfId="76" priority="20" operator="lessThan">
      <formula>0.0001</formula>
    </cfRule>
  </conditionalFormatting>
  <conditionalFormatting sqref="I13">
    <cfRule type="containsErrors" dxfId="75" priority="17">
      <formula>ISERROR(I13)</formula>
    </cfRule>
  </conditionalFormatting>
  <conditionalFormatting sqref="I13">
    <cfRule type="cellIs" dxfId="74" priority="15" operator="equal">
      <formula>0</formula>
    </cfRule>
    <cfRule type="cellIs" dxfId="73" priority="16" operator="lessThan">
      <formula>0.0001</formula>
    </cfRule>
  </conditionalFormatting>
  <conditionalFormatting sqref="I14:I15">
    <cfRule type="containsErrors" dxfId="72" priority="13">
      <formula>ISERROR(I14)</formula>
    </cfRule>
  </conditionalFormatting>
  <conditionalFormatting sqref="I14:I15">
    <cfRule type="cellIs" dxfId="71" priority="11" operator="equal">
      <formula>0</formula>
    </cfRule>
    <cfRule type="cellIs" dxfId="70" priority="12" operator="lessThan">
      <formula>0.0001</formula>
    </cfRule>
  </conditionalFormatting>
  <conditionalFormatting sqref="I10">
    <cfRule type="containsErrors" dxfId="69" priority="9">
      <formula>ISERROR(I10)</formula>
    </cfRule>
  </conditionalFormatting>
  <conditionalFormatting sqref="I10">
    <cfRule type="cellIs" dxfId="68" priority="7" operator="equal">
      <formula>0</formula>
    </cfRule>
    <cfRule type="cellIs" dxfId="67" priority="8" operator="lessThan">
      <formula>0.0001</formula>
    </cfRule>
  </conditionalFormatting>
  <conditionalFormatting sqref="D9">
    <cfRule type="expression" dxfId="66" priority="6">
      <formula>ISERROR(D40)</formula>
    </cfRule>
  </conditionalFormatting>
  <conditionalFormatting sqref="D117:D176">
    <cfRule type="containsText" dxfId="65" priority="5" operator="containsText" text="FALSO">
      <formula>NOT(ISERROR(SEARCH("FALSO",D117)))</formula>
    </cfRule>
  </conditionalFormatting>
  <conditionalFormatting sqref="D190:D249">
    <cfRule type="containsText" dxfId="64" priority="4" operator="containsText" text="FALSO">
      <formula>NOT(ISERROR(SEARCH("FALSO",D190)))</formula>
    </cfRule>
  </conditionalFormatting>
  <conditionalFormatting sqref="D44:D117">
    <cfRule type="containsText" dxfId="63" priority="3" operator="containsText" text="FALSO">
      <formula>NOT(ISERROR(SEARCH("FALSO",D44)))</formula>
    </cfRule>
  </conditionalFormatting>
  <conditionalFormatting sqref="B190:B249">
    <cfRule type="containsText" dxfId="62" priority="2" operator="containsText" text="FALSO">
      <formula>NOT(ISERROR(SEARCH("FALSO",B190)))</formula>
    </cfRule>
  </conditionalFormatting>
  <conditionalFormatting sqref="A189:A249">
    <cfRule type="containsText" dxfId="61" priority="1" operator="containsText" text="FALSO">
      <formula>NOT(ISERROR(SEARCH("FALSO",A189)))</formula>
    </cfRule>
  </conditionalFormatting>
  <dataValidations xWindow="444" yWindow="393" count="1">
    <dataValidation allowBlank="1" showInputMessage="1" showErrorMessage="1" promptTitle="PAGO DE MENSUALIDAD" prompt="*Si aparta del 1 al  5 de mes 1ra mensualidad es el mes siguiente._x000a_*Si apartadel 6  al 31 de mes 1ra mensualidad es hasta el mes entrante._x000a_Ejemplo:_x000a_ Apartado 1 al 5 de Junio_x000a_    Mensualidad 1 de Junio_x000a_Apartado 6 al 31 de Junio _x000a_    Mensualidad 1 de Agosto" sqref="B44" xr:uid="{00000000-0002-0000-0100-000000000000}"/>
  </dataValidations>
  <pageMargins left="0.70866141732283472" right="0.70866141732283472" top="1.5354330708661419" bottom="0.94488188976377963" header="0.31496062992125984" footer="0.31496062992125984"/>
  <pageSetup scale="41" orientation="portrait" r:id="rId1"/>
  <headerFooter scaleWithDoc="0">
    <oddHeader>&amp;C&amp;G</oddHeader>
    <oddFooter>&amp;C&amp;G</oddFooter>
  </headerFooter>
  <drawing r:id="rId2"/>
  <legacyDrawing r:id="rId3"/>
  <legacyDrawingHF r:id="rId4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xWindow="444" yWindow="393" count="4">
        <x14:dataValidation type="list" allowBlank="1" showInputMessage="1" showErrorMessage="1" xr:uid="{00000000-0002-0000-0100-000001000000}">
          <x14:formula1>
            <xm:f>DATOS!$F$3:$F$29</xm:f>
          </x14:formula1>
          <xm:sqref>D7</xm:sqref>
        </x14:dataValidation>
        <x14:dataValidation type="list" allowBlank="1" showInputMessage="1" showErrorMessage="1" xr:uid="{00000000-0002-0000-0100-000002000000}">
          <x14:formula1>
            <xm:f>DATOS!$E$3:$E$14</xm:f>
          </x14:formula1>
          <xm:sqref>D11</xm:sqref>
        </x14:dataValidation>
        <x14:dataValidation type="list" allowBlank="1" showInputMessage="1" showErrorMessage="1" xr:uid="{00000000-0002-0000-0100-000003000000}">
          <x14:formula1>
            <xm:f>DATOS!$G$3:$G$17</xm:f>
          </x14:formula1>
          <xm:sqref>D18</xm:sqref>
        </x14:dataValidation>
        <x14:dataValidation type="list" allowBlank="1" showInputMessage="1" showErrorMessage="1" xr:uid="{00000000-0002-0000-0100-000004000000}">
          <x14:formula1>
            <xm:f>DATOS!$D$30:$D$42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X127"/>
  <sheetViews>
    <sheetView showGridLines="0" view="pageBreakPreview" zoomScale="73" zoomScaleNormal="73" zoomScaleSheetLayoutView="73" workbookViewId="0">
      <selection activeCell="BI56" sqref="BI56"/>
    </sheetView>
  </sheetViews>
  <sheetFormatPr baseColWidth="10" defaultColWidth="11" defaultRowHeight="16.5" outlineLevelRow="1" x14ac:dyDescent="0.3"/>
  <cols>
    <col min="1" max="1" width="5.125" style="85" customWidth="1"/>
    <col min="2" max="2" width="7.5" style="85" customWidth="1"/>
    <col min="3" max="9" width="3.125" style="85" customWidth="1"/>
    <col min="10" max="10" width="6.375" style="85" customWidth="1"/>
    <col min="11" max="15" width="3.125" style="85" customWidth="1"/>
    <col min="16" max="16" width="13.875" style="85" bestFit="1" customWidth="1"/>
    <col min="17" max="26" width="3.125" style="85" customWidth="1"/>
    <col min="27" max="27" width="11.625" style="85" customWidth="1"/>
    <col min="28" max="29" width="3.125" style="85" customWidth="1"/>
    <col min="30" max="30" width="4.375" style="85" customWidth="1"/>
    <col min="31" max="31" width="5.375" style="85" customWidth="1"/>
    <col min="32" max="37" width="3.125" style="85" customWidth="1"/>
    <col min="38" max="38" width="8.625" style="85" customWidth="1"/>
    <col min="39" max="46" width="3.125" style="85" customWidth="1"/>
    <col min="47" max="47" width="16.625" style="85" customWidth="1"/>
    <col min="48" max="49" width="11" style="85"/>
    <col min="50" max="50" width="11" style="85" hidden="1" customWidth="1"/>
    <col min="51" max="16384" width="11" style="85"/>
  </cols>
  <sheetData>
    <row r="1" spans="2:50" x14ac:dyDescent="0.3">
      <c r="AX1" s="130" t="s">
        <v>118</v>
      </c>
    </row>
    <row r="2" spans="2:50" ht="27.75" customHeight="1" x14ac:dyDescent="0.3">
      <c r="B2" s="282" t="s">
        <v>165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X2" s="130" t="s">
        <v>119</v>
      </c>
    </row>
    <row r="3" spans="2:50" s="87" customFormat="1" ht="6" customHeight="1" thickBot="1" x14ac:dyDescent="0.35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6"/>
    </row>
    <row r="4" spans="2:50" ht="26.25" thickBot="1" x14ac:dyDescent="0.35">
      <c r="B4" s="277" t="s">
        <v>43</v>
      </c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9"/>
    </row>
    <row r="5" spans="2:50" ht="24" customHeight="1" outlineLevel="1" thickBot="1" x14ac:dyDescent="0.35">
      <c r="C5" s="88"/>
      <c r="D5" s="88"/>
      <c r="E5" s="88"/>
      <c r="F5" s="88"/>
      <c r="G5" s="89" t="s">
        <v>44</v>
      </c>
      <c r="H5" s="264" t="str">
        <f>SIMULADOR!$E$3</f>
        <v/>
      </c>
      <c r="I5" s="264"/>
      <c r="J5" s="264"/>
      <c r="K5" s="264"/>
      <c r="L5" s="264"/>
      <c r="M5" s="264"/>
      <c r="N5" s="264"/>
      <c r="O5" s="264"/>
      <c r="P5" s="264"/>
      <c r="Q5" s="264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90"/>
      <c r="AJ5" s="90"/>
      <c r="AK5" s="90"/>
      <c r="AL5" s="90"/>
      <c r="AM5" s="90"/>
      <c r="AN5" s="90"/>
      <c r="AO5" s="90"/>
      <c r="AP5" s="90"/>
      <c r="AQ5" s="88"/>
      <c r="AR5" s="88"/>
      <c r="AS5" s="88"/>
      <c r="AT5" s="91" t="s">
        <v>45</v>
      </c>
      <c r="AU5" s="92"/>
    </row>
    <row r="6" spans="2:50" ht="24" customHeight="1" outlineLevel="1" thickBot="1" x14ac:dyDescent="0.35">
      <c r="B6" s="93"/>
      <c r="C6" s="93"/>
      <c r="D6" s="93"/>
      <c r="E6" s="93"/>
      <c r="F6" s="93"/>
      <c r="G6" s="93"/>
      <c r="H6" s="280"/>
      <c r="I6" s="280"/>
      <c r="J6" s="280"/>
      <c r="K6" s="280"/>
      <c r="L6" s="280"/>
      <c r="M6" s="280"/>
      <c r="N6" s="280"/>
      <c r="O6" s="280"/>
      <c r="P6" s="280"/>
      <c r="Q6" s="280"/>
      <c r="T6" s="93"/>
      <c r="U6" s="93"/>
      <c r="V6" s="93"/>
      <c r="W6" s="93"/>
      <c r="X6" s="93"/>
      <c r="Y6" s="93"/>
      <c r="Z6" s="93"/>
      <c r="AA6" s="94" t="s">
        <v>46</v>
      </c>
      <c r="AB6" s="281">
        <f>IF(SIMULADOR!$D$9="","",SIMULADOR!$D$9)</f>
        <v>200</v>
      </c>
      <c r="AC6" s="281"/>
      <c r="AD6" s="281"/>
      <c r="AE6" s="281"/>
      <c r="AF6" s="281"/>
      <c r="AG6" s="281"/>
      <c r="AH6" s="281"/>
      <c r="AI6" s="281"/>
      <c r="AQ6" s="93"/>
      <c r="AR6" s="93"/>
      <c r="AS6" s="93"/>
      <c r="AT6" s="95" t="s">
        <v>47</v>
      </c>
      <c r="AU6" s="151">
        <f>IF(SIMULADOR!$I$15="","",SIMULADOR!$I$15)</f>
        <v>653568</v>
      </c>
      <c r="AX6" s="130" t="s">
        <v>120</v>
      </c>
    </row>
    <row r="7" spans="2:50" ht="24" customHeight="1" outlineLevel="1" thickBot="1" x14ac:dyDescent="0.35">
      <c r="C7" s="96"/>
      <c r="D7" s="96"/>
      <c r="E7" s="96"/>
      <c r="F7" s="96"/>
      <c r="G7" s="97" t="s">
        <v>48</v>
      </c>
      <c r="H7" s="264" t="str">
        <f>IF(SIMULADOR!$D$9="","",SIMULADOR!$D$7)</f>
        <v xml:space="preserve">MANGLAR 2 </v>
      </c>
      <c r="I7" s="264"/>
      <c r="J7" s="264"/>
      <c r="K7" s="264"/>
      <c r="L7" s="264"/>
      <c r="M7" s="264"/>
      <c r="N7" s="264"/>
      <c r="O7" s="264"/>
      <c r="P7" s="264"/>
      <c r="Q7" s="264"/>
      <c r="T7" s="96"/>
      <c r="U7" s="96"/>
      <c r="V7" s="96"/>
      <c r="W7" s="96"/>
      <c r="X7" s="96"/>
      <c r="Y7" s="96"/>
      <c r="Z7" s="96"/>
      <c r="AA7" s="94" t="s">
        <v>49</v>
      </c>
      <c r="AB7" s="267">
        <f>IF(SIMULADOR!$D$12="","",SIMULADOR!$D$12)</f>
        <v>3552</v>
      </c>
      <c r="AC7" s="267"/>
      <c r="AD7" s="267"/>
      <c r="AE7" s="267"/>
      <c r="AF7" s="267"/>
      <c r="AG7" s="267"/>
      <c r="AH7" s="267"/>
      <c r="AI7" s="267"/>
      <c r="AQ7" s="96"/>
      <c r="AR7" s="96"/>
      <c r="AS7" s="96"/>
      <c r="AT7" s="94" t="s">
        <v>50</v>
      </c>
      <c r="AU7" s="98">
        <f>IF(SIMULADOR!$D$18="","",SIMULADOR!$D$18)</f>
        <v>15</v>
      </c>
      <c r="AX7" s="130" t="s">
        <v>121</v>
      </c>
    </row>
    <row r="8" spans="2:50" ht="24" customHeight="1" outlineLevel="1" thickBot="1" x14ac:dyDescent="0.35">
      <c r="B8" s="93"/>
      <c r="C8" s="93"/>
      <c r="D8" s="93"/>
      <c r="E8" s="93"/>
      <c r="F8" s="93"/>
      <c r="G8" s="93"/>
      <c r="H8" s="280"/>
      <c r="I8" s="280"/>
      <c r="J8" s="280"/>
      <c r="K8" s="280"/>
      <c r="L8" s="280"/>
      <c r="M8" s="280"/>
      <c r="N8" s="280"/>
      <c r="O8" s="280"/>
      <c r="P8" s="280"/>
      <c r="Q8" s="280"/>
      <c r="T8" s="93"/>
      <c r="U8" s="93"/>
      <c r="V8" s="93"/>
      <c r="W8" s="93"/>
      <c r="X8" s="93"/>
      <c r="Y8" s="93"/>
      <c r="Z8" s="93"/>
      <c r="AA8" s="94" t="s">
        <v>96</v>
      </c>
      <c r="AB8" s="268">
        <f>IF(SIMULADOR!$I$14="","",SIMULADOR!$I$14)</f>
        <v>710400</v>
      </c>
      <c r="AC8" s="269"/>
      <c r="AD8" s="269"/>
      <c r="AE8" s="269"/>
      <c r="AF8" s="269"/>
      <c r="AG8" s="269"/>
      <c r="AH8" s="269"/>
      <c r="AI8" s="270"/>
      <c r="AQ8" s="93"/>
      <c r="AR8" s="93"/>
      <c r="AS8" s="93"/>
      <c r="AT8" s="99" t="s">
        <v>51</v>
      </c>
      <c r="AU8" s="100">
        <f>IF(SIMULADOR!$E$20="","",SIMULADOR!$E$20)</f>
        <v>0.01</v>
      </c>
      <c r="AX8" s="130" t="s">
        <v>122</v>
      </c>
    </row>
    <row r="9" spans="2:50" ht="24" customHeight="1" outlineLevel="1" x14ac:dyDescent="0.3">
      <c r="B9" s="93"/>
      <c r="C9" s="93"/>
      <c r="D9" s="93"/>
      <c r="E9" s="93"/>
      <c r="F9" s="93"/>
      <c r="G9" s="97" t="s">
        <v>52</v>
      </c>
      <c r="H9" s="264">
        <f>IF(SIMULADOR!$D$12="","",SIMULADOR!$D$8)</f>
        <v>45</v>
      </c>
      <c r="I9" s="264"/>
      <c r="J9" s="264"/>
      <c r="K9" s="264"/>
      <c r="L9" s="264"/>
      <c r="M9" s="264"/>
      <c r="N9" s="264"/>
      <c r="O9" s="264"/>
      <c r="P9" s="264"/>
      <c r="Q9" s="264"/>
      <c r="T9" s="93"/>
      <c r="U9" s="93"/>
      <c r="V9" s="93"/>
      <c r="W9" s="93"/>
      <c r="X9" s="93"/>
      <c r="Y9" s="93"/>
      <c r="Z9" s="93"/>
      <c r="AA9" s="94" t="s">
        <v>53</v>
      </c>
      <c r="AB9" s="265">
        <f>IF(SIMULADOR!$I$10="","",SIMULADOR!$I$10)</f>
        <v>56832</v>
      </c>
      <c r="AC9" s="265"/>
      <c r="AD9" s="265"/>
      <c r="AE9" s="265"/>
      <c r="AF9" s="265"/>
      <c r="AG9" s="265"/>
      <c r="AH9" s="265"/>
      <c r="AI9" s="265"/>
      <c r="AQ9" s="93"/>
      <c r="AR9" s="93"/>
      <c r="AS9" s="93"/>
      <c r="AT9" s="99" t="s">
        <v>54</v>
      </c>
      <c r="AU9" s="101">
        <f>IF(SIMULADOR!$E$21="","",SIMULADOR!$E$21)</f>
        <v>1.2500000000000001E-2</v>
      </c>
      <c r="AX9" s="130" t="s">
        <v>123</v>
      </c>
    </row>
    <row r="10" spans="2:50" ht="24" customHeight="1" outlineLevel="1" thickBot="1" x14ac:dyDescent="0.35">
      <c r="B10" s="96"/>
      <c r="C10" s="96"/>
      <c r="D10" s="96"/>
      <c r="E10" s="96"/>
      <c r="F10" s="96"/>
      <c r="G10" s="9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T10" s="96"/>
      <c r="U10" s="96"/>
      <c r="V10" s="96"/>
      <c r="W10" s="96"/>
      <c r="X10" s="96"/>
      <c r="Y10" s="96"/>
      <c r="Z10" s="96"/>
      <c r="AA10" s="137" t="s">
        <v>55</v>
      </c>
      <c r="AB10" s="267">
        <f>$AB$9-$AB$11</f>
        <v>0</v>
      </c>
      <c r="AC10" s="267"/>
      <c r="AD10" s="267"/>
      <c r="AE10" s="267"/>
      <c r="AF10" s="267"/>
      <c r="AG10" s="267"/>
      <c r="AH10" s="267"/>
      <c r="AI10" s="267"/>
      <c r="AJ10" s="87"/>
      <c r="AK10" s="87"/>
      <c r="AL10" s="87"/>
      <c r="AM10" s="87"/>
      <c r="AQ10" s="96"/>
      <c r="AR10" s="96"/>
      <c r="AS10" s="96"/>
      <c r="AT10" s="96"/>
      <c r="AU10" s="102"/>
    </row>
    <row r="11" spans="2:50" ht="24" customHeight="1" outlineLevel="1" thickBot="1" x14ac:dyDescent="0.3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7" t="s">
        <v>56</v>
      </c>
      <c r="AB11" s="268">
        <f>SIMULADOR!I13</f>
        <v>56832</v>
      </c>
      <c r="AC11" s="269"/>
      <c r="AD11" s="269"/>
      <c r="AE11" s="269"/>
      <c r="AF11" s="269"/>
      <c r="AG11" s="269"/>
      <c r="AH11" s="269"/>
      <c r="AI11" s="270"/>
      <c r="AJ11" s="103"/>
    </row>
    <row r="12" spans="2:50" ht="24" customHeight="1" outlineLevel="1" x14ac:dyDescent="0.3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4"/>
      <c r="AD12" s="96"/>
      <c r="AF12" s="96"/>
      <c r="AG12" s="96"/>
      <c r="AH12" s="96"/>
      <c r="AI12" s="96"/>
      <c r="AJ12" s="96"/>
      <c r="AK12" s="103"/>
      <c r="AL12" s="103"/>
      <c r="AM12" s="103"/>
      <c r="AQ12" s="96"/>
      <c r="AR12" s="96"/>
      <c r="AS12" s="96"/>
      <c r="AT12" s="94" t="s">
        <v>57</v>
      </c>
      <c r="AU12" s="104">
        <f>IF(SIMULADOR!$J$19="","",SIMULADOR!$J$19)</f>
        <v>3630.9333333333334</v>
      </c>
    </row>
    <row r="13" spans="2:50" ht="24" customHeight="1" outlineLevel="1" x14ac:dyDescent="0.3">
      <c r="B13" s="96"/>
      <c r="C13" s="96"/>
      <c r="D13" s="96"/>
      <c r="E13" s="96"/>
      <c r="F13" s="96"/>
      <c r="G13" s="96"/>
      <c r="H13" s="96"/>
      <c r="I13" s="96"/>
      <c r="J13" s="96"/>
      <c r="K13" s="96"/>
      <c r="T13" s="96"/>
      <c r="U13" s="96"/>
      <c r="V13" s="96"/>
      <c r="W13" s="96"/>
      <c r="X13" s="96"/>
      <c r="Y13" s="96"/>
      <c r="Z13" s="96"/>
      <c r="AA13" s="96"/>
      <c r="AB13" s="96"/>
      <c r="AC13" s="94"/>
      <c r="AD13" s="96"/>
      <c r="AF13" s="103"/>
      <c r="AG13" s="103"/>
      <c r="AH13" s="103"/>
      <c r="AI13" s="103"/>
      <c r="AJ13" s="103"/>
      <c r="AK13" s="96"/>
      <c r="AL13" s="96"/>
      <c r="AM13" s="96"/>
      <c r="AQ13" s="96"/>
      <c r="AR13" s="96"/>
      <c r="AS13" s="96"/>
      <c r="AT13" s="94" t="s">
        <v>58</v>
      </c>
      <c r="AU13" s="105">
        <f>IF(SIMULADOR!$J$20="","",SIMULADOR!$J$20)</f>
        <v>6555.577511136622</v>
      </c>
    </row>
    <row r="14" spans="2:50" s="136" customFormat="1" ht="24" customHeight="1" outlineLevel="1" thickBot="1" x14ac:dyDescent="0.35">
      <c r="C14" s="96"/>
      <c r="D14" s="96"/>
      <c r="E14" s="96"/>
      <c r="F14" s="96"/>
      <c r="G14" s="96"/>
      <c r="H14" s="96"/>
      <c r="I14" s="96"/>
      <c r="J14" s="96"/>
      <c r="K14" s="96"/>
      <c r="T14" s="96"/>
      <c r="U14" s="96"/>
      <c r="V14" s="96"/>
      <c r="W14" s="96"/>
      <c r="X14" s="96"/>
      <c r="Y14" s="96"/>
      <c r="Z14" s="96"/>
      <c r="AA14" s="96"/>
      <c r="AB14" s="96"/>
      <c r="AC14" s="94"/>
      <c r="AD14" s="96"/>
      <c r="AF14" s="103"/>
      <c r="AG14" s="103"/>
      <c r="AH14" s="103"/>
      <c r="AI14" s="103"/>
      <c r="AJ14" s="103"/>
      <c r="AK14" s="103"/>
      <c r="AL14" s="103"/>
      <c r="AM14" s="103"/>
      <c r="AN14" s="85"/>
      <c r="AO14" s="85"/>
      <c r="AP14" s="85"/>
      <c r="AQ14" s="96"/>
      <c r="AR14" s="96"/>
      <c r="AS14" s="96"/>
      <c r="AT14" s="94" t="s">
        <v>59</v>
      </c>
      <c r="AU14" s="106">
        <f>IF(SIMULADOR!$J$21="","",SIMULADOR!$J$21)</f>
        <v>7011.0408167832429</v>
      </c>
    </row>
    <row r="15" spans="2:50" s="136" customFormat="1" ht="21" customHeight="1" x14ac:dyDescent="0.3">
      <c r="C15" s="96"/>
      <c r="D15" s="96"/>
      <c r="E15" s="96"/>
      <c r="F15" s="96"/>
      <c r="G15" s="96"/>
      <c r="H15" s="96"/>
      <c r="I15" s="96"/>
      <c r="J15" s="96"/>
      <c r="K15" s="96"/>
      <c r="T15" s="96"/>
      <c r="U15" s="96"/>
      <c r="V15" s="96"/>
      <c r="X15" s="158"/>
      <c r="Y15" s="158"/>
      <c r="Z15" s="158"/>
      <c r="AA15" s="158"/>
      <c r="AB15" s="158"/>
      <c r="AC15" s="158"/>
      <c r="AD15" s="158" t="s">
        <v>174</v>
      </c>
      <c r="AE15" s="276"/>
      <c r="AF15" s="276"/>
      <c r="AG15" s="276"/>
      <c r="AH15" s="276"/>
      <c r="AI15" s="276"/>
      <c r="AJ15" s="276"/>
      <c r="AS15" s="96"/>
      <c r="AT15" s="94"/>
      <c r="AU15" s="150"/>
    </row>
    <row r="16" spans="2:50" s="136" customFormat="1" ht="21" customHeight="1" x14ac:dyDescent="0.3">
      <c r="C16" s="96"/>
      <c r="D16" s="96"/>
      <c r="E16" s="96"/>
      <c r="F16" s="96"/>
      <c r="G16" s="96"/>
      <c r="H16" s="96"/>
      <c r="I16" s="96"/>
      <c r="J16" s="96"/>
      <c r="K16" s="96"/>
      <c r="T16" s="96"/>
      <c r="U16" s="96"/>
      <c r="V16" s="96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S16" s="96"/>
      <c r="AT16" s="94"/>
      <c r="AU16" s="150"/>
    </row>
    <row r="17" spans="2:48" s="136" customFormat="1" ht="24" customHeight="1" x14ac:dyDescent="0.3">
      <c r="B17" s="272" t="s">
        <v>157</v>
      </c>
      <c r="C17" s="272"/>
      <c r="D17" s="272"/>
      <c r="E17" s="272"/>
      <c r="F17" s="272"/>
      <c r="G17" s="272"/>
      <c r="H17" s="272"/>
      <c r="I17" s="271" t="s">
        <v>158</v>
      </c>
      <c r="J17" s="271"/>
      <c r="K17" s="271"/>
      <c r="L17" s="271"/>
      <c r="M17" s="271"/>
      <c r="N17" s="271"/>
      <c r="P17" s="157" t="s">
        <v>173</v>
      </c>
      <c r="Q17" s="274">
        <v>0.25</v>
      </c>
      <c r="R17" s="275"/>
      <c r="S17" s="275"/>
      <c r="T17" s="275"/>
      <c r="U17" s="275"/>
      <c r="V17" s="272" t="s">
        <v>160</v>
      </c>
      <c r="W17" s="272"/>
      <c r="X17" s="272"/>
      <c r="Y17" s="272"/>
      <c r="Z17" s="272"/>
      <c r="AA17" s="272"/>
      <c r="AB17" s="272"/>
      <c r="AC17" s="272"/>
      <c r="AD17" s="272"/>
      <c r="AE17" s="249">
        <f>SIMULADOR!B44</f>
        <v>44625</v>
      </c>
      <c r="AF17" s="273"/>
      <c r="AG17" s="273"/>
      <c r="AH17" s="273"/>
      <c r="AI17" s="273"/>
      <c r="AJ17" s="273"/>
      <c r="AK17" s="103"/>
      <c r="AL17" s="248" t="s">
        <v>166</v>
      </c>
      <c r="AM17" s="248"/>
      <c r="AN17" s="248"/>
      <c r="AO17" s="248"/>
      <c r="AP17" s="248"/>
      <c r="AQ17" s="249" t="s">
        <v>120</v>
      </c>
      <c r="AR17" s="249"/>
      <c r="AS17" s="249"/>
      <c r="AT17" s="249"/>
      <c r="AU17" s="249"/>
    </row>
    <row r="18" spans="2:48" s="136" customFormat="1" ht="7.5" customHeight="1" thickBot="1" x14ac:dyDescent="0.35">
      <c r="B18" s="96"/>
      <c r="C18" s="96"/>
      <c r="D18" s="96"/>
      <c r="E18" s="96"/>
      <c r="F18" s="96"/>
      <c r="G18" s="96"/>
      <c r="H18" s="96"/>
      <c r="I18" s="96"/>
      <c r="J18" s="96"/>
      <c r="K18" s="96"/>
      <c r="T18" s="96"/>
      <c r="U18" s="96"/>
      <c r="V18" s="96"/>
      <c r="W18" s="96"/>
      <c r="X18" s="96"/>
      <c r="Y18" s="96"/>
      <c r="Z18" s="96"/>
      <c r="AA18" s="96"/>
      <c r="AB18" s="96"/>
      <c r="AC18" s="94"/>
      <c r="AD18" s="96"/>
      <c r="AF18" s="103"/>
      <c r="AG18" s="103"/>
      <c r="AH18" s="103"/>
      <c r="AI18" s="103"/>
      <c r="AJ18" s="103"/>
      <c r="AK18" s="103"/>
      <c r="AL18" s="103"/>
      <c r="AM18" s="103"/>
      <c r="AQ18" s="96"/>
      <c r="AR18" s="96"/>
      <c r="AS18" s="96"/>
      <c r="AT18" s="94"/>
      <c r="AU18" s="96"/>
      <c r="AV18" s="96"/>
    </row>
    <row r="19" spans="2:48" s="108" customFormat="1" ht="26.1" customHeight="1" thickBot="1" x14ac:dyDescent="0.35">
      <c r="B19" s="250" t="s">
        <v>146</v>
      </c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2"/>
    </row>
    <row r="20" spans="2:48" ht="24" hidden="1" customHeight="1" outlineLevel="1" x14ac:dyDescent="0.3">
      <c r="B20" s="103" t="s">
        <v>60</v>
      </c>
      <c r="C20" s="103"/>
      <c r="D20" s="103"/>
      <c r="E20" s="103"/>
      <c r="F20" s="103"/>
      <c r="G20" s="103"/>
      <c r="H20" s="103"/>
      <c r="I20" s="103"/>
      <c r="J20" s="103"/>
      <c r="K20" s="245" t="s">
        <v>154</v>
      </c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131"/>
      <c r="AD20" s="148"/>
      <c r="AE20" s="107" t="s">
        <v>61</v>
      </c>
      <c r="AF20" s="240" t="s">
        <v>155</v>
      </c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87"/>
      <c r="AR20" s="87"/>
      <c r="AS20" s="87"/>
      <c r="AT20" s="141"/>
      <c r="AU20" s="87"/>
    </row>
    <row r="21" spans="2:48" ht="24" hidden="1" customHeight="1" outlineLevel="1" x14ac:dyDescent="0.3">
      <c r="B21" s="103" t="s">
        <v>62</v>
      </c>
      <c r="C21" s="103"/>
      <c r="D21" s="103"/>
      <c r="E21" s="103"/>
      <c r="F21" s="103"/>
      <c r="G21" s="103"/>
      <c r="H21" s="103"/>
      <c r="I21" s="103"/>
      <c r="J21" s="103"/>
      <c r="K21" s="245" t="s">
        <v>154</v>
      </c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</row>
    <row r="22" spans="2:48" ht="24" hidden="1" customHeight="1" outlineLevel="1" x14ac:dyDescent="0.3">
      <c r="B22" s="103" t="s">
        <v>63</v>
      </c>
      <c r="C22" s="103"/>
      <c r="D22" s="103"/>
      <c r="E22" s="103"/>
      <c r="F22" s="103"/>
      <c r="G22" s="103"/>
      <c r="H22" s="129" t="str">
        <f>IF([2]CAPTURA!D6="","",[2]CAPTURA!D6)</f>
        <v/>
      </c>
      <c r="I22" s="129"/>
      <c r="J22" s="129"/>
      <c r="K22" s="240" t="s">
        <v>232</v>
      </c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143"/>
      <c r="AD22" s="143"/>
      <c r="AE22" s="143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87"/>
      <c r="AR22" s="87"/>
      <c r="AS22" s="87"/>
      <c r="AT22" s="141"/>
      <c r="AU22" s="87"/>
    </row>
    <row r="23" spans="2:48" ht="24" hidden="1" customHeight="1" outlineLevel="1" x14ac:dyDescent="0.3">
      <c r="B23" s="103" t="s">
        <v>64</v>
      </c>
      <c r="C23" s="103"/>
      <c r="D23" s="103"/>
      <c r="E23" s="103"/>
      <c r="F23" s="103"/>
      <c r="G23" s="103"/>
      <c r="H23" s="103"/>
      <c r="I23" s="103"/>
      <c r="J23" s="103"/>
      <c r="K23" s="245" t="s">
        <v>152</v>
      </c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148"/>
      <c r="AC23" s="131"/>
      <c r="AD23" s="148"/>
      <c r="AE23" s="148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87"/>
      <c r="AR23" s="87"/>
      <c r="AS23" s="87"/>
      <c r="AT23" s="141"/>
      <c r="AU23" s="87"/>
    </row>
    <row r="24" spans="2:48" ht="24" hidden="1" customHeight="1" outlineLevel="1" x14ac:dyDescent="0.3">
      <c r="B24" s="103" t="s">
        <v>148</v>
      </c>
      <c r="C24" s="103"/>
      <c r="D24" s="103"/>
      <c r="E24" s="103"/>
      <c r="F24" s="103"/>
      <c r="G24" s="103"/>
      <c r="H24" s="103"/>
      <c r="I24" s="103"/>
      <c r="J24" s="143"/>
      <c r="K24" s="240" t="s">
        <v>152</v>
      </c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131"/>
      <c r="AA24" s="131"/>
      <c r="AB24" s="131"/>
      <c r="AC24" s="131"/>
      <c r="AD24" s="131"/>
      <c r="AE24" s="107" t="s">
        <v>68</v>
      </c>
      <c r="AF24" s="240" t="s">
        <v>155</v>
      </c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87"/>
      <c r="AR24" s="87"/>
      <c r="AS24" s="87"/>
      <c r="AT24" s="141"/>
      <c r="AU24" s="87"/>
    </row>
    <row r="25" spans="2:48" s="136" customFormat="1" ht="24" hidden="1" customHeight="1" outlineLevel="1" x14ac:dyDescent="0.3">
      <c r="B25" s="103" t="s">
        <v>134</v>
      </c>
      <c r="C25" s="103"/>
      <c r="D25" s="103"/>
      <c r="E25" s="103"/>
      <c r="F25" s="103"/>
      <c r="G25" s="103"/>
      <c r="H25" s="103"/>
      <c r="I25" s="103"/>
      <c r="J25" s="143"/>
      <c r="K25" s="240" t="s">
        <v>152</v>
      </c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131"/>
      <c r="AA25" s="131"/>
      <c r="AB25" s="131"/>
      <c r="AC25" s="131"/>
      <c r="AD25" s="131"/>
      <c r="AE25" s="107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87"/>
      <c r="AR25" s="87"/>
      <c r="AS25" s="87"/>
      <c r="AT25" s="141"/>
      <c r="AU25" s="87"/>
    </row>
    <row r="26" spans="2:48" s="136" customFormat="1" ht="24" hidden="1" customHeight="1" outlineLevel="1" x14ac:dyDescent="0.3">
      <c r="B26" s="103" t="s">
        <v>135</v>
      </c>
      <c r="C26" s="103"/>
      <c r="D26" s="103"/>
      <c r="E26" s="103"/>
      <c r="F26" s="103"/>
      <c r="G26" s="103"/>
      <c r="H26" s="103"/>
      <c r="I26" s="103"/>
      <c r="J26" s="230"/>
      <c r="K26" s="240" t="s">
        <v>152</v>
      </c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131"/>
      <c r="AA26" s="131"/>
      <c r="AB26" s="131"/>
      <c r="AC26" s="131"/>
      <c r="AD26" s="131"/>
      <c r="AE26" s="107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87"/>
      <c r="AR26" s="87"/>
      <c r="AS26" s="87"/>
      <c r="AT26" s="229"/>
      <c r="AU26" s="87"/>
    </row>
    <row r="27" spans="2:48" s="136" customFormat="1" ht="24" hidden="1" customHeight="1" outlineLevel="1" x14ac:dyDescent="0.3">
      <c r="B27" s="103" t="s">
        <v>248</v>
      </c>
      <c r="C27" s="103"/>
      <c r="D27" s="103"/>
      <c r="E27" s="103"/>
      <c r="F27" s="103"/>
      <c r="G27" s="103"/>
      <c r="H27" s="103"/>
      <c r="I27" s="103"/>
      <c r="J27" s="230"/>
      <c r="K27" s="240" t="s">
        <v>152</v>
      </c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131"/>
      <c r="AA27" s="131"/>
      <c r="AB27" s="131"/>
      <c r="AC27" s="131"/>
      <c r="AD27" s="131"/>
      <c r="AE27" s="107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87"/>
      <c r="AR27" s="87"/>
      <c r="AS27" s="87"/>
      <c r="AT27" s="229"/>
      <c r="AU27" s="87"/>
    </row>
    <row r="28" spans="2:48" s="136" customFormat="1" ht="24" hidden="1" customHeight="1" outlineLevel="1" x14ac:dyDescent="0.3">
      <c r="B28" s="103" t="s">
        <v>69</v>
      </c>
      <c r="C28" s="103"/>
      <c r="D28" s="103"/>
      <c r="E28" s="103"/>
      <c r="F28" s="103"/>
      <c r="G28" s="103"/>
      <c r="H28" s="103"/>
      <c r="I28" s="103"/>
      <c r="J28" s="103"/>
      <c r="K28" s="241" t="s">
        <v>232</v>
      </c>
      <c r="L28" s="241"/>
      <c r="M28" s="241"/>
      <c r="N28" s="241"/>
      <c r="O28" s="241"/>
      <c r="P28" s="241"/>
      <c r="Q28" s="241"/>
      <c r="R28" s="241"/>
      <c r="S28" s="149" t="s">
        <v>151</v>
      </c>
      <c r="T28" s="87"/>
      <c r="U28" s="87"/>
      <c r="V28" s="87"/>
      <c r="W28" s="242" t="s">
        <v>245</v>
      </c>
      <c r="X28" s="243"/>
      <c r="Y28" s="243"/>
      <c r="Z28" s="243"/>
      <c r="AA28" s="243"/>
      <c r="AB28" s="131"/>
      <c r="AC28" s="131"/>
      <c r="AD28" s="131"/>
      <c r="AE28" s="131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87"/>
      <c r="AR28" s="87"/>
      <c r="AS28" s="87"/>
      <c r="AT28" s="143"/>
      <c r="AU28" s="87"/>
    </row>
    <row r="29" spans="2:48" s="136" customFormat="1" ht="24" hidden="1" customHeight="1" outlineLevel="1" x14ac:dyDescent="0.3">
      <c r="B29" s="103" t="s">
        <v>70</v>
      </c>
      <c r="C29" s="103"/>
      <c r="D29" s="103"/>
      <c r="E29" s="103"/>
      <c r="F29" s="103"/>
      <c r="G29" s="103"/>
      <c r="H29" s="103"/>
      <c r="I29" s="103"/>
      <c r="J29" s="103"/>
      <c r="K29" s="245" t="s">
        <v>152</v>
      </c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5"/>
      <c r="W29" s="245"/>
      <c r="X29" s="245"/>
      <c r="Y29" s="245"/>
      <c r="Z29" s="245"/>
      <c r="AA29" s="131"/>
      <c r="AB29" s="131"/>
      <c r="AC29" s="131"/>
      <c r="AD29" s="131"/>
      <c r="AE29" s="107" t="s">
        <v>71</v>
      </c>
      <c r="AF29" s="240" t="s">
        <v>153</v>
      </c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87"/>
      <c r="AR29" s="87"/>
      <c r="AS29" s="87"/>
      <c r="AT29" s="141"/>
      <c r="AU29" s="87"/>
    </row>
    <row r="30" spans="2:48" s="136" customFormat="1" ht="24" hidden="1" customHeight="1" outlineLevel="1" x14ac:dyDescent="0.3">
      <c r="B30" s="103" t="s">
        <v>73</v>
      </c>
      <c r="C30" s="103"/>
      <c r="D30" s="103"/>
      <c r="E30" s="103"/>
      <c r="F30" s="103"/>
      <c r="G30" s="103"/>
      <c r="H30" s="103"/>
      <c r="I30" s="103"/>
      <c r="J30" s="103"/>
      <c r="K30" s="245" t="s">
        <v>152</v>
      </c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131"/>
      <c r="AD30" s="131"/>
      <c r="AE30" s="107" t="s">
        <v>72</v>
      </c>
      <c r="AF30" s="240" t="s">
        <v>153</v>
      </c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87"/>
      <c r="AR30" s="87"/>
      <c r="AS30" s="87"/>
      <c r="AT30" s="141"/>
      <c r="AU30" s="87"/>
    </row>
    <row r="31" spans="2:48" s="136" customFormat="1" ht="9.75" hidden="1" customHeight="1" outlineLevel="1" x14ac:dyDescent="0.3">
      <c r="AC31" s="131"/>
      <c r="AD31" s="131"/>
      <c r="AE31" s="107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43"/>
    </row>
    <row r="32" spans="2:48" ht="14.25" hidden="1" customHeight="1" outlineLevel="1" x14ac:dyDescent="0.3">
      <c r="B32" s="103" t="s">
        <v>65</v>
      </c>
      <c r="C32" s="103"/>
      <c r="D32" s="103"/>
      <c r="E32" s="103"/>
      <c r="F32" s="103"/>
      <c r="G32" s="103"/>
      <c r="H32" s="103"/>
      <c r="I32" s="103"/>
      <c r="J32" s="103"/>
      <c r="K32" s="245" t="s">
        <v>223</v>
      </c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6"/>
      <c r="Y32" s="246"/>
      <c r="Z32" s="246"/>
      <c r="AA32" s="246"/>
      <c r="AB32" s="246"/>
      <c r="AC32" s="246"/>
      <c r="AD32" s="246"/>
      <c r="AE32" s="246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109"/>
      <c r="AR32" s="87"/>
      <c r="AS32" s="240"/>
      <c r="AT32" s="240"/>
      <c r="AU32" s="240"/>
    </row>
    <row r="33" spans="2:47" ht="14.25" hidden="1" customHeight="1" outlineLevel="1" x14ac:dyDescent="0.3">
      <c r="B33" s="103" t="s">
        <v>246</v>
      </c>
      <c r="C33" s="103"/>
      <c r="D33" s="103"/>
      <c r="E33" s="103"/>
      <c r="F33" s="103"/>
      <c r="G33" s="103"/>
      <c r="H33" s="103"/>
      <c r="I33" s="103"/>
      <c r="J33" s="103"/>
      <c r="K33" s="245" t="s">
        <v>119</v>
      </c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148"/>
      <c r="AB33" s="148"/>
      <c r="AC33" s="148"/>
      <c r="AD33" s="148"/>
      <c r="AE33" s="148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87"/>
      <c r="AR33" s="87"/>
      <c r="AS33" s="87"/>
      <c r="AT33" s="141"/>
      <c r="AU33" s="87"/>
    </row>
    <row r="34" spans="2:47" s="136" customFormat="1" ht="3.75" hidden="1" customHeight="1" outlineLevel="1" x14ac:dyDescent="0.3">
      <c r="B34" s="103"/>
      <c r="C34" s="103"/>
      <c r="D34" s="103"/>
      <c r="E34" s="103"/>
      <c r="F34" s="103"/>
      <c r="G34" s="103"/>
      <c r="H34" s="103"/>
      <c r="I34" s="103"/>
      <c r="J34" s="103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8"/>
      <c r="AB34" s="148"/>
      <c r="AC34" s="148"/>
      <c r="AD34" s="148"/>
      <c r="AE34" s="148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87"/>
      <c r="AR34" s="87"/>
      <c r="AS34" s="87"/>
      <c r="AT34" s="141"/>
      <c r="AU34" s="87"/>
    </row>
    <row r="35" spans="2:47" s="136" customFormat="1" ht="38.25" hidden="1" customHeight="1" outlineLevel="1" x14ac:dyDescent="0.3">
      <c r="B35" s="246" t="s">
        <v>66</v>
      </c>
      <c r="C35" s="246"/>
      <c r="D35" s="246"/>
      <c r="E35" s="246"/>
      <c r="F35" s="246"/>
      <c r="G35" s="246"/>
      <c r="H35" s="246"/>
      <c r="I35" s="246"/>
      <c r="J35" s="103"/>
      <c r="K35" s="240" t="s">
        <v>152</v>
      </c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142"/>
      <c r="AA35" s="148"/>
      <c r="AB35" s="148"/>
      <c r="AC35" s="148"/>
      <c r="AD35" s="148"/>
      <c r="AE35" s="107" t="s">
        <v>61</v>
      </c>
      <c r="AF35" s="240" t="s">
        <v>155</v>
      </c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87"/>
      <c r="AR35" s="87"/>
      <c r="AS35" s="87"/>
      <c r="AT35" s="141"/>
      <c r="AU35" s="87"/>
    </row>
    <row r="36" spans="2:47" s="136" customFormat="1" ht="24" hidden="1" customHeight="1" outlineLevel="1" x14ac:dyDescent="0.3">
      <c r="B36" s="103" t="s">
        <v>149</v>
      </c>
      <c r="C36" s="103"/>
      <c r="D36" s="103"/>
      <c r="E36" s="103"/>
      <c r="F36" s="103"/>
      <c r="G36" s="103"/>
      <c r="H36" s="103"/>
      <c r="I36" s="103"/>
      <c r="J36" s="143"/>
      <c r="K36" s="240" t="s">
        <v>152</v>
      </c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131"/>
      <c r="AA36" s="131"/>
      <c r="AB36" s="131"/>
      <c r="AC36" s="131"/>
      <c r="AD36" s="131"/>
      <c r="AE36" s="107" t="s">
        <v>68</v>
      </c>
      <c r="AF36" s="240" t="s">
        <v>155</v>
      </c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87"/>
      <c r="AR36" s="87"/>
      <c r="AS36" s="87"/>
      <c r="AT36" s="141"/>
      <c r="AU36" s="87"/>
    </row>
    <row r="37" spans="2:47" s="136" customFormat="1" ht="24" hidden="1" customHeight="1" outlineLevel="1" x14ac:dyDescent="0.3">
      <c r="B37" s="103" t="s">
        <v>134</v>
      </c>
      <c r="C37" s="103"/>
      <c r="D37" s="103"/>
      <c r="E37" s="103"/>
      <c r="F37" s="103"/>
      <c r="G37" s="103"/>
      <c r="H37" s="103"/>
      <c r="I37" s="103"/>
      <c r="J37" s="143"/>
      <c r="K37" s="240" t="s">
        <v>152</v>
      </c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131"/>
      <c r="AA37" s="131"/>
      <c r="AB37" s="131"/>
      <c r="AC37" s="131"/>
      <c r="AD37" s="131"/>
      <c r="AE37" s="107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87"/>
      <c r="AR37" s="87"/>
      <c r="AS37" s="87"/>
      <c r="AT37" s="141"/>
      <c r="AU37" s="87"/>
    </row>
    <row r="38" spans="2:47" ht="24" hidden="1" customHeight="1" outlineLevel="1" x14ac:dyDescent="0.3">
      <c r="B38" s="103" t="s">
        <v>69</v>
      </c>
      <c r="C38" s="103"/>
      <c r="D38" s="103"/>
      <c r="E38" s="103"/>
      <c r="F38" s="103"/>
      <c r="G38" s="103"/>
      <c r="H38" s="103"/>
      <c r="I38" s="103"/>
      <c r="J38" s="103"/>
      <c r="K38" s="241" t="s">
        <v>232</v>
      </c>
      <c r="L38" s="241"/>
      <c r="M38" s="241"/>
      <c r="N38" s="241"/>
      <c r="O38" s="241"/>
      <c r="P38" s="241"/>
      <c r="Q38" s="241"/>
      <c r="R38" s="241"/>
      <c r="S38" s="149" t="s">
        <v>151</v>
      </c>
      <c r="T38" s="87"/>
      <c r="U38" s="87"/>
      <c r="V38" s="87"/>
      <c r="W38" s="242" t="s">
        <v>247</v>
      </c>
      <c r="X38" s="243"/>
      <c r="Y38" s="243"/>
      <c r="Z38" s="243"/>
      <c r="AA38" s="243"/>
      <c r="AB38" s="131"/>
      <c r="AC38" s="131"/>
      <c r="AD38" s="131"/>
      <c r="AE38" s="131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87"/>
      <c r="AR38" s="87"/>
      <c r="AS38" s="87"/>
      <c r="AT38" s="143"/>
      <c r="AU38" s="87"/>
    </row>
    <row r="39" spans="2:47" ht="24" hidden="1" customHeight="1" outlineLevel="1" x14ac:dyDescent="0.3">
      <c r="B39" s="103" t="s">
        <v>70</v>
      </c>
      <c r="C39" s="103"/>
      <c r="D39" s="103"/>
      <c r="E39" s="103"/>
      <c r="F39" s="103"/>
      <c r="G39" s="103"/>
      <c r="H39" s="103"/>
      <c r="I39" s="103"/>
      <c r="J39" s="103"/>
      <c r="K39" s="245" t="s">
        <v>152</v>
      </c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131"/>
      <c r="AB39" s="131"/>
      <c r="AC39" s="131"/>
      <c r="AD39" s="131"/>
      <c r="AE39" s="107" t="s">
        <v>71</v>
      </c>
      <c r="AF39" s="240" t="s">
        <v>153</v>
      </c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87"/>
      <c r="AR39" s="87"/>
      <c r="AS39" s="87"/>
      <c r="AT39" s="141"/>
      <c r="AU39" s="87"/>
    </row>
    <row r="40" spans="2:47" ht="24" hidden="1" customHeight="1" outlineLevel="1" x14ac:dyDescent="0.3">
      <c r="B40" s="103" t="s">
        <v>73</v>
      </c>
      <c r="C40" s="103"/>
      <c r="D40" s="103"/>
      <c r="E40" s="103"/>
      <c r="F40" s="103"/>
      <c r="G40" s="103"/>
      <c r="H40" s="103"/>
      <c r="I40" s="103"/>
      <c r="J40" s="103"/>
      <c r="K40" s="245" t="s">
        <v>152</v>
      </c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131"/>
      <c r="AC40" s="131"/>
      <c r="AD40" s="131"/>
      <c r="AE40" s="107" t="s">
        <v>72</v>
      </c>
      <c r="AF40" s="240" t="s">
        <v>153</v>
      </c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87"/>
      <c r="AR40" s="87"/>
      <c r="AS40" s="87"/>
      <c r="AT40" s="141"/>
      <c r="AU40" s="87"/>
    </row>
    <row r="41" spans="2:47" ht="9.75" hidden="1" customHeight="1" outlineLevel="1" thickBot="1" x14ac:dyDescent="0.35"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41"/>
    </row>
    <row r="42" spans="2:47" s="108" customFormat="1" ht="26.1" customHeight="1" collapsed="1" thickBot="1" x14ac:dyDescent="0.35">
      <c r="B42" s="250" t="s">
        <v>167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2"/>
    </row>
    <row r="43" spans="2:47" s="136" customFormat="1" ht="24" customHeight="1" outlineLevel="1" x14ac:dyDescent="0.3">
      <c r="B43" s="103" t="s">
        <v>168</v>
      </c>
      <c r="C43" s="103"/>
      <c r="D43" s="103"/>
      <c r="E43" s="103"/>
      <c r="F43" s="103"/>
      <c r="G43" s="103"/>
      <c r="H43" s="103"/>
      <c r="I43" s="103"/>
      <c r="J43" s="103"/>
      <c r="K43" s="245" t="s">
        <v>154</v>
      </c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131"/>
      <c r="AD43" s="148"/>
      <c r="AE43" s="107" t="s">
        <v>61</v>
      </c>
      <c r="AF43" s="240" t="s">
        <v>155</v>
      </c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87"/>
      <c r="AR43" s="87"/>
      <c r="AS43" s="87"/>
      <c r="AT43" s="145"/>
      <c r="AU43" s="87"/>
    </row>
    <row r="44" spans="2:47" s="136" customFormat="1" ht="24" customHeight="1" outlineLevel="1" x14ac:dyDescent="0.3">
      <c r="B44" s="103" t="s">
        <v>62</v>
      </c>
      <c r="C44" s="103"/>
      <c r="D44" s="103"/>
      <c r="E44" s="103"/>
      <c r="F44" s="103"/>
      <c r="G44" s="103"/>
      <c r="H44" s="103"/>
      <c r="I44" s="103"/>
      <c r="J44" s="103"/>
      <c r="K44" s="245" t="s">
        <v>154</v>
      </c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5"/>
      <c r="AD44" s="245"/>
      <c r="AE44" s="245"/>
      <c r="AF44" s="245"/>
      <c r="AG44" s="245"/>
      <c r="AH44" s="245"/>
      <c r="AI44" s="245"/>
      <c r="AJ44" s="245"/>
      <c r="AK44" s="245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</row>
    <row r="45" spans="2:47" s="136" customFormat="1" ht="24" customHeight="1" outlineLevel="1" x14ac:dyDescent="0.3">
      <c r="B45" s="103" t="s">
        <v>63</v>
      </c>
      <c r="C45" s="103"/>
      <c r="D45" s="103"/>
      <c r="E45" s="103"/>
      <c r="F45" s="103"/>
      <c r="G45" s="103"/>
      <c r="H45" s="129"/>
      <c r="I45" s="129"/>
      <c r="J45" s="129"/>
      <c r="K45" s="240" t="s">
        <v>232</v>
      </c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146"/>
      <c r="AD45" s="146"/>
      <c r="AE45" s="146"/>
      <c r="AF45" s="240"/>
      <c r="AG45" s="240"/>
      <c r="AH45" s="240"/>
      <c r="AI45" s="240"/>
      <c r="AJ45" s="240"/>
      <c r="AK45" s="240"/>
      <c r="AL45" s="240"/>
      <c r="AM45" s="240"/>
      <c r="AN45" s="240"/>
      <c r="AO45" s="240"/>
      <c r="AP45" s="240"/>
      <c r="AQ45" s="87"/>
      <c r="AR45" s="87"/>
      <c r="AS45" s="87"/>
      <c r="AT45" s="145"/>
      <c r="AU45" s="87"/>
    </row>
    <row r="46" spans="2:47" s="136" customFormat="1" ht="24" customHeight="1" outlineLevel="1" x14ac:dyDescent="0.3">
      <c r="B46" s="103" t="s">
        <v>64</v>
      </c>
      <c r="C46" s="103"/>
      <c r="D46" s="103"/>
      <c r="E46" s="103"/>
      <c r="F46" s="103"/>
      <c r="G46" s="103"/>
      <c r="H46" s="103"/>
      <c r="I46" s="103"/>
      <c r="J46" s="103"/>
      <c r="K46" s="245" t="s">
        <v>152</v>
      </c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  <c r="AB46" s="148"/>
      <c r="AC46" s="131"/>
      <c r="AD46" s="148"/>
      <c r="AE46" s="148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87"/>
      <c r="AR46" s="87"/>
      <c r="AS46" s="87"/>
      <c r="AT46" s="145"/>
      <c r="AU46" s="87"/>
    </row>
    <row r="47" spans="2:47" s="136" customFormat="1" ht="24" customHeight="1" outlineLevel="1" x14ac:dyDescent="0.3">
      <c r="B47" s="103" t="s">
        <v>67</v>
      </c>
      <c r="C47" s="103"/>
      <c r="D47" s="103"/>
      <c r="E47" s="103"/>
      <c r="F47" s="103"/>
      <c r="G47" s="103"/>
      <c r="H47" s="103"/>
      <c r="I47" s="103"/>
      <c r="J47" s="146"/>
      <c r="K47" s="240" t="s">
        <v>152</v>
      </c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131"/>
      <c r="AA47" s="131"/>
      <c r="AB47" s="131"/>
      <c r="AC47" s="131"/>
      <c r="AD47" s="131"/>
      <c r="AE47" s="107" t="s">
        <v>68</v>
      </c>
      <c r="AF47" s="240" t="s">
        <v>153</v>
      </c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87"/>
      <c r="AR47" s="87"/>
      <c r="AS47" s="87"/>
      <c r="AT47" s="145"/>
      <c r="AU47" s="87"/>
    </row>
    <row r="48" spans="2:47" s="136" customFormat="1" ht="24" customHeight="1" outlineLevel="1" x14ac:dyDescent="0.3">
      <c r="B48" s="103" t="s">
        <v>134</v>
      </c>
      <c r="C48" s="103"/>
      <c r="D48" s="103"/>
      <c r="E48" s="103"/>
      <c r="F48" s="103"/>
      <c r="G48" s="103"/>
      <c r="H48" s="103"/>
      <c r="I48" s="103"/>
      <c r="J48" s="146"/>
      <c r="K48" s="240" t="s">
        <v>152</v>
      </c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131"/>
      <c r="AA48" s="131"/>
      <c r="AB48" s="131"/>
      <c r="AC48" s="131"/>
      <c r="AD48" s="131"/>
      <c r="AE48" s="107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87"/>
      <c r="AR48" s="87"/>
      <c r="AS48" s="87"/>
      <c r="AT48" s="145"/>
      <c r="AU48" s="87"/>
    </row>
    <row r="49" spans="2:47" s="136" customFormat="1" ht="24" customHeight="1" outlineLevel="1" x14ac:dyDescent="0.3">
      <c r="B49" s="103" t="s">
        <v>135</v>
      </c>
      <c r="C49" s="103"/>
      <c r="D49" s="103"/>
      <c r="E49" s="103"/>
      <c r="F49" s="103"/>
      <c r="G49" s="103"/>
      <c r="H49" s="103"/>
      <c r="I49" s="103"/>
      <c r="J49" s="230"/>
      <c r="K49" s="240" t="s">
        <v>152</v>
      </c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131"/>
      <c r="AA49" s="131"/>
      <c r="AB49" s="131"/>
      <c r="AC49" s="131"/>
      <c r="AD49" s="131"/>
      <c r="AE49" s="107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87"/>
      <c r="AR49" s="87"/>
      <c r="AS49" s="87"/>
      <c r="AT49" s="229"/>
      <c r="AU49" s="87"/>
    </row>
    <row r="50" spans="2:47" s="136" customFormat="1" ht="24" customHeight="1" outlineLevel="1" x14ac:dyDescent="0.3">
      <c r="B50" s="103" t="s">
        <v>248</v>
      </c>
      <c r="C50" s="103"/>
      <c r="D50" s="103"/>
      <c r="E50" s="103"/>
      <c r="F50" s="103"/>
      <c r="G50" s="103"/>
      <c r="H50" s="103"/>
      <c r="I50" s="103"/>
      <c r="J50" s="230"/>
      <c r="K50" s="240" t="s">
        <v>152</v>
      </c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131"/>
      <c r="AA50" s="131"/>
      <c r="AB50" s="131"/>
      <c r="AC50" s="131"/>
      <c r="AD50" s="131"/>
      <c r="AE50" s="107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87"/>
      <c r="AR50" s="87"/>
      <c r="AS50" s="87"/>
      <c r="AT50" s="229"/>
      <c r="AU50" s="87"/>
    </row>
    <row r="51" spans="2:47" s="136" customFormat="1" ht="24" customHeight="1" outlineLevel="1" x14ac:dyDescent="0.3">
      <c r="B51" s="103" t="s">
        <v>69</v>
      </c>
      <c r="C51" s="103"/>
      <c r="D51" s="103"/>
      <c r="E51" s="103"/>
      <c r="F51" s="103"/>
      <c r="G51" s="103"/>
      <c r="H51" s="103"/>
      <c r="I51" s="103"/>
      <c r="J51" s="103"/>
      <c r="K51" s="241" t="s">
        <v>232</v>
      </c>
      <c r="L51" s="241"/>
      <c r="M51" s="241"/>
      <c r="N51" s="241"/>
      <c r="O51" s="241"/>
      <c r="P51" s="241"/>
      <c r="Q51" s="241"/>
      <c r="R51" s="241"/>
      <c r="S51" s="149" t="s">
        <v>151</v>
      </c>
      <c r="T51" s="87"/>
      <c r="U51" s="87"/>
      <c r="V51" s="87"/>
      <c r="W51" s="242" t="s">
        <v>247</v>
      </c>
      <c r="X51" s="243"/>
      <c r="Y51" s="243"/>
      <c r="Z51" s="243"/>
      <c r="AA51" s="243"/>
      <c r="AB51" s="131"/>
      <c r="AC51" s="131"/>
      <c r="AD51" s="131"/>
      <c r="AE51" s="131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87"/>
      <c r="AR51" s="87"/>
      <c r="AS51" s="87"/>
      <c r="AT51" s="146"/>
      <c r="AU51" s="87"/>
    </row>
    <row r="52" spans="2:47" s="136" customFormat="1" ht="24" customHeight="1" outlineLevel="1" x14ac:dyDescent="0.3">
      <c r="B52" s="103" t="s">
        <v>70</v>
      </c>
      <c r="C52" s="103"/>
      <c r="D52" s="103"/>
      <c r="E52" s="103"/>
      <c r="F52" s="103"/>
      <c r="G52" s="103"/>
      <c r="H52" s="103"/>
      <c r="I52" s="103"/>
      <c r="J52" s="103"/>
      <c r="K52" s="245" t="s">
        <v>152</v>
      </c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131"/>
      <c r="AB52" s="131"/>
      <c r="AC52" s="131"/>
      <c r="AD52" s="131"/>
      <c r="AE52" s="107" t="s">
        <v>71</v>
      </c>
      <c r="AF52" s="240" t="s">
        <v>153</v>
      </c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87"/>
      <c r="AR52" s="87"/>
      <c r="AS52" s="87"/>
      <c r="AT52" s="145"/>
      <c r="AU52" s="87"/>
    </row>
    <row r="53" spans="2:47" s="136" customFormat="1" ht="24" customHeight="1" outlineLevel="1" x14ac:dyDescent="0.3">
      <c r="B53" s="103" t="s">
        <v>73</v>
      </c>
      <c r="C53" s="103"/>
      <c r="D53" s="103"/>
      <c r="E53" s="103"/>
      <c r="F53" s="103"/>
      <c r="G53" s="103"/>
      <c r="H53" s="103"/>
      <c r="I53" s="103"/>
      <c r="J53" s="103"/>
      <c r="K53" s="245" t="s">
        <v>152</v>
      </c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131"/>
      <c r="AD53" s="131"/>
      <c r="AE53" s="107" t="s">
        <v>72</v>
      </c>
      <c r="AF53" s="240" t="s">
        <v>153</v>
      </c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87"/>
      <c r="AR53" s="87"/>
      <c r="AS53" s="87"/>
      <c r="AT53" s="145"/>
      <c r="AU53" s="87"/>
    </row>
    <row r="54" spans="2:47" s="136" customFormat="1" ht="9.75" customHeight="1" outlineLevel="1" x14ac:dyDescent="0.3">
      <c r="AC54" s="131"/>
      <c r="AD54" s="131"/>
      <c r="AE54" s="107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46"/>
    </row>
    <row r="55" spans="2:47" s="136" customFormat="1" ht="14.25" customHeight="1" outlineLevel="1" x14ac:dyDescent="0.3">
      <c r="B55" s="103" t="s">
        <v>65</v>
      </c>
      <c r="C55" s="103"/>
      <c r="D55" s="103"/>
      <c r="E55" s="103"/>
      <c r="F55" s="103"/>
      <c r="G55" s="103"/>
      <c r="H55" s="103"/>
      <c r="I55" s="103"/>
      <c r="J55" s="103"/>
      <c r="K55" s="245" t="s">
        <v>223</v>
      </c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6"/>
      <c r="Y55" s="246"/>
      <c r="Z55" s="246"/>
      <c r="AA55" s="246"/>
      <c r="AB55" s="246"/>
      <c r="AC55" s="246"/>
      <c r="AD55" s="246"/>
      <c r="AE55" s="246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109"/>
      <c r="AR55" s="87"/>
      <c r="AS55" s="240"/>
      <c r="AT55" s="240"/>
      <c r="AU55" s="240"/>
    </row>
    <row r="56" spans="2:47" s="136" customFormat="1" ht="14.25" customHeight="1" outlineLevel="1" x14ac:dyDescent="0.3">
      <c r="B56" s="103" t="s">
        <v>246</v>
      </c>
      <c r="C56" s="103"/>
      <c r="D56" s="103"/>
      <c r="E56" s="103"/>
      <c r="F56" s="103"/>
      <c r="G56" s="103"/>
      <c r="H56" s="103"/>
      <c r="I56" s="103"/>
      <c r="J56" s="103"/>
      <c r="K56" s="245" t="s">
        <v>119</v>
      </c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148"/>
      <c r="AB56" s="148"/>
      <c r="AC56" s="148"/>
      <c r="AD56" s="148"/>
      <c r="AE56" s="148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87"/>
      <c r="AR56" s="87"/>
      <c r="AS56" s="87"/>
      <c r="AT56" s="145"/>
      <c r="AU56" s="87"/>
    </row>
    <row r="57" spans="2:47" s="136" customFormat="1" ht="6" customHeight="1" outlineLevel="1" x14ac:dyDescent="0.3">
      <c r="B57" s="103"/>
      <c r="C57" s="103"/>
      <c r="D57" s="103"/>
      <c r="E57" s="103"/>
      <c r="F57" s="103"/>
      <c r="G57" s="103"/>
      <c r="H57" s="103"/>
      <c r="I57" s="103"/>
      <c r="J57" s="103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8"/>
      <c r="AB57" s="148"/>
      <c r="AC57" s="148"/>
      <c r="AD57" s="148"/>
      <c r="AE57" s="148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87"/>
      <c r="AR57" s="87"/>
      <c r="AS57" s="87"/>
      <c r="AT57" s="145"/>
      <c r="AU57" s="87"/>
    </row>
    <row r="58" spans="2:47" s="136" customFormat="1" ht="24" customHeight="1" outlineLevel="1" x14ac:dyDescent="0.3">
      <c r="B58" s="247" t="s">
        <v>169</v>
      </c>
      <c r="C58" s="247"/>
      <c r="D58" s="247"/>
      <c r="E58" s="247"/>
      <c r="F58" s="247"/>
      <c r="G58" s="247"/>
      <c r="H58" s="247"/>
      <c r="I58" s="247"/>
      <c r="J58" s="103"/>
      <c r="K58" s="240" t="s">
        <v>152</v>
      </c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144"/>
      <c r="AA58" s="148"/>
      <c r="AB58" s="148"/>
      <c r="AC58" s="148"/>
      <c r="AD58" s="148"/>
      <c r="AE58" s="107" t="s">
        <v>61</v>
      </c>
      <c r="AF58" s="240" t="s">
        <v>155</v>
      </c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87"/>
      <c r="AR58" s="87"/>
      <c r="AS58" s="87"/>
      <c r="AT58" s="145"/>
      <c r="AU58" s="87"/>
    </row>
    <row r="59" spans="2:47" s="136" customFormat="1" ht="24" customHeight="1" outlineLevel="1" x14ac:dyDescent="0.3">
      <c r="B59" s="103" t="s">
        <v>67</v>
      </c>
      <c r="C59" s="103"/>
      <c r="D59" s="103"/>
      <c r="E59" s="103"/>
      <c r="F59" s="103"/>
      <c r="G59" s="103"/>
      <c r="H59" s="103"/>
      <c r="I59" s="103"/>
      <c r="J59" s="146"/>
      <c r="K59" s="240" t="s">
        <v>152</v>
      </c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131"/>
      <c r="AA59" s="131"/>
      <c r="AB59" s="131"/>
      <c r="AC59" s="131"/>
      <c r="AD59" s="131"/>
      <c r="AE59" s="107" t="s">
        <v>68</v>
      </c>
      <c r="AF59" s="240" t="s">
        <v>153</v>
      </c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87"/>
      <c r="AR59" s="87"/>
      <c r="AS59" s="87"/>
      <c r="AT59" s="145"/>
      <c r="AU59" s="87"/>
    </row>
    <row r="60" spans="2:47" s="136" customFormat="1" ht="24" customHeight="1" outlineLevel="1" x14ac:dyDescent="0.3">
      <c r="B60" s="103" t="s">
        <v>134</v>
      </c>
      <c r="C60" s="103"/>
      <c r="D60" s="103"/>
      <c r="E60" s="103"/>
      <c r="F60" s="103"/>
      <c r="G60" s="103"/>
      <c r="H60" s="103"/>
      <c r="I60" s="103"/>
      <c r="J60" s="146"/>
      <c r="K60" s="240" t="s">
        <v>152</v>
      </c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131"/>
      <c r="AA60" s="131"/>
      <c r="AB60" s="131"/>
      <c r="AC60" s="131"/>
      <c r="AD60" s="131"/>
      <c r="AE60" s="107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87"/>
      <c r="AR60" s="87"/>
      <c r="AS60" s="87"/>
      <c r="AT60" s="145"/>
      <c r="AU60" s="87"/>
    </row>
    <row r="61" spans="2:47" s="136" customFormat="1" ht="24" customHeight="1" outlineLevel="1" x14ac:dyDescent="0.3">
      <c r="B61" s="103" t="s">
        <v>135</v>
      </c>
      <c r="C61" s="103"/>
      <c r="D61" s="103"/>
      <c r="E61" s="103"/>
      <c r="F61" s="103"/>
      <c r="G61" s="103"/>
      <c r="H61" s="103"/>
      <c r="I61" s="103"/>
      <c r="J61" s="230"/>
      <c r="K61" s="240" t="s">
        <v>152</v>
      </c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131"/>
      <c r="AA61" s="131"/>
      <c r="AB61" s="131"/>
      <c r="AC61" s="131"/>
      <c r="AD61" s="131"/>
      <c r="AE61" s="107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87"/>
      <c r="AR61" s="87"/>
      <c r="AS61" s="87"/>
      <c r="AT61" s="229"/>
      <c r="AU61" s="87"/>
    </row>
    <row r="62" spans="2:47" s="136" customFormat="1" ht="24" customHeight="1" outlineLevel="1" x14ac:dyDescent="0.3">
      <c r="B62" s="103" t="s">
        <v>248</v>
      </c>
      <c r="C62" s="103"/>
      <c r="D62" s="103"/>
      <c r="E62" s="103"/>
      <c r="F62" s="103"/>
      <c r="G62" s="103"/>
      <c r="H62" s="103"/>
      <c r="I62" s="103"/>
      <c r="J62" s="230"/>
      <c r="K62" s="240" t="s">
        <v>152</v>
      </c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131"/>
      <c r="AA62" s="131"/>
      <c r="AB62" s="131"/>
      <c r="AC62" s="131"/>
      <c r="AD62" s="131"/>
      <c r="AE62" s="107"/>
      <c r="AF62" s="229"/>
      <c r="AG62" s="229"/>
      <c r="AH62" s="229"/>
      <c r="AI62" s="229"/>
      <c r="AJ62" s="229"/>
      <c r="AK62" s="229"/>
      <c r="AL62" s="229"/>
      <c r="AM62" s="229"/>
      <c r="AN62" s="229"/>
      <c r="AO62" s="229"/>
      <c r="AP62" s="229"/>
      <c r="AQ62" s="87"/>
      <c r="AR62" s="87"/>
      <c r="AS62" s="87"/>
      <c r="AT62" s="229"/>
      <c r="AU62" s="87"/>
    </row>
    <row r="63" spans="2:47" s="136" customFormat="1" ht="24" customHeight="1" outlineLevel="1" x14ac:dyDescent="0.3">
      <c r="B63" s="103" t="s">
        <v>69</v>
      </c>
      <c r="C63" s="103"/>
      <c r="D63" s="103"/>
      <c r="E63" s="103"/>
      <c r="F63" s="103"/>
      <c r="G63" s="103"/>
      <c r="H63" s="103"/>
      <c r="I63" s="103"/>
      <c r="J63" s="103"/>
      <c r="K63" s="241" t="s">
        <v>232</v>
      </c>
      <c r="L63" s="241"/>
      <c r="M63" s="241"/>
      <c r="N63" s="241"/>
      <c r="O63" s="241"/>
      <c r="P63" s="241"/>
      <c r="Q63" s="241"/>
      <c r="R63" s="241"/>
      <c r="S63" s="149" t="s">
        <v>151</v>
      </c>
      <c r="T63" s="87"/>
      <c r="U63" s="87"/>
      <c r="V63" s="87"/>
      <c r="W63" s="242" t="s">
        <v>247</v>
      </c>
      <c r="X63" s="243"/>
      <c r="Y63" s="243"/>
      <c r="Z63" s="243"/>
      <c r="AA63" s="243"/>
      <c r="AB63" s="131"/>
      <c r="AC63" s="131"/>
      <c r="AD63" s="131"/>
      <c r="AE63" s="131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87"/>
      <c r="AR63" s="87"/>
      <c r="AS63" s="87"/>
      <c r="AT63" s="146"/>
      <c r="AU63" s="87"/>
    </row>
    <row r="64" spans="2:47" s="136" customFormat="1" ht="24" customHeight="1" outlineLevel="1" x14ac:dyDescent="0.3">
      <c r="B64" s="103" t="s">
        <v>70</v>
      </c>
      <c r="C64" s="103"/>
      <c r="D64" s="103"/>
      <c r="E64" s="103"/>
      <c r="F64" s="103"/>
      <c r="G64" s="103"/>
      <c r="H64" s="103"/>
      <c r="I64" s="103"/>
      <c r="J64" s="103"/>
      <c r="K64" s="245" t="s">
        <v>152</v>
      </c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131"/>
      <c r="AB64" s="131"/>
      <c r="AC64" s="131"/>
      <c r="AD64" s="131"/>
      <c r="AE64" s="107" t="s">
        <v>71</v>
      </c>
      <c r="AF64" s="240" t="s">
        <v>153</v>
      </c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87"/>
      <c r="AR64" s="87"/>
      <c r="AS64" s="87"/>
      <c r="AT64" s="145"/>
      <c r="AU64" s="87"/>
    </row>
    <row r="65" spans="2:47" s="136" customFormat="1" ht="24" customHeight="1" outlineLevel="1" x14ac:dyDescent="0.3">
      <c r="B65" s="103" t="s">
        <v>73</v>
      </c>
      <c r="C65" s="103"/>
      <c r="D65" s="103"/>
      <c r="E65" s="103"/>
      <c r="F65" s="103"/>
      <c r="G65" s="103"/>
      <c r="H65" s="103"/>
      <c r="I65" s="103"/>
      <c r="J65" s="103"/>
      <c r="K65" s="245" t="s">
        <v>152</v>
      </c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131"/>
      <c r="AC65" s="131"/>
      <c r="AD65" s="131"/>
      <c r="AE65" s="107" t="s">
        <v>72</v>
      </c>
      <c r="AF65" s="240" t="s">
        <v>153</v>
      </c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87"/>
      <c r="AR65" s="87"/>
      <c r="AS65" s="87"/>
      <c r="AT65" s="145"/>
      <c r="AU65" s="87"/>
    </row>
    <row r="66" spans="2:47" s="136" customFormat="1" ht="9.75" customHeight="1" outlineLevel="1" thickBot="1" x14ac:dyDescent="0.35"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45"/>
    </row>
    <row r="67" spans="2:47" s="147" customFormat="1" ht="26.1" customHeight="1" thickBot="1" x14ac:dyDescent="0.35">
      <c r="B67" s="250" t="s">
        <v>147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  <c r="AS67" s="251"/>
      <c r="AT67" s="251"/>
      <c r="AU67" s="252"/>
    </row>
    <row r="68" spans="2:47" s="136" customFormat="1" ht="24" hidden="1" customHeight="1" outlineLevel="1" x14ac:dyDescent="0.3">
      <c r="B68" s="103" t="s">
        <v>60</v>
      </c>
      <c r="C68" s="103"/>
      <c r="D68" s="103"/>
      <c r="E68" s="103"/>
      <c r="F68" s="103"/>
      <c r="G68" s="103"/>
      <c r="H68" s="103"/>
      <c r="I68" s="103"/>
      <c r="J68" s="103"/>
      <c r="K68" s="245" t="s">
        <v>152</v>
      </c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131"/>
      <c r="AD68" s="148"/>
      <c r="AE68" s="107" t="s">
        <v>61</v>
      </c>
      <c r="AF68" s="240" t="s">
        <v>159</v>
      </c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87"/>
      <c r="AR68" s="87"/>
      <c r="AS68" s="87"/>
      <c r="AT68" s="141"/>
      <c r="AU68" s="87"/>
    </row>
    <row r="69" spans="2:47" s="136" customFormat="1" ht="24" hidden="1" customHeight="1" outlineLevel="1" x14ac:dyDescent="0.3">
      <c r="B69" s="103" t="s">
        <v>62</v>
      </c>
      <c r="C69" s="103"/>
      <c r="D69" s="103"/>
      <c r="E69" s="103"/>
      <c r="F69" s="103"/>
      <c r="G69" s="103"/>
      <c r="H69" s="103"/>
      <c r="I69" s="103"/>
      <c r="J69" s="103"/>
      <c r="K69" s="245" t="s">
        <v>152</v>
      </c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</row>
    <row r="70" spans="2:47" s="136" customFormat="1" ht="24" hidden="1" customHeight="1" outlineLevel="1" x14ac:dyDescent="0.3">
      <c r="B70" s="103"/>
      <c r="C70" s="103"/>
      <c r="D70" s="103"/>
      <c r="E70" s="103"/>
      <c r="F70" s="103"/>
      <c r="G70" s="103"/>
      <c r="H70" s="103"/>
      <c r="I70" s="103"/>
      <c r="J70" s="103"/>
      <c r="K70" s="245" t="s">
        <v>152</v>
      </c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131"/>
      <c r="AD70" s="131"/>
      <c r="AE70" s="107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43"/>
    </row>
    <row r="71" spans="2:47" s="136" customFormat="1" ht="24" hidden="1" customHeight="1" outlineLevel="1" x14ac:dyDescent="0.3">
      <c r="B71" s="103" t="s">
        <v>64</v>
      </c>
      <c r="C71" s="103"/>
      <c r="D71" s="103"/>
      <c r="E71" s="103"/>
      <c r="F71" s="103"/>
      <c r="G71" s="103"/>
      <c r="H71" s="103"/>
      <c r="I71" s="103"/>
      <c r="J71" s="103"/>
      <c r="K71" s="245" t="s">
        <v>152</v>
      </c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131"/>
      <c r="AD71" s="131"/>
      <c r="AE71" s="107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43"/>
    </row>
    <row r="72" spans="2:47" s="136" customFormat="1" ht="24" hidden="1" customHeight="1" outlineLevel="1" x14ac:dyDescent="0.3">
      <c r="B72" s="103" t="s">
        <v>135</v>
      </c>
      <c r="C72" s="103"/>
      <c r="D72" s="103"/>
      <c r="E72" s="103"/>
      <c r="F72" s="103"/>
      <c r="G72" s="103"/>
      <c r="H72" s="103"/>
      <c r="I72" s="103"/>
      <c r="J72" s="103"/>
      <c r="K72" s="245" t="s">
        <v>152</v>
      </c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131"/>
      <c r="AD72" s="131"/>
      <c r="AE72" s="107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43"/>
    </row>
    <row r="73" spans="2:47" s="136" customFormat="1" ht="24" hidden="1" customHeight="1" outlineLevel="1" x14ac:dyDescent="0.3">
      <c r="B73" s="103" t="s">
        <v>136</v>
      </c>
      <c r="C73" s="103"/>
      <c r="D73" s="103"/>
      <c r="E73" s="103"/>
      <c r="F73" s="103"/>
      <c r="G73" s="103"/>
      <c r="H73" s="103"/>
      <c r="I73" s="103"/>
      <c r="J73" s="103"/>
      <c r="K73" s="245" t="s">
        <v>152</v>
      </c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131"/>
      <c r="AD73" s="131"/>
      <c r="AE73" s="107" t="s">
        <v>137</v>
      </c>
      <c r="AF73" s="240" t="s">
        <v>159</v>
      </c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103"/>
      <c r="AR73" s="103"/>
      <c r="AS73" s="103"/>
      <c r="AT73" s="103"/>
      <c r="AU73" s="143"/>
    </row>
    <row r="74" spans="2:47" s="136" customFormat="1" ht="24" hidden="1" customHeight="1" outlineLevel="1" x14ac:dyDescent="0.3">
      <c r="B74" s="283" t="s">
        <v>138</v>
      </c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283"/>
      <c r="AH74" s="283"/>
      <c r="AI74" s="283"/>
      <c r="AJ74" s="283"/>
      <c r="AK74" s="283"/>
      <c r="AL74" s="283"/>
      <c r="AM74" s="283"/>
      <c r="AN74" s="283"/>
      <c r="AO74" s="283"/>
      <c r="AP74" s="283"/>
      <c r="AQ74" s="283"/>
      <c r="AR74" s="283"/>
      <c r="AS74" s="283"/>
      <c r="AT74" s="283"/>
    </row>
    <row r="75" spans="2:47" s="136" customFormat="1" ht="24" hidden="1" customHeight="1" outlineLevel="1" x14ac:dyDescent="0.3">
      <c r="B75" s="103" t="s">
        <v>139</v>
      </c>
      <c r="C75" s="103"/>
      <c r="D75" s="103"/>
      <c r="E75" s="103"/>
      <c r="F75" s="103"/>
      <c r="G75" s="103"/>
      <c r="H75" s="103"/>
      <c r="I75" s="103"/>
      <c r="J75" s="103"/>
      <c r="K75" s="245" t="s">
        <v>152</v>
      </c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131"/>
      <c r="AD75" s="109" t="s">
        <v>140</v>
      </c>
      <c r="AE75" s="107"/>
      <c r="AF75" s="103"/>
      <c r="AG75" s="103"/>
      <c r="AH75" s="103"/>
      <c r="AI75" s="103"/>
      <c r="AJ75" s="103"/>
      <c r="AK75" s="240" t="s">
        <v>159</v>
      </c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</row>
    <row r="76" spans="2:47" s="136" customFormat="1" ht="24" hidden="1" customHeight="1" outlineLevel="1" x14ac:dyDescent="0.3">
      <c r="B76" s="103" t="s">
        <v>141</v>
      </c>
      <c r="C76" s="103"/>
      <c r="D76" s="103"/>
      <c r="E76" s="103"/>
      <c r="F76" s="103"/>
      <c r="G76" s="103"/>
      <c r="H76" s="103"/>
      <c r="I76" s="103"/>
      <c r="J76" s="103"/>
      <c r="K76" s="245" t="s">
        <v>152</v>
      </c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131"/>
      <c r="AD76" s="109" t="s">
        <v>142</v>
      </c>
      <c r="AE76" s="107"/>
      <c r="AF76" s="103"/>
      <c r="AG76" s="103"/>
      <c r="AH76" s="103"/>
      <c r="AI76" s="103"/>
      <c r="AJ76" s="103"/>
      <c r="AK76" s="240" t="s">
        <v>159</v>
      </c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</row>
    <row r="77" spans="2:47" s="136" customFormat="1" ht="24" hidden="1" customHeight="1" outlineLevel="1" x14ac:dyDescent="0.3">
      <c r="B77" s="103" t="s">
        <v>143</v>
      </c>
      <c r="C77" s="103"/>
      <c r="D77" s="103"/>
      <c r="E77" s="103"/>
      <c r="F77" s="103"/>
      <c r="G77" s="103"/>
      <c r="H77" s="103"/>
      <c r="I77" s="103"/>
      <c r="J77" s="103"/>
      <c r="K77" s="245" t="s">
        <v>152</v>
      </c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131"/>
      <c r="AD77" s="109" t="s">
        <v>144</v>
      </c>
      <c r="AE77" s="107"/>
      <c r="AF77" s="103"/>
      <c r="AG77" s="103"/>
      <c r="AH77" s="103"/>
      <c r="AI77" s="103"/>
      <c r="AJ77" s="103"/>
      <c r="AK77" s="240" t="s">
        <v>159</v>
      </c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</row>
    <row r="78" spans="2:47" s="136" customFormat="1" ht="24" hidden="1" customHeight="1" outlineLevel="1" x14ac:dyDescent="0.3">
      <c r="B78" s="103" t="s">
        <v>145</v>
      </c>
      <c r="C78" s="103"/>
      <c r="D78" s="103"/>
      <c r="E78" s="103"/>
      <c r="F78" s="103"/>
      <c r="G78" s="103"/>
      <c r="H78" s="103"/>
      <c r="I78" s="103"/>
      <c r="J78" s="103"/>
      <c r="K78" s="245" t="s">
        <v>152</v>
      </c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131"/>
      <c r="AD78" s="131"/>
      <c r="AE78" s="107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43"/>
    </row>
    <row r="79" spans="2:47" s="136" customFormat="1" ht="24" hidden="1" customHeight="1" outlineLevel="1" x14ac:dyDescent="0.3">
      <c r="B79" s="103"/>
      <c r="C79" s="103"/>
      <c r="D79" s="103"/>
      <c r="E79" s="103"/>
      <c r="F79" s="103"/>
      <c r="G79" s="103"/>
      <c r="H79" s="103"/>
      <c r="I79" s="103"/>
      <c r="J79" s="103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31"/>
      <c r="AD79" s="131"/>
      <c r="AE79" s="107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43"/>
    </row>
    <row r="80" spans="2:47" s="136" customFormat="1" ht="24" hidden="1" customHeight="1" outlineLevel="1" x14ac:dyDescent="0.3">
      <c r="B80" s="103" t="s">
        <v>161</v>
      </c>
      <c r="C80" s="103"/>
      <c r="D80" s="103"/>
      <c r="E80" s="103"/>
      <c r="F80" s="103"/>
      <c r="G80" s="103"/>
      <c r="H80" s="103"/>
      <c r="I80" s="103"/>
      <c r="J80" s="103"/>
      <c r="K80" s="245" t="s">
        <v>152</v>
      </c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131"/>
      <c r="AD80" s="131"/>
      <c r="AE80" s="107" t="s">
        <v>61</v>
      </c>
      <c r="AF80" s="240" t="s">
        <v>155</v>
      </c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103"/>
      <c r="AR80" s="103"/>
      <c r="AS80" s="103"/>
      <c r="AT80" s="103"/>
      <c r="AU80" s="143"/>
    </row>
    <row r="81" spans="2:47" s="136" customFormat="1" ht="24" hidden="1" customHeight="1" outlineLevel="1" x14ac:dyDescent="0.3">
      <c r="B81" s="103" t="s">
        <v>64</v>
      </c>
      <c r="C81" s="103"/>
      <c r="D81" s="103"/>
      <c r="E81" s="103"/>
      <c r="F81" s="103"/>
      <c r="G81" s="103"/>
      <c r="H81" s="103"/>
      <c r="I81" s="103"/>
      <c r="J81" s="103"/>
      <c r="K81" s="245" t="s">
        <v>152</v>
      </c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131"/>
      <c r="AB81" s="131"/>
      <c r="AC81" s="131"/>
      <c r="AD81" s="131"/>
      <c r="AE81" s="107" t="s">
        <v>68</v>
      </c>
      <c r="AF81" s="240" t="s">
        <v>153</v>
      </c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103"/>
      <c r="AR81" s="103"/>
      <c r="AS81" s="103"/>
      <c r="AT81" s="103"/>
      <c r="AU81" s="143"/>
    </row>
    <row r="82" spans="2:47" s="136" customFormat="1" ht="24" hidden="1" customHeight="1" outlineLevel="1" x14ac:dyDescent="0.3">
      <c r="B82" s="103" t="s">
        <v>67</v>
      </c>
      <c r="C82" s="103"/>
      <c r="D82" s="103"/>
      <c r="E82" s="103"/>
      <c r="F82" s="103"/>
      <c r="G82" s="103"/>
      <c r="H82" s="103"/>
      <c r="I82" s="103"/>
      <c r="J82" s="103"/>
      <c r="K82" s="245" t="s">
        <v>152</v>
      </c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131"/>
      <c r="AD82" s="131"/>
      <c r="AE82" s="107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43"/>
    </row>
    <row r="83" spans="2:47" s="136" customFormat="1" ht="24" hidden="1" customHeight="1" outlineLevel="1" x14ac:dyDescent="0.3">
      <c r="B83" s="103" t="s">
        <v>162</v>
      </c>
      <c r="C83" s="103"/>
      <c r="D83" s="103"/>
      <c r="E83" s="103"/>
      <c r="F83" s="103"/>
      <c r="G83" s="103"/>
      <c r="H83" s="103"/>
      <c r="I83" s="103"/>
      <c r="J83" s="103"/>
      <c r="K83" s="241" t="s">
        <v>150</v>
      </c>
      <c r="L83" s="241"/>
      <c r="M83" s="241"/>
      <c r="N83" s="241"/>
      <c r="O83" s="241"/>
      <c r="P83" s="241"/>
      <c r="Q83" s="241"/>
      <c r="R83" s="241"/>
      <c r="S83" s="149" t="s">
        <v>151</v>
      </c>
      <c r="T83" s="87"/>
      <c r="U83" s="87"/>
      <c r="V83" s="87"/>
      <c r="W83" s="242" t="s">
        <v>164</v>
      </c>
      <c r="X83" s="243"/>
      <c r="Y83" s="243"/>
      <c r="Z83" s="243"/>
      <c r="AA83" s="243"/>
      <c r="AB83" s="131"/>
      <c r="AC83" s="131"/>
      <c r="AD83" s="131"/>
      <c r="AE83" s="107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43"/>
    </row>
    <row r="84" spans="2:47" s="136" customFormat="1" ht="9.75" hidden="1" customHeight="1" outlineLevel="1" thickBot="1" x14ac:dyDescent="0.35">
      <c r="B84" s="103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41"/>
    </row>
    <row r="85" spans="2:47" ht="26.1" customHeight="1" collapsed="1" thickBot="1" x14ac:dyDescent="0.35">
      <c r="B85" s="250" t="s">
        <v>74</v>
      </c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1"/>
      <c r="AL85" s="251"/>
      <c r="AM85" s="251"/>
      <c r="AN85" s="251"/>
      <c r="AO85" s="251"/>
      <c r="AP85" s="251"/>
      <c r="AQ85" s="251"/>
      <c r="AR85" s="251"/>
      <c r="AS85" s="251"/>
      <c r="AT85" s="251"/>
      <c r="AU85" s="252"/>
    </row>
    <row r="86" spans="2:47" x14ac:dyDescent="0.3">
      <c r="B86" s="111" t="s">
        <v>75</v>
      </c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12"/>
    </row>
    <row r="87" spans="2:47" x14ac:dyDescent="0.3">
      <c r="B87" s="261" t="s">
        <v>76</v>
      </c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111"/>
      <c r="Y87" s="261" t="s">
        <v>77</v>
      </c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112"/>
    </row>
    <row r="88" spans="2:47" ht="24" customHeight="1" x14ac:dyDescent="0.3">
      <c r="B88" s="113"/>
      <c r="C88" s="113" t="s">
        <v>82</v>
      </c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4"/>
      <c r="O88" s="136"/>
      <c r="P88" s="136"/>
      <c r="Q88" s="113"/>
      <c r="R88" s="113"/>
      <c r="S88" s="113"/>
      <c r="T88" s="113"/>
      <c r="U88" s="113"/>
      <c r="V88" s="113"/>
      <c r="W88" s="113"/>
      <c r="X88" s="114"/>
      <c r="Y88" s="113"/>
      <c r="Z88" s="113"/>
      <c r="AA88" s="113"/>
      <c r="AB88" s="113"/>
      <c r="AC88" s="113" t="s">
        <v>79</v>
      </c>
      <c r="AD88" s="113"/>
      <c r="AE88" s="113"/>
      <c r="AF88" s="113"/>
      <c r="AG88" s="113"/>
      <c r="AH88" s="113"/>
      <c r="AI88" s="113"/>
      <c r="AJ88" s="113"/>
      <c r="AK88" s="113"/>
      <c r="AL88" s="113"/>
      <c r="AM88" s="115"/>
      <c r="AN88" s="113"/>
      <c r="AO88" s="113"/>
      <c r="AP88" s="113"/>
      <c r="AQ88" s="113"/>
      <c r="AR88" s="113"/>
      <c r="AS88" s="113"/>
      <c r="AT88" s="113"/>
      <c r="AU88" s="113"/>
    </row>
    <row r="89" spans="2:47" ht="24" customHeight="1" x14ac:dyDescent="0.3">
      <c r="B89" s="114"/>
      <c r="C89" s="115" t="s">
        <v>80</v>
      </c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36"/>
      <c r="P89" s="136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5" t="s">
        <v>81</v>
      </c>
      <c r="AD89" s="114"/>
      <c r="AE89" s="114"/>
      <c r="AF89" s="114"/>
      <c r="AG89" s="114"/>
      <c r="AH89" s="114"/>
      <c r="AI89" s="114"/>
      <c r="AJ89" s="114"/>
      <c r="AK89" s="114"/>
      <c r="AL89" s="116"/>
      <c r="AM89" s="115"/>
      <c r="AN89" s="114"/>
      <c r="AO89" s="114"/>
      <c r="AP89" s="114"/>
      <c r="AQ89" s="114"/>
      <c r="AR89" s="114"/>
      <c r="AS89" s="114"/>
      <c r="AT89" s="114"/>
      <c r="AU89" s="116"/>
    </row>
    <row r="90" spans="2:47" ht="24" customHeight="1" x14ac:dyDescent="0.3">
      <c r="B90" s="114"/>
      <c r="C90" s="115" t="s">
        <v>126</v>
      </c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36"/>
      <c r="P90" s="136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3" t="s">
        <v>117</v>
      </c>
      <c r="AD90" s="114"/>
      <c r="AE90" s="114"/>
      <c r="AF90" s="114"/>
      <c r="AG90" s="114"/>
      <c r="AH90" s="114"/>
      <c r="AI90" s="114"/>
      <c r="AJ90" s="114"/>
      <c r="AK90" s="114"/>
      <c r="AL90" s="116"/>
      <c r="AM90" s="115"/>
      <c r="AN90" s="114"/>
      <c r="AO90" s="114"/>
      <c r="AP90" s="114"/>
      <c r="AQ90" s="114"/>
      <c r="AR90" s="114"/>
      <c r="AS90" s="114"/>
      <c r="AT90" s="114"/>
      <c r="AU90" s="116"/>
    </row>
    <row r="91" spans="2:47" ht="24" customHeight="1" x14ac:dyDescent="0.3">
      <c r="B91" s="114"/>
      <c r="C91" s="115" t="s">
        <v>83</v>
      </c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5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5" t="s">
        <v>78</v>
      </c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7"/>
    </row>
    <row r="92" spans="2:47" ht="24" customHeight="1" x14ac:dyDescent="0.3">
      <c r="B92" s="114"/>
      <c r="C92" s="115" t="s">
        <v>84</v>
      </c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8"/>
      <c r="Y92" s="114"/>
      <c r="Z92" s="114"/>
      <c r="AA92" s="114"/>
      <c r="AB92" s="114"/>
      <c r="AC92" s="136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7"/>
    </row>
    <row r="93" spans="2:47" s="136" customFormat="1" ht="24" customHeight="1" x14ac:dyDescent="0.3">
      <c r="B93" s="114"/>
      <c r="C93" s="115" t="s">
        <v>124</v>
      </c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5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7"/>
    </row>
    <row r="94" spans="2:47" s="136" customFormat="1" ht="24" customHeight="1" x14ac:dyDescent="0.3">
      <c r="B94" s="114"/>
      <c r="C94" s="138" t="s">
        <v>127</v>
      </c>
      <c r="D94" s="139"/>
      <c r="E94" s="139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5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7"/>
    </row>
    <row r="95" spans="2:47" s="136" customFormat="1" ht="24" customHeight="1" x14ac:dyDescent="0.3">
      <c r="B95" s="114"/>
      <c r="C95" s="115" t="s">
        <v>128</v>
      </c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5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7"/>
    </row>
    <row r="96" spans="2:47" ht="24" customHeight="1" x14ac:dyDescent="0.3">
      <c r="B96" s="114"/>
      <c r="C96" s="115" t="s">
        <v>163</v>
      </c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5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7"/>
    </row>
    <row r="97" spans="2:47" s="136" customFormat="1" ht="24" customHeight="1" x14ac:dyDescent="0.3">
      <c r="B97" s="114"/>
      <c r="C97" s="115" t="s">
        <v>129</v>
      </c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7"/>
    </row>
    <row r="98" spans="2:47" ht="24" customHeight="1" x14ac:dyDescent="0.3">
      <c r="B98" s="114"/>
      <c r="C98" s="115" t="s">
        <v>130</v>
      </c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7"/>
    </row>
    <row r="99" spans="2:47" ht="24" customHeight="1" x14ac:dyDescent="0.3">
      <c r="B99" s="119"/>
      <c r="C99" s="115" t="s">
        <v>131</v>
      </c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17"/>
    </row>
    <row r="100" spans="2:47" s="136" customFormat="1" ht="24" customHeight="1" x14ac:dyDescent="0.3">
      <c r="B100" s="119"/>
      <c r="C100" s="115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17"/>
    </row>
    <row r="101" spans="2:47" ht="18" customHeight="1" x14ac:dyDescent="0.3">
      <c r="B101" s="119" t="s">
        <v>132</v>
      </c>
      <c r="C101" s="115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17"/>
    </row>
    <row r="102" spans="2:47" ht="24" customHeight="1" x14ac:dyDescent="0.3">
      <c r="B102" s="119" t="s">
        <v>133</v>
      </c>
      <c r="C102" s="115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17"/>
    </row>
    <row r="103" spans="2:47" ht="25.5" x14ac:dyDescent="0.3">
      <c r="B103" s="262" t="s">
        <v>86</v>
      </c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</row>
    <row r="104" spans="2:47" ht="27" customHeight="1" x14ac:dyDescent="0.3"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</row>
    <row r="105" spans="2:47" ht="27" customHeight="1" x14ac:dyDescent="0.3"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</row>
    <row r="106" spans="2:47" ht="27" customHeight="1" x14ac:dyDescent="0.3"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</row>
    <row r="107" spans="2:47" ht="27" customHeight="1" x14ac:dyDescent="0.3"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</row>
    <row r="108" spans="2:47" ht="27" customHeight="1" x14ac:dyDescent="0.3"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</row>
    <row r="109" spans="2:47" ht="21" customHeight="1" x14ac:dyDescent="0.3">
      <c r="B109" s="124"/>
      <c r="C109" s="124"/>
      <c r="D109" s="124"/>
      <c r="E109" s="124"/>
      <c r="F109" s="124"/>
      <c r="G109" s="124"/>
      <c r="H109" s="124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4"/>
      <c r="AA109" s="124"/>
      <c r="AB109" s="124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</row>
    <row r="110" spans="2:47" s="136" customFormat="1" ht="21" customHeight="1" x14ac:dyDescent="0.3">
      <c r="B110" s="86"/>
      <c r="C110" s="86"/>
      <c r="D110" s="86"/>
      <c r="E110" s="86"/>
      <c r="F110" s="86"/>
      <c r="G110" s="86"/>
      <c r="H110" s="86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86"/>
      <c r="AA110" s="86"/>
      <c r="AB110" s="86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</row>
    <row r="111" spans="2:47" s="136" customFormat="1" ht="21" customHeight="1" x14ac:dyDescent="0.3">
      <c r="B111" s="86"/>
      <c r="C111" s="86"/>
      <c r="D111" s="86"/>
      <c r="E111" s="86"/>
      <c r="F111" s="86"/>
      <c r="G111" s="86"/>
      <c r="H111" s="86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86"/>
      <c r="AA111" s="86"/>
      <c r="AB111" s="86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</row>
    <row r="112" spans="2:47" ht="21" customHeight="1" x14ac:dyDescent="0.3">
      <c r="B112" s="103" t="s">
        <v>87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</row>
    <row r="113" spans="2:49" ht="21" customHeight="1" x14ac:dyDescent="0.3"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  <c r="AA113" s="259"/>
      <c r="AB113" s="259"/>
      <c r="AC113" s="259"/>
      <c r="AD113" s="259"/>
      <c r="AE113" s="259"/>
      <c r="AF113" s="259"/>
      <c r="AG113" s="259"/>
      <c r="AH113" s="259"/>
      <c r="AI113" s="259"/>
      <c r="AJ113" s="259"/>
      <c r="AK113" s="259"/>
      <c r="AL113" s="259"/>
      <c r="AM113" s="259"/>
      <c r="AN113" s="259"/>
      <c r="AO113" s="259"/>
      <c r="AP113" s="259"/>
      <c r="AQ113" s="259"/>
      <c r="AR113" s="259"/>
      <c r="AU113" s="114"/>
    </row>
    <row r="114" spans="2:49" ht="12" customHeight="1" x14ac:dyDescent="0.3">
      <c r="C114" s="110"/>
      <c r="D114" s="110"/>
      <c r="E114" s="126"/>
      <c r="F114" s="260" t="s">
        <v>88</v>
      </c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 t="s">
        <v>89</v>
      </c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 t="s">
        <v>90</v>
      </c>
      <c r="AM114" s="260"/>
      <c r="AN114" s="260"/>
      <c r="AO114" s="260"/>
      <c r="AP114" s="260"/>
      <c r="AQ114" s="260"/>
      <c r="AR114" s="260"/>
      <c r="AS114" s="114"/>
      <c r="AT114" s="114"/>
      <c r="AU114" s="114"/>
    </row>
    <row r="115" spans="2:49" ht="21" customHeight="1" x14ac:dyDescent="0.3">
      <c r="B115" s="103" t="s">
        <v>91</v>
      </c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</row>
    <row r="116" spans="2:49" ht="21" customHeight="1" x14ac:dyDescent="0.3"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59"/>
      <c r="AH116" s="259"/>
      <c r="AI116" s="259"/>
      <c r="AJ116" s="259"/>
      <c r="AK116" s="259"/>
      <c r="AL116" s="259"/>
      <c r="AM116" s="259"/>
      <c r="AN116" s="259"/>
      <c r="AO116" s="259"/>
      <c r="AP116" s="259"/>
      <c r="AQ116" s="259"/>
      <c r="AR116" s="259"/>
      <c r="AU116" s="114"/>
    </row>
    <row r="117" spans="2:49" ht="12" customHeight="1" x14ac:dyDescent="0.3">
      <c r="C117" s="110"/>
      <c r="D117" s="110"/>
      <c r="E117" s="126"/>
      <c r="F117" s="260" t="s">
        <v>88</v>
      </c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 t="s">
        <v>89</v>
      </c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 t="s">
        <v>90</v>
      </c>
      <c r="AM117" s="260"/>
      <c r="AN117" s="260"/>
      <c r="AO117" s="260"/>
      <c r="AP117" s="260"/>
      <c r="AQ117" s="260"/>
      <c r="AR117" s="260"/>
      <c r="AS117" s="114"/>
      <c r="AT117" s="114"/>
      <c r="AU117" s="114"/>
    </row>
    <row r="118" spans="2:49" ht="63" customHeight="1" x14ac:dyDescent="0.3">
      <c r="C118" s="110"/>
      <c r="D118" s="110"/>
      <c r="E118" s="110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14"/>
    </row>
    <row r="119" spans="2:49" s="136" customFormat="1" ht="63" customHeight="1" x14ac:dyDescent="0.3">
      <c r="C119" s="146"/>
      <c r="D119" s="146"/>
      <c r="E119" s="146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14"/>
    </row>
    <row r="120" spans="2:49" s="136" customFormat="1" ht="63" customHeight="1" x14ac:dyDescent="0.3">
      <c r="C120" s="146"/>
      <c r="D120" s="146"/>
      <c r="E120" s="146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14"/>
    </row>
    <row r="121" spans="2:49" ht="17.25" x14ac:dyDescent="0.3">
      <c r="B121" s="255"/>
      <c r="C121" s="255"/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2" t="s">
        <v>85</v>
      </c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121"/>
      <c r="AV121" s="121"/>
      <c r="AW121" s="121"/>
    </row>
    <row r="122" spans="2:49" ht="17.25" x14ac:dyDescent="0.3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2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121"/>
      <c r="AV122" s="121"/>
      <c r="AW122" s="121"/>
    </row>
    <row r="123" spans="2:49" ht="63" customHeight="1" x14ac:dyDescent="0.3">
      <c r="B123" s="86"/>
      <c r="C123" s="86"/>
      <c r="D123" s="86"/>
      <c r="E123" s="86"/>
      <c r="F123" s="86"/>
      <c r="G123" s="86"/>
      <c r="H123" s="8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86"/>
      <c r="AA123" s="86"/>
      <c r="AB123" s="8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117"/>
    </row>
    <row r="124" spans="2:49" x14ac:dyDescent="0.3">
      <c r="B124" s="115"/>
      <c r="C124" s="115"/>
      <c r="D124" s="115"/>
      <c r="E124" s="115"/>
      <c r="F124" s="115"/>
      <c r="G124" s="115"/>
      <c r="H124" s="115"/>
      <c r="I124" s="257" t="s">
        <v>92</v>
      </c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115"/>
      <c r="AA124" s="115"/>
      <c r="AB124" s="115"/>
      <c r="AC124" s="257" t="s">
        <v>93</v>
      </c>
      <c r="AD124" s="257"/>
      <c r="AE124" s="257"/>
      <c r="AF124" s="257"/>
      <c r="AG124" s="257"/>
      <c r="AH124" s="257"/>
      <c r="AI124" s="257"/>
      <c r="AJ124" s="257"/>
      <c r="AK124" s="257"/>
      <c r="AL124" s="257"/>
      <c r="AM124" s="257"/>
      <c r="AN124" s="257"/>
      <c r="AO124" s="257"/>
      <c r="AP124" s="257"/>
      <c r="AQ124" s="257"/>
      <c r="AR124" s="257"/>
      <c r="AS124" s="257"/>
      <c r="AT124" s="257"/>
    </row>
    <row r="125" spans="2:49" ht="63" customHeight="1" x14ac:dyDescent="0.3"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</row>
    <row r="126" spans="2:49" x14ac:dyDescent="0.3"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254" t="s">
        <v>94</v>
      </c>
      <c r="T126" s="254"/>
      <c r="U126" s="254"/>
      <c r="V126" s="254"/>
      <c r="W126" s="254"/>
      <c r="X126" s="254"/>
      <c r="Y126" s="254"/>
      <c r="Z126" s="254"/>
      <c r="AA126" s="254"/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</row>
    <row r="127" spans="2:49" x14ac:dyDescent="0.3"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</row>
  </sheetData>
  <mergeCells count="151">
    <mergeCell ref="K81:Z81"/>
    <mergeCell ref="K38:R38"/>
    <mergeCell ref="W38:AA38"/>
    <mergeCell ref="K83:R83"/>
    <mergeCell ref="W83:AA83"/>
    <mergeCell ref="K80:AB80"/>
    <mergeCell ref="AF80:AP80"/>
    <mergeCell ref="AF81:AP81"/>
    <mergeCell ref="K82:AB82"/>
    <mergeCell ref="AK77:AU77"/>
    <mergeCell ref="K72:AB72"/>
    <mergeCell ref="K73:AB73"/>
    <mergeCell ref="K75:AB75"/>
    <mergeCell ref="K76:AB76"/>
    <mergeCell ref="K77:AB77"/>
    <mergeCell ref="K78:AB78"/>
    <mergeCell ref="AF39:AP39"/>
    <mergeCell ref="AF40:AP40"/>
    <mergeCell ref="AF51:AP51"/>
    <mergeCell ref="K52:Z52"/>
    <mergeCell ref="AF52:AP52"/>
    <mergeCell ref="K53:AB53"/>
    <mergeCell ref="AF53:AP53"/>
    <mergeCell ref="K55:W55"/>
    <mergeCell ref="AK75:AU75"/>
    <mergeCell ref="AK76:AU76"/>
    <mergeCell ref="B74:AT74"/>
    <mergeCell ref="K30:AB30"/>
    <mergeCell ref="K28:R28"/>
    <mergeCell ref="W28:AA28"/>
    <mergeCell ref="B35:I35"/>
    <mergeCell ref="K35:Y35"/>
    <mergeCell ref="AF28:AP28"/>
    <mergeCell ref="K29:Z29"/>
    <mergeCell ref="AF29:AP29"/>
    <mergeCell ref="AF30:AP30"/>
    <mergeCell ref="AF35:AP35"/>
    <mergeCell ref="AF68:AP68"/>
    <mergeCell ref="K69:AU69"/>
    <mergeCell ref="AF73:AP73"/>
    <mergeCell ref="K36:Y36"/>
    <mergeCell ref="AF36:AP36"/>
    <mergeCell ref="B67:AU67"/>
    <mergeCell ref="K68:AB68"/>
    <mergeCell ref="K70:AB70"/>
    <mergeCell ref="K71:AB71"/>
    <mergeCell ref="K32:W32"/>
    <mergeCell ref="AS55:AU55"/>
    <mergeCell ref="B4:AU4"/>
    <mergeCell ref="H5:Q5"/>
    <mergeCell ref="H6:Q6"/>
    <mergeCell ref="AB6:AI6"/>
    <mergeCell ref="B2:AU2"/>
    <mergeCell ref="H7:Q7"/>
    <mergeCell ref="AB7:AI7"/>
    <mergeCell ref="H8:Q8"/>
    <mergeCell ref="AB8:AI8"/>
    <mergeCell ref="H9:Q9"/>
    <mergeCell ref="AB9:AI9"/>
    <mergeCell ref="B19:AU19"/>
    <mergeCell ref="AF20:AP20"/>
    <mergeCell ref="H10:Q10"/>
    <mergeCell ref="AB10:AI10"/>
    <mergeCell ref="AB11:AI11"/>
    <mergeCell ref="K20:AB20"/>
    <mergeCell ref="I17:N17"/>
    <mergeCell ref="B17:H17"/>
    <mergeCell ref="V17:AD17"/>
    <mergeCell ref="AE17:AJ17"/>
    <mergeCell ref="Q17:U17"/>
    <mergeCell ref="AE15:AJ15"/>
    <mergeCell ref="B85:AU85"/>
    <mergeCell ref="B87:W87"/>
    <mergeCell ref="Y87:AT87"/>
    <mergeCell ref="V117:AK117"/>
    <mergeCell ref="AL117:AR117"/>
    <mergeCell ref="B103:AU103"/>
    <mergeCell ref="F113:U113"/>
    <mergeCell ref="V113:AK113"/>
    <mergeCell ref="AL113:AR113"/>
    <mergeCell ref="F114:U114"/>
    <mergeCell ref="V114:AK114"/>
    <mergeCell ref="AL114:AR114"/>
    <mergeCell ref="S125:AK125"/>
    <mergeCell ref="S126:AK126"/>
    <mergeCell ref="K39:Z39"/>
    <mergeCell ref="K40:AA40"/>
    <mergeCell ref="B121:M121"/>
    <mergeCell ref="AC121:AT121"/>
    <mergeCell ref="I123:Y123"/>
    <mergeCell ref="AC123:AT123"/>
    <mergeCell ref="I124:Y124"/>
    <mergeCell ref="AC124:AT124"/>
    <mergeCell ref="AC122:AT122"/>
    <mergeCell ref="F116:U116"/>
    <mergeCell ref="V116:AK116"/>
    <mergeCell ref="AL116:AR116"/>
    <mergeCell ref="F117:U117"/>
    <mergeCell ref="K45:AB45"/>
    <mergeCell ref="AF45:AP45"/>
    <mergeCell ref="K46:AA46"/>
    <mergeCell ref="AF46:AP46"/>
    <mergeCell ref="K47:Y47"/>
    <mergeCell ref="AF47:AP47"/>
    <mergeCell ref="K48:Y48"/>
    <mergeCell ref="K51:R51"/>
    <mergeCell ref="W51:AA51"/>
    <mergeCell ref="AL17:AP17"/>
    <mergeCell ref="AQ17:AU17"/>
    <mergeCell ref="B42:AU42"/>
    <mergeCell ref="K43:AB43"/>
    <mergeCell ref="AF43:AP43"/>
    <mergeCell ref="K44:AU44"/>
    <mergeCell ref="K21:AU21"/>
    <mergeCell ref="AS32:AU32"/>
    <mergeCell ref="AF33:AP33"/>
    <mergeCell ref="AF24:AP24"/>
    <mergeCell ref="AF38:AP38"/>
    <mergeCell ref="AF22:AP22"/>
    <mergeCell ref="AF23:AP23"/>
    <mergeCell ref="AF32:AP32"/>
    <mergeCell ref="K24:Y24"/>
    <mergeCell ref="K33:Z33"/>
    <mergeCell ref="K23:AA23"/>
    <mergeCell ref="K22:AB22"/>
    <mergeCell ref="X32:AE32"/>
    <mergeCell ref="K37:Y37"/>
    <mergeCell ref="K25:Y25"/>
    <mergeCell ref="K26:Y26"/>
    <mergeCell ref="K27:Y27"/>
    <mergeCell ref="K65:AA65"/>
    <mergeCell ref="AF65:AP65"/>
    <mergeCell ref="X55:AE55"/>
    <mergeCell ref="AF55:AP55"/>
    <mergeCell ref="K56:Z56"/>
    <mergeCell ref="AF56:AP56"/>
    <mergeCell ref="B58:I58"/>
    <mergeCell ref="K58:Y58"/>
    <mergeCell ref="AF58:AP58"/>
    <mergeCell ref="K59:Y59"/>
    <mergeCell ref="AF59:AP59"/>
    <mergeCell ref="K49:Y49"/>
    <mergeCell ref="K50:Y50"/>
    <mergeCell ref="K61:Y61"/>
    <mergeCell ref="K62:Y62"/>
    <mergeCell ref="K60:Y60"/>
    <mergeCell ref="K63:R63"/>
    <mergeCell ref="W63:AA63"/>
    <mergeCell ref="AF63:AP63"/>
    <mergeCell ref="K64:Z64"/>
    <mergeCell ref="AF64:AP64"/>
  </mergeCells>
  <dataValidations count="13">
    <dataValidation type="list" allowBlank="1" showInputMessage="1" showErrorMessage="1" sqref="Z33:Z35 K33:Y34 Z56:Z58 K56:Y57" xr:uid="{00000000-0002-0000-0200-000000000000}">
      <formula1>$AX$1:$AX$2</formula1>
    </dataValidation>
    <dataValidation allowBlank="1" showInputMessage="1" showErrorMessage="1" promptTitle="Referir a un posible Prospecto" prompt="Referir a una persona que  probablemente quiera comprar." sqref="B112:AR117" xr:uid="{00000000-0002-0000-0200-000001000000}"/>
    <dataValidation allowBlank="1" showInputMessage="1" showErrorMessage="1" promptTitle="LLENAR DATOS" prompt="En caso de ser una persona Copropiedad." sqref="B42:AU42" xr:uid="{00000000-0002-0000-0200-000002000000}"/>
    <dataValidation allowBlank="1" showInputMessage="1" showErrorMessage="1" promptTitle="Llenar Datos" prompt="Llenar datos en caso de ser una persona moral..." sqref="B67:AU67" xr:uid="{00000000-0002-0000-0200-000003000000}"/>
    <dataValidation allowBlank="1" showInputMessage="1" showErrorMessage="1" promptTitle="DOCUMENTOS PERSONA FISICA" sqref="B87:W93" xr:uid="{00000000-0002-0000-0200-000004000000}"/>
    <dataValidation allowBlank="1" showInputMessage="1" showErrorMessage="1" promptTitle="DOCUMENTOS PERSONA MORAL" sqref="Y87:AT91" xr:uid="{00000000-0002-0000-0200-000005000000}"/>
    <dataValidation allowBlank="1" showInputMessage="1" showErrorMessage="1" promptTitle="FECHA PAGO DE MENSUALIDAD" prompt="Fecha en que el cliente va a empezar a pagar su mensualidad...es en automatico del Simulador._x000a_" sqref="AE17:AJ17" xr:uid="{00000000-0002-0000-0200-000006000000}"/>
    <dataValidation allowBlank="1" showInputMessage="1" showErrorMessage="1" promptTitle="INFORMACIÓN DE LA UNIDAD" prompt="Esta información viene del simulador en Automatico." sqref="B4:AU4" xr:uid="{00000000-0002-0000-0200-000007000000}"/>
    <dataValidation allowBlank="1" showInputMessage="1" showErrorMessage="1" promptTitle="ACUERDOS CON CLIENTE" prompt="*En caso de no tener cubierto el engache establecer una fecha de pago en contrato._x000a_*Anexar todo acuerdo con cliente con previa autorización." sqref="B103:AU103" xr:uid="{00000000-0002-0000-0200-000008000000}"/>
    <dataValidation allowBlank="1" showInputMessage="1" showErrorMessage="1" promptTitle="LLENAR DATOS" prompt="En caso de ser una persona Fisica" sqref="B19:AU19" xr:uid="{00000000-0002-0000-0200-000009000000}"/>
    <dataValidation allowBlank="1" showInputMessage="1" showErrorMessage="1" promptTitle="No modificar_" prompt="Los datos vienen desde simulador." sqref="B15:V16 X15:AD16 AE16:AJ16 AK12:AR14 B11:AJ14 B5:AU10 AS12:AU16" xr:uid="{00000000-0002-0000-0200-00000A000000}"/>
    <dataValidation allowBlank="1" showInputMessage="1" showErrorMessage="1" promptTitle="Plusvalía" prompt="&quot;Si se apartan DESPUÉS DEL LANZAMIENTO de Bosque IV&quot;_x000a__x000a_Bosque IV Plusvalía 25%_x000a_Estepa 30%_x000a_Desierto 30%_x000a_Taiga 30%_x000a_Páramo 30%_x000a_Selva 30%_x000a_" sqref="Q17:U17" xr:uid="{00000000-0002-0000-0200-00000B000000}"/>
    <dataValidation allowBlank="1" showInputMessage="1" showErrorMessage="1" promptTitle="FECHA DE APARTADO" prompt="Fecha en que el cliente, realizo el apartado (Aparece en Voucher)." sqref="AE15" xr:uid="{00000000-0002-0000-0200-00000C000000}"/>
  </dataValidations>
  <printOptions horizontalCentered="1"/>
  <pageMargins left="0.19685039370078741" right="0.19685039370078741" top="1.3779527559055118" bottom="0.19685039370078741" header="0.31496062992125984" footer="0.31496062992125984"/>
  <pageSetup scale="44" orientation="portrait" r:id="rId1"/>
  <headerFooter scaleWithDoc="0">
    <oddHeader>&amp;C&amp;G</oddHeader>
    <oddFooter>&amp;C&amp;G</oddFooter>
  </headerFooter>
  <rowBreaks count="1" manualBreakCount="1">
    <brk id="102" max="47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5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87</xdr:row>
                    <xdr:rowOff>9525</xdr:rowOff>
                  </from>
                  <to>
                    <xdr:col>1</xdr:col>
                    <xdr:colOff>523875</xdr:colOff>
                    <xdr:row>87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6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88</xdr:row>
                    <xdr:rowOff>9525</xdr:rowOff>
                  </from>
                  <to>
                    <xdr:col>2</xdr:col>
                    <xdr:colOff>47625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7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89</xdr:row>
                    <xdr:rowOff>9525</xdr:rowOff>
                  </from>
                  <to>
                    <xdr:col>2</xdr:col>
                    <xdr:colOff>47625</xdr:colOff>
                    <xdr:row>89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8" name="Check Box 14">
              <controlPr defaultSize="0" autoFill="0" autoLine="0" autoPict="0">
                <anchor moveWithCells="1">
                  <from>
                    <xdr:col>1</xdr:col>
                    <xdr:colOff>28575</xdr:colOff>
                    <xdr:row>91</xdr:row>
                    <xdr:rowOff>19050</xdr:rowOff>
                  </from>
                  <to>
                    <xdr:col>4</xdr:col>
                    <xdr:colOff>219075</xdr:colOff>
                    <xdr:row>91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9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90</xdr:row>
                    <xdr:rowOff>9525</xdr:rowOff>
                  </from>
                  <to>
                    <xdr:col>2</xdr:col>
                    <xdr:colOff>47625</xdr:colOff>
                    <xdr:row>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Check Box 21">
              <controlPr defaultSize="0" autoFill="0" autoLine="0" autoPict="0">
                <anchor moveWithCells="1">
                  <from>
                    <xdr:col>27</xdr:col>
                    <xdr:colOff>66675</xdr:colOff>
                    <xdr:row>87</xdr:row>
                    <xdr:rowOff>0</xdr:rowOff>
                  </from>
                  <to>
                    <xdr:col>29</xdr:col>
                    <xdr:colOff>209550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Check Box 22">
              <controlPr defaultSize="0" autoFill="0" autoLine="0" autoPict="0">
                <anchor moveWithCells="1">
                  <from>
                    <xdr:col>27</xdr:col>
                    <xdr:colOff>76200</xdr:colOff>
                    <xdr:row>88</xdr:row>
                    <xdr:rowOff>9525</xdr:rowOff>
                  </from>
                  <to>
                    <xdr:col>29</xdr:col>
                    <xdr:colOff>304800</xdr:colOff>
                    <xdr:row>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Check Box 23">
              <controlPr defaultSize="0" autoFill="0" autoLine="0" autoPict="0">
                <anchor moveWithCells="1">
                  <from>
                    <xdr:col>27</xdr:col>
                    <xdr:colOff>66675</xdr:colOff>
                    <xdr:row>89</xdr:row>
                    <xdr:rowOff>19050</xdr:rowOff>
                  </from>
                  <to>
                    <xdr:col>29</xdr:col>
                    <xdr:colOff>304800</xdr:colOff>
                    <xdr:row>89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3" name="Check Box 25">
              <controlPr defaultSize="0" autoFill="0" autoLine="0" autoPict="0">
                <anchor moveWithCells="1">
                  <from>
                    <xdr:col>27</xdr:col>
                    <xdr:colOff>66675</xdr:colOff>
                    <xdr:row>90</xdr:row>
                    <xdr:rowOff>38100</xdr:rowOff>
                  </from>
                  <to>
                    <xdr:col>29</xdr:col>
                    <xdr:colOff>304800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147</xdr:row>
                    <xdr:rowOff>114300</xdr:rowOff>
                  </from>
                  <to>
                    <xdr:col>1</xdr:col>
                    <xdr:colOff>523875</xdr:colOff>
                    <xdr:row>148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15" name="Check Box 32">
              <controlPr defaultSize="0" autoFill="0" autoLine="0" autoPict="0">
                <anchor moveWithCells="1">
                  <from>
                    <xdr:col>1</xdr:col>
                    <xdr:colOff>28575</xdr:colOff>
                    <xdr:row>149</xdr:row>
                    <xdr:rowOff>152400</xdr:rowOff>
                  </from>
                  <to>
                    <xdr:col>2</xdr:col>
                    <xdr:colOff>47625</xdr:colOff>
                    <xdr:row>151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1</xdr:col>
                    <xdr:colOff>28575</xdr:colOff>
                    <xdr:row>153</xdr:row>
                    <xdr:rowOff>133350</xdr:rowOff>
                  </from>
                  <to>
                    <xdr:col>4</xdr:col>
                    <xdr:colOff>228600</xdr:colOff>
                    <xdr:row>155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7" name="Check Box 39">
              <controlPr defaultSize="0" autoFill="0" autoLine="0" autoPict="0">
                <anchor moveWithCells="1">
                  <from>
                    <xdr:col>1</xdr:col>
                    <xdr:colOff>28575</xdr:colOff>
                    <xdr:row>155</xdr:row>
                    <xdr:rowOff>152400</xdr:rowOff>
                  </from>
                  <to>
                    <xdr:col>4</xdr:col>
                    <xdr:colOff>228600</xdr:colOff>
                    <xdr:row>157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18" name="Check Box 40">
              <controlPr defaultSize="0" autoFill="0" autoLine="0" autoPict="0">
                <anchor moveWithCells="1">
                  <from>
                    <xdr:col>1</xdr:col>
                    <xdr:colOff>47625</xdr:colOff>
                    <xdr:row>151</xdr:row>
                    <xdr:rowOff>152400</xdr:rowOff>
                  </from>
                  <to>
                    <xdr:col>2</xdr:col>
                    <xdr:colOff>57150</xdr:colOff>
                    <xdr:row>153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9" name="Check Box 54">
              <controlPr defaultSize="0" autoFill="0" autoLine="0" autoPict="0">
                <anchor moveWithCells="1">
                  <from>
                    <xdr:col>1</xdr:col>
                    <xdr:colOff>19050</xdr:colOff>
                    <xdr:row>92</xdr:row>
                    <xdr:rowOff>0</xdr:rowOff>
                  </from>
                  <to>
                    <xdr:col>2</xdr:col>
                    <xdr:colOff>47625</xdr:colOff>
                    <xdr:row>92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20" name="Check Box 68">
              <controlPr defaultSize="0" autoFill="0" autoLine="0" autoPict="0">
                <anchor moveWithCells="1">
                  <from>
                    <xdr:col>0</xdr:col>
                    <xdr:colOff>381000</xdr:colOff>
                    <xdr:row>94</xdr:row>
                    <xdr:rowOff>66675</xdr:rowOff>
                  </from>
                  <to>
                    <xdr:col>1</xdr:col>
                    <xdr:colOff>495300</xdr:colOff>
                    <xdr:row>94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21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95</xdr:row>
                    <xdr:rowOff>47625</xdr:rowOff>
                  </from>
                  <to>
                    <xdr:col>2</xdr:col>
                    <xdr:colOff>133350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2" name="Check Box 70">
              <controlPr defaultSize="0" autoFill="0" autoLine="0" autoPict="0">
                <anchor moveWithCells="1">
                  <from>
                    <xdr:col>0</xdr:col>
                    <xdr:colOff>381000</xdr:colOff>
                    <xdr:row>96</xdr:row>
                    <xdr:rowOff>76200</xdr:rowOff>
                  </from>
                  <to>
                    <xdr:col>2</xdr:col>
                    <xdr:colOff>114300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23" name="Check Box 71">
              <controlPr defaultSize="0" autoFill="0" autoLine="0" autoPict="0">
                <anchor moveWithCells="1">
                  <from>
                    <xdr:col>1</xdr:col>
                    <xdr:colOff>19050</xdr:colOff>
                    <xdr:row>98</xdr:row>
                    <xdr:rowOff>104775</xdr:rowOff>
                  </from>
                  <to>
                    <xdr:col>5</xdr:col>
                    <xdr:colOff>57150</xdr:colOff>
                    <xdr:row>99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24" name="Check Box 72">
              <controlPr defaultSize="0" autoFill="0" autoLine="0" autoPict="0">
                <anchor moveWithCells="1">
                  <from>
                    <xdr:col>0</xdr:col>
                    <xdr:colOff>361950</xdr:colOff>
                    <xdr:row>97</xdr:row>
                    <xdr:rowOff>47625</xdr:rowOff>
                  </from>
                  <to>
                    <xdr:col>2</xdr:col>
                    <xdr:colOff>95250</xdr:colOff>
                    <xdr:row>98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OBLIGATORIO" prompt="Uso de Propiedad, Patrimonio, o inversión " xr:uid="{00000000-0002-0000-0200-00000D000000}">
          <x14:formula1>
            <xm:f>DATOS!$C$59:$C$60</xm:f>
          </x14:formula1>
          <xm:sqref>I17:N17</xm:sqref>
        </x14:dataValidation>
        <x14:dataValidation type="list" allowBlank="1" showInputMessage="1" showErrorMessage="1" promptTitle="TIPO DE CONTRATO" prompt="Puede ser un contrato Fisico, Moral o Copropiedad" xr:uid="{00000000-0002-0000-0200-00000E000000}">
          <x14:formula1>
            <xm:f>DATOS!$C$30:$C$32</xm:f>
          </x14:formula1>
          <xm:sqref>AQ17:AU17</xm:sqref>
        </x14:dataValidation>
        <x14:dataValidation type="list" allowBlank="1" showInputMessage="1" showErrorMessage="1" xr:uid="{00000000-0002-0000-0200-00000F000000}">
          <x14:formula1>
            <xm:f>DATOS!$C$53:$C$56</xm:f>
          </x14:formula1>
          <xm:sqref>K22:AB22 K45:AB45</xm:sqref>
        </x14:dataValidation>
        <x14:dataValidation type="list" allowBlank="1" showInputMessage="1" showErrorMessage="1" xr:uid="{00000000-0002-0000-0200-000010000000}">
          <x14:formula1>
            <xm:f>DATOS!$C$42:$C$50</xm:f>
          </x14:formula1>
          <xm:sqref>K28:R28 K38:R38 K51:R51 K63:R63 K83:R83</xm:sqref>
        </x14:dataValidation>
        <x14:dataValidation type="list" allowBlank="1" showInputMessage="1" showErrorMessage="1" xr:uid="{00000000-0002-0000-0200-000011000000}">
          <x14:formula1>
            <xm:f>DATOS!$C$36:$C$39</xm:f>
          </x14:formula1>
          <xm:sqref>K32:W32 K55:W55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SIMULADOR</vt:lpstr>
      <vt:lpstr>FORMATO DE REGISTRO</vt:lpstr>
      <vt:lpstr>'FORMATO DE REGISTRO'!Área_de_impresión</vt:lpstr>
      <vt:lpstr>SIMULADOR!Área_de_impresión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Proyectos2</dc:creator>
  <cp:lastModifiedBy>LENOVO</cp:lastModifiedBy>
  <cp:lastPrinted>2022-02-08T16:37:13Z</cp:lastPrinted>
  <dcterms:created xsi:type="dcterms:W3CDTF">2017-09-25T17:46:09Z</dcterms:created>
  <dcterms:modified xsi:type="dcterms:W3CDTF">2022-06-27T23:26:03Z</dcterms:modified>
</cp:coreProperties>
</file>