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youssef_khalfa_centrale-casablanca_ma/Documents/Stage Equilibrage/gammes/tests4code/"/>
    </mc:Choice>
  </mc:AlternateContent>
  <xr:revisionPtr revIDLastSave="0" documentId="14_{A1CAA07D-1AC0-4ED8-8F31-4356B9AB82F6}" xr6:coauthVersionLast="47" xr6:coauthVersionMax="47" xr10:uidLastSave="{00000000-0000-0000-0000-000000000000}"/>
  <bookViews>
    <workbookView xWindow="-108" yWindow="-108" windowWidth="23256" windowHeight="12456" firstSheet="4" activeTab="4" xr2:uid="{9911D38C-121C-4FB4-A947-9B5F2582BBB0}"/>
  </bookViews>
  <sheets>
    <sheet name="EQUILIBRAGE 140 P " sheetId="7" state="hidden" r:id="rId1"/>
    <sheet name="DIAGRAMME DU TAKT" sheetId="8" state="hidden" r:id="rId2"/>
    <sheet name="Feuil2" sheetId="9" state="hidden" r:id="rId3"/>
    <sheet name="EQUILIBRAGE  330" sheetId="11" state="hidden" r:id="rId4"/>
    <sheet name="EQUILIBRAGE" sheetId="12" r:id="rId5"/>
    <sheet name="Feuil5" sheetId="16" r:id="rId6"/>
    <sheet name="Feuil4" sheetId="13" r:id="rId7"/>
    <sheet name="Feuil3" sheetId="15" r:id="rId8"/>
    <sheet name="Feuil1" sheetId="14" r:id="rId9"/>
    <sheet name="Feuil6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G24" i="12"/>
  <c r="X19" i="12"/>
  <c r="X17" i="12"/>
  <c r="X16" i="12"/>
  <c r="X15" i="12"/>
  <c r="X14" i="12"/>
  <c r="X12" i="12"/>
  <c r="L15" i="12"/>
  <c r="M15" i="12"/>
  <c r="L16" i="12"/>
  <c r="M16" i="12"/>
  <c r="L17" i="12"/>
  <c r="M17" i="12"/>
  <c r="L18" i="12"/>
  <c r="M18" i="12"/>
  <c r="L19" i="12"/>
  <c r="M19" i="12"/>
  <c r="L14" i="12"/>
  <c r="M14" i="12"/>
  <c r="N18" i="13"/>
  <c r="O18" i="13"/>
  <c r="P18" i="13"/>
  <c r="N17" i="13"/>
  <c r="O17" i="13"/>
  <c r="P17" i="13"/>
  <c r="N16" i="13"/>
  <c r="O16" i="13"/>
  <c r="P16" i="13"/>
  <c r="L13" i="12"/>
  <c r="M13" i="12"/>
  <c r="M6" i="13"/>
  <c r="N6" i="13"/>
  <c r="O6" i="13"/>
  <c r="P6" i="13"/>
  <c r="M9" i="13"/>
  <c r="N9" i="13"/>
  <c r="O9" i="13"/>
  <c r="P9" i="13"/>
  <c r="M10" i="13"/>
  <c r="N10" i="13"/>
  <c r="O10" i="13"/>
  <c r="P10" i="13"/>
  <c r="M11" i="13"/>
  <c r="N11" i="13"/>
  <c r="M12" i="13"/>
  <c r="N12" i="13"/>
  <c r="O12" i="13"/>
  <c r="P12" i="13"/>
  <c r="M8" i="13"/>
  <c r="N8" i="13"/>
  <c r="O8" i="13"/>
  <c r="P8" i="13"/>
  <c r="M7" i="13"/>
  <c r="N7" i="13"/>
  <c r="O7" i="13"/>
  <c r="P7" i="13"/>
  <c r="N24" i="12"/>
  <c r="S25" i="12"/>
  <c r="T25" i="12"/>
  <c r="C24" i="12"/>
  <c r="H23" i="12"/>
  <c r="L20" i="12"/>
  <c r="M20" i="12"/>
  <c r="M22" i="11"/>
  <c r="E22" i="11"/>
  <c r="C22" i="11"/>
  <c r="G21" i="11"/>
  <c r="K21" i="11"/>
  <c r="F20" i="11"/>
  <c r="G20" i="11"/>
  <c r="F19" i="11"/>
  <c r="K19" i="11"/>
  <c r="F18" i="11"/>
  <c r="K18" i="11" s="1"/>
  <c r="G18" i="11"/>
  <c r="F17" i="11"/>
  <c r="K17" i="11"/>
  <c r="F16" i="11"/>
  <c r="G16" i="11"/>
  <c r="K16" i="11"/>
  <c r="F15" i="11"/>
  <c r="F14" i="11"/>
  <c r="K14" i="11" s="1"/>
  <c r="G14" i="11"/>
  <c r="F13" i="11"/>
  <c r="K13" i="11"/>
  <c r="G12" i="11"/>
  <c r="K12" i="11"/>
  <c r="L7" i="11"/>
  <c r="G21" i="7"/>
  <c r="K21" i="7"/>
  <c r="F13" i="7"/>
  <c r="G13" i="7"/>
  <c r="F14" i="7"/>
  <c r="K14" i="7"/>
  <c r="F15" i="7"/>
  <c r="G15" i="7"/>
  <c r="F16" i="7"/>
  <c r="G16" i="7"/>
  <c r="F17" i="7"/>
  <c r="G17" i="7"/>
  <c r="K17" i="7"/>
  <c r="F18" i="7"/>
  <c r="G18" i="7"/>
  <c r="K18" i="7"/>
  <c r="F20" i="7"/>
  <c r="G20" i="7" s="1"/>
  <c r="K20" i="7"/>
  <c r="E22" i="7"/>
  <c r="G12" i="7"/>
  <c r="K12" i="7"/>
  <c r="L7" i="7"/>
  <c r="R23" i="7"/>
  <c r="S23" i="7"/>
  <c r="F19" i="7"/>
  <c r="K19" i="7"/>
  <c r="L19" i="7"/>
  <c r="W13" i="7"/>
  <c r="B10" i="8"/>
  <c r="B9" i="8"/>
  <c r="C22" i="7"/>
  <c r="M22" i="7"/>
  <c r="G17" i="11"/>
  <c r="K20" i="11"/>
  <c r="L20" i="11"/>
  <c r="T31" i="7"/>
  <c r="F24" i="12"/>
  <c r="L23" i="12"/>
  <c r="M23" i="12"/>
  <c r="O11" i="13"/>
  <c r="P11" i="13"/>
  <c r="B7" i="8"/>
  <c r="B8" i="8"/>
  <c r="G19" i="7"/>
  <c r="K16" i="7"/>
  <c r="L16" i="7"/>
  <c r="G14" i="7"/>
  <c r="G22" i="7" s="1"/>
  <c r="G19" i="11"/>
  <c r="T31" i="11"/>
  <c r="R23" i="11"/>
  <c r="S23" i="11"/>
  <c r="K13" i="7"/>
  <c r="L13" i="7"/>
  <c r="G13" i="11"/>
  <c r="L16" i="11"/>
  <c r="L18" i="11"/>
  <c r="K15" i="7"/>
  <c r="L15" i="7"/>
  <c r="I17" i="7"/>
  <c r="J17" i="7"/>
  <c r="I21" i="7"/>
  <c r="J21" i="7"/>
  <c r="N21" i="7"/>
  <c r="I12" i="7"/>
  <c r="I13" i="7"/>
  <c r="J13" i="7"/>
  <c r="I20" i="7"/>
  <c r="J20" i="7"/>
  <c r="I19" i="7"/>
  <c r="J19" i="7"/>
  <c r="I14" i="7"/>
  <c r="J14" i="7"/>
  <c r="I15" i="7"/>
  <c r="J15" i="7"/>
  <c r="J8" i="7"/>
  <c r="U6" i="7"/>
  <c r="I16" i="7"/>
  <c r="J16" i="7"/>
  <c r="I18" i="7"/>
  <c r="J18" i="7"/>
  <c r="J12" i="7"/>
  <c r="I22" i="7"/>
  <c r="J22" i="7"/>
  <c r="N12" i="7"/>
  <c r="N22" i="7"/>
  <c r="H24" i="12"/>
  <c r="J12" i="12" s="1"/>
  <c r="K12" i="12" s="1"/>
  <c r="J14" i="12"/>
  <c r="K14" i="12"/>
  <c r="J16" i="12"/>
  <c r="K16" i="12"/>
  <c r="J18" i="12"/>
  <c r="K18" i="12"/>
  <c r="J19" i="12"/>
  <c r="K19" i="12"/>
  <c r="J15" i="12"/>
  <c r="K15" i="12"/>
  <c r="J17" i="12"/>
  <c r="K17" i="12"/>
  <c r="O24" i="12"/>
  <c r="J23" i="12"/>
  <c r="K23" i="12"/>
  <c r="J20" i="12"/>
  <c r="K20" i="12"/>
  <c r="J13" i="12"/>
  <c r="K13" i="12"/>
  <c r="K24" i="12"/>
  <c r="J24" i="12"/>
  <c r="L21" i="7" l="1"/>
  <c r="L14" i="7"/>
  <c r="L17" i="7"/>
  <c r="L18" i="7"/>
  <c r="L20" i="7"/>
  <c r="L12" i="7"/>
  <c r="L21" i="11"/>
  <c r="L19" i="11"/>
  <c r="L17" i="11"/>
  <c r="L13" i="11"/>
  <c r="L12" i="11"/>
  <c r="L14" i="11"/>
  <c r="G15" i="11"/>
  <c r="G22" i="11" s="1"/>
  <c r="K15" i="11"/>
  <c r="L15" i="11" s="1"/>
  <c r="J8" i="12"/>
  <c r="M8" i="12"/>
  <c r="Y14" i="12" l="1"/>
  <c r="Z14" i="12" s="1"/>
  <c r="Z18" i="12"/>
  <c r="Y12" i="12"/>
  <c r="Y16" i="12"/>
  <c r="Z16" i="12" s="1"/>
  <c r="Y15" i="12"/>
  <c r="Z15" i="12" s="1"/>
  <c r="Z13" i="12"/>
  <c r="Y19" i="12"/>
  <c r="Z19" i="12" s="1"/>
  <c r="Z20" i="12"/>
  <c r="Y17" i="12"/>
  <c r="Z17" i="12" s="1"/>
  <c r="V6" i="12"/>
  <c r="X25" i="12"/>
  <c r="AB25" i="12"/>
  <c r="I16" i="11"/>
  <c r="J16" i="11" s="1"/>
  <c r="I19" i="11"/>
  <c r="J19" i="11" s="1"/>
  <c r="I17" i="11"/>
  <c r="J17" i="11" s="1"/>
  <c r="I13" i="11"/>
  <c r="J13" i="11" s="1"/>
  <c r="I18" i="11"/>
  <c r="J18" i="11" s="1"/>
  <c r="I20" i="11"/>
  <c r="J20" i="11" s="1"/>
  <c r="I14" i="11"/>
  <c r="J14" i="11" s="1"/>
  <c r="I12" i="11"/>
  <c r="I15" i="11"/>
  <c r="J15" i="11" s="1"/>
  <c r="I21" i="11"/>
  <c r="J21" i="11" s="1"/>
  <c r="N21" i="11" s="1"/>
  <c r="J8" i="11"/>
  <c r="U6" i="11" s="1"/>
  <c r="I22" i="11" l="1"/>
  <c r="I23" i="11" s="1"/>
  <c r="J12" i="11"/>
  <c r="Z12" i="12"/>
  <c r="Y23" i="12"/>
  <c r="N12" i="11" l="1"/>
  <c r="N22" i="11" s="1"/>
  <c r="J22" i="11"/>
</calcChain>
</file>

<file path=xl/sharedStrings.xml><?xml version="1.0" encoding="utf-8"?>
<sst xmlns="http://schemas.openxmlformats.org/spreadsheetml/2006/main" count="267" uniqueCount="126">
  <si>
    <t xml:space="preserve">EQUILIBRAGE </t>
  </si>
  <si>
    <t>Date</t>
  </si>
  <si>
    <t>Legende:</t>
  </si>
  <si>
    <t xml:space="preserve">                                                Seules, les cellules colorées en jaune peuvent être saisies</t>
  </si>
  <si>
    <t>modelo</t>
  </si>
  <si>
    <t>chaîne</t>
  </si>
  <si>
    <t>Effectif:</t>
  </si>
  <si>
    <t>durée quotidienne</t>
  </si>
  <si>
    <t xml:space="preserve">PRODUCTION PAR HEURE </t>
  </si>
  <si>
    <t>p</t>
  </si>
  <si>
    <t xml:space="preserve">R% Cible </t>
  </si>
  <si>
    <t>mn</t>
  </si>
  <si>
    <t>Prod Cible</t>
  </si>
  <si>
    <t>Données calculées automatiquement</t>
  </si>
  <si>
    <t>Equilibrage nominatif ( saisie manuelle)</t>
  </si>
  <si>
    <t>Operation</t>
  </si>
  <si>
    <t>Machine</t>
  </si>
  <si>
    <t>NBRE Machine</t>
  </si>
  <si>
    <t>FR</t>
  </si>
  <si>
    <t>DMH</t>
  </si>
  <si>
    <t>SAM</t>
  </si>
  <si>
    <t>Activité</t>
  </si>
  <si>
    <t>Charge en h</t>
  </si>
  <si>
    <t>Charge en effectif</t>
  </si>
  <si>
    <t>P/h</t>
  </si>
  <si>
    <t>pièces /jour</t>
  </si>
  <si>
    <t xml:space="preserve"> Effectif </t>
  </si>
  <si>
    <t>Ecart effectif</t>
  </si>
  <si>
    <t>Mat</t>
  </si>
  <si>
    <t>Noms ou prénoms</t>
  </si>
  <si>
    <t>PERCAGE CACHE</t>
  </si>
  <si>
    <t>Montage poignet / support</t>
  </si>
  <si>
    <t>Montage flasque /support</t>
  </si>
  <si>
    <t>Sertissage broche/ lame de terre</t>
  </si>
  <si>
    <t xml:space="preserve">Sertissage lame + Fil souple </t>
  </si>
  <si>
    <t>Sertissage lame/ cordon</t>
  </si>
  <si>
    <t>Préparation soudage</t>
  </si>
  <si>
    <t>Assemblage final</t>
  </si>
  <si>
    <t>Enroulage + mise en carton</t>
  </si>
  <si>
    <t>Total</t>
  </si>
  <si>
    <t>VT</t>
  </si>
  <si>
    <t>J</t>
  </si>
  <si>
    <t>Heure</t>
  </si>
  <si>
    <t>Min</t>
  </si>
  <si>
    <t>Commentaire:</t>
  </si>
  <si>
    <t>Visa chef de cellule</t>
  </si>
  <si>
    <t xml:space="preserve">Visa Responsable de Salle </t>
  </si>
  <si>
    <t xml:space="preserve">Direction technique </t>
  </si>
  <si>
    <t>Opérateur</t>
  </si>
  <si>
    <t xml:space="preserve">TEMPS </t>
  </si>
  <si>
    <t>TT</t>
  </si>
  <si>
    <t>TT 0.5min</t>
  </si>
  <si>
    <t>OP 1</t>
  </si>
  <si>
    <t>OP2</t>
  </si>
  <si>
    <t>OP3</t>
  </si>
  <si>
    <t>OP4</t>
  </si>
  <si>
    <t>A 512</t>
  </si>
  <si>
    <t>B 301</t>
  </si>
  <si>
    <t>C  512</t>
  </si>
  <si>
    <t>E401</t>
  </si>
  <si>
    <t>F 512</t>
  </si>
  <si>
    <t>G 406</t>
  </si>
  <si>
    <t>J 406</t>
  </si>
  <si>
    <t>D401</t>
  </si>
  <si>
    <t>H 512</t>
  </si>
  <si>
    <t>BF</t>
  </si>
  <si>
    <t>POSTE</t>
  </si>
  <si>
    <t>Prédécesseurs</t>
  </si>
  <si>
    <t>JEU.</t>
  </si>
  <si>
    <t>TA</t>
  </si>
  <si>
    <t xml:space="preserve">AFFECTATION </t>
  </si>
  <si>
    <t>Temps affecté</t>
  </si>
  <si>
    <t>ecart/BF</t>
  </si>
  <si>
    <t>DESEQUILIBRE%</t>
  </si>
  <si>
    <t>POSTE 1</t>
  </si>
  <si>
    <t>POSTE 2</t>
  </si>
  <si>
    <t>POSTE 3</t>
  </si>
  <si>
    <t>collecter encol. Devt et col
couper précis dasn le prolongement des emmanchures</t>
  </si>
  <si>
    <t>&amp;SFTCOLENCO007</t>
  </si>
  <si>
    <t>$COL-2AIG</t>
  </si>
  <si>
    <t>HANANE</t>
  </si>
  <si>
    <t>FATIMA</t>
  </si>
  <si>
    <t>collecter emmanchure+bretelle avec rentort</t>
  </si>
  <si>
    <t>&amp;SFTCOLEMMA000</t>
  </si>
  <si>
    <t>assembler côtés+vignette</t>
  </si>
  <si>
    <t>&amp;SFTASSCOTE020</t>
  </si>
  <si>
    <t>$SURJ-3F</t>
  </si>
  <si>
    <t>&amp;SFTCOLENCO007, &amp;SFTCOLEMMA000</t>
  </si>
  <si>
    <t>ourler TS invisible en rond</t>
  </si>
  <si>
    <t>&amp;SFTOURBCOR000</t>
  </si>
  <si>
    <t>$OURL-2F-INV</t>
  </si>
  <si>
    <t>&amp;SFTCOLENCO007, &amp;SFTASSCOTE020</t>
  </si>
  <si>
    <t>KARIMA</t>
  </si>
  <si>
    <t>visitage-pliage-condit.selectif standard</t>
  </si>
  <si>
    <t>C4F1BCONCHBSS4</t>
  </si>
  <si>
    <t>MAIN</t>
  </si>
  <si>
    <t>LEILA</t>
  </si>
  <si>
    <t>C4F1ECONCHBSS4</t>
  </si>
  <si>
    <t>NADA</t>
  </si>
  <si>
    <t>C4F1JCONCHBSS4</t>
  </si>
  <si>
    <t>&amp;SFTCOLEMMA000, &amp;SFTASSCOTE020</t>
  </si>
  <si>
    <t>YASMINE</t>
  </si>
  <si>
    <t>Nb Pcs</t>
  </si>
  <si>
    <t>c 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</si>
  <si>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</si>
  <si>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</si>
  <si>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</si>
  <si>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</si>
  <si>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</si>
  <si>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</si>
  <si>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</si>
  <si>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</si>
  <si>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</si>
  <si>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Cycle moyen </t>
  </si>
  <si>
    <t xml:space="preserve">Temps/pcs </t>
  </si>
  <si>
    <t>Temps majoré</t>
  </si>
  <si>
    <t>Tps (dmh)</t>
  </si>
  <si>
    <t>Positionner Puce/ boite</t>
  </si>
  <si>
    <t xml:space="preserve">Insertion ventouse </t>
  </si>
  <si>
    <t xml:space="preserve">Encliquetage mécanisme </t>
  </si>
  <si>
    <t xml:space="preserve">Montage enjoliveur/boite </t>
  </si>
  <si>
    <t>Insertion vis+vissage</t>
  </si>
  <si>
    <t xml:space="preserve">Encliquetage manette </t>
  </si>
  <si>
    <t xml:space="preserve">contrôle + mise en bac </t>
  </si>
  <si>
    <t>Déplacer boite vers P2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</si>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</sst>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F_-;\-* #,##0.00\ _F_-;_-* &quot;-&quot;??\ _F_-;_-@_-"/>
    <numFmt numFmtId="165" formatCode="0.0"/>
    <numFmt numFmtId="166" formatCode="0.000"/>
    <numFmt numFmtId="167" formatCode="_-* #,##0.0\ _€_-;\-* #,##0.0\ _€_-;_-* &quot;-&quot;??\ _€_-;_-@_-"/>
    <numFmt numFmtId="168" formatCode="_-* #,##0\ _€_-;\-* #,##0\ _€_-;_-* &quot;-&quot;??\ _€_-;_-@_-"/>
    <numFmt numFmtId="169" formatCode="_-* #,##0.0\ _F_-;\-* #,##0.0\ _F_-;_-* &quot;-&quot;??\ _F_-;_-@_-"/>
  </numFmts>
  <fonts count="3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9"/>
      <name val="Tahoma"/>
      <family val="2"/>
    </font>
    <font>
      <b/>
      <i/>
      <u/>
      <sz val="10"/>
      <name val="Tahoma"/>
      <family val="2"/>
    </font>
    <font>
      <b/>
      <u/>
      <sz val="10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9"/>
      <name val="Tahoma"/>
      <family val="2"/>
    </font>
    <font>
      <b/>
      <u/>
      <sz val="9"/>
      <name val="Tahoma"/>
      <family val="2"/>
    </font>
    <font>
      <sz val="10"/>
      <color indexed="9"/>
      <name val="Tahoma"/>
      <family val="2"/>
    </font>
    <font>
      <b/>
      <u val="singleAccounting"/>
      <sz val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8"/>
      <color theme="5"/>
      <name val="Tahoma"/>
      <family val="2"/>
    </font>
    <font>
      <sz val="10"/>
      <color theme="0"/>
      <name val="Arial"/>
      <family val="2"/>
    </font>
    <font>
      <sz val="10"/>
      <color rgb="FFC00000"/>
      <name val="Arial"/>
      <family val="2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10"/>
      <color theme="5"/>
      <name val="Arial"/>
      <family val="2"/>
    </font>
    <font>
      <sz val="8"/>
      <color rgb="FFFF0000"/>
      <name val="Tahoma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24">
    <xf numFmtId="0" fontId="0" fillId="0" borderId="0" xfId="0"/>
    <xf numFmtId="164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3" xfId="3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0" xfId="1" applyNumberFormat="1" applyFont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0" xfId="3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0" xfId="3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7" fontId="4" fillId="2" borderId="11" xfId="1" applyNumberFormat="1" applyFont="1" applyFill="1" applyBorder="1" applyAlignment="1" applyProtection="1">
      <alignment horizontal="center" vertical="center"/>
      <protection locked="0"/>
    </xf>
    <xf numFmtId="167" fontId="4" fillId="2" borderId="12" xfId="1" applyNumberFormat="1" applyFont="1" applyFill="1" applyBorder="1" applyAlignment="1" applyProtection="1">
      <alignment horizontal="center" vertical="center"/>
      <protection locked="0"/>
    </xf>
    <xf numFmtId="9" fontId="4" fillId="0" borderId="0" xfId="3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3" xfId="3" applyFont="1" applyFill="1" applyBorder="1" applyAlignment="1">
      <alignment horizontal="center" vertical="center" wrapText="1"/>
    </xf>
    <xf numFmtId="164" fontId="11" fillId="4" borderId="14" xfId="1" applyFont="1" applyFill="1" applyBorder="1" applyAlignment="1">
      <alignment horizontal="center" vertical="center" wrapText="1"/>
    </xf>
    <xf numFmtId="164" fontId="11" fillId="4" borderId="15" xfId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164" fontId="11" fillId="5" borderId="4" xfId="1" applyFont="1" applyFill="1" applyBorder="1" applyAlignment="1">
      <alignment horizontal="center" vertical="center" wrapText="1"/>
    </xf>
    <xf numFmtId="164" fontId="11" fillId="5" borderId="2" xfId="1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 applyProtection="1">
      <alignment horizontal="center" vertical="center"/>
      <protection locked="0"/>
    </xf>
    <xf numFmtId="166" fontId="4" fillId="2" borderId="19" xfId="0" applyNumberFormat="1" applyFont="1" applyFill="1" applyBorder="1" applyAlignment="1" applyProtection="1">
      <alignment horizontal="center" vertical="center"/>
      <protection locked="0"/>
    </xf>
    <xf numFmtId="167" fontId="4" fillId="0" borderId="16" xfId="1" applyNumberFormat="1" applyFont="1" applyFill="1" applyBorder="1" applyAlignment="1">
      <alignment horizontal="center" vertical="center"/>
    </xf>
    <xf numFmtId="167" fontId="4" fillId="0" borderId="19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1" quotePrefix="1" applyFont="1" applyBorder="1" applyAlignment="1">
      <alignment horizontal="center"/>
    </xf>
    <xf numFmtId="165" fontId="13" fillId="2" borderId="21" xfId="1" applyNumberFormat="1" applyFont="1" applyFill="1" applyBorder="1" applyAlignment="1" applyProtection="1">
      <alignment horizontal="center" vertical="center"/>
      <protection locked="0"/>
    </xf>
    <xf numFmtId="164" fontId="4" fillId="0" borderId="22" xfId="1" applyFont="1" applyBorder="1" applyAlignment="1">
      <alignment horizontal="center"/>
    </xf>
    <xf numFmtId="164" fontId="4" fillId="0" borderId="23" xfId="1" applyFont="1" applyBorder="1" applyAlignment="1">
      <alignment horizontal="center"/>
    </xf>
    <xf numFmtId="0" fontId="14" fillId="2" borderId="24" xfId="0" applyFont="1" applyFill="1" applyBorder="1" applyAlignment="1" applyProtection="1">
      <alignment horizontal="center"/>
      <protection locked="0"/>
    </xf>
    <xf numFmtId="164" fontId="4" fillId="0" borderId="20" xfId="1" applyFont="1" applyBorder="1" applyAlignment="1">
      <alignment horizontal="center"/>
    </xf>
    <xf numFmtId="0" fontId="4" fillId="2" borderId="25" xfId="1" applyNumberFormat="1" applyFont="1" applyFill="1" applyBorder="1" applyAlignment="1" applyProtection="1">
      <alignment horizontal="center" vertical="center"/>
      <protection locked="0"/>
    </xf>
    <xf numFmtId="164" fontId="11" fillId="5" borderId="3" xfId="1" applyFont="1" applyFill="1" applyBorder="1" applyAlignment="1">
      <alignment horizontal="center" vertical="center" wrapText="1"/>
    </xf>
    <xf numFmtId="2" fontId="4" fillId="0" borderId="19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28" xfId="0" applyFont="1" applyBorder="1" applyAlignment="1" applyProtection="1">
      <alignment horizontal="center" vertical="center"/>
      <protection locked="0"/>
    </xf>
    <xf numFmtId="2" fontId="13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" fontId="7" fillId="0" borderId="27" xfId="0" applyNumberFormat="1" applyFont="1" applyBorder="1" applyAlignment="1">
      <alignment horizontal="center" vertical="center"/>
    </xf>
    <xf numFmtId="169" fontId="16" fillId="0" borderId="30" xfId="1" applyNumberFormat="1" applyFont="1" applyBorder="1" applyAlignment="1">
      <alignment horizontal="center" vertical="center"/>
    </xf>
    <xf numFmtId="9" fontId="4" fillId="7" borderId="31" xfId="3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9" fontId="13" fillId="9" borderId="33" xfId="3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2" borderId="16" xfId="0" applyNumberFormat="1" applyFont="1" applyFill="1" applyBorder="1" applyAlignment="1" applyProtection="1">
      <alignment horizontal="left" vertical="center"/>
      <protection locked="0"/>
    </xf>
    <xf numFmtId="1" fontId="4" fillId="2" borderId="35" xfId="0" applyNumberFormat="1" applyFont="1" applyFill="1" applyBorder="1" applyAlignment="1" applyProtection="1">
      <alignment horizontal="left" vertical="center"/>
      <protection locked="0"/>
    </xf>
    <xf numFmtId="1" fontId="4" fillId="2" borderId="36" xfId="0" applyNumberFormat="1" applyFont="1" applyFill="1" applyBorder="1" applyAlignment="1" applyProtection="1">
      <alignment horizontal="left" vertical="center"/>
      <protection locked="0"/>
    </xf>
    <xf numFmtId="166" fontId="7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11" fillId="10" borderId="14" xfId="1" quotePrefix="1" applyFont="1" applyFill="1" applyBorder="1" applyAlignment="1">
      <alignment horizontal="center" vertical="center" wrapText="1"/>
    </xf>
    <xf numFmtId="0" fontId="22" fillId="2" borderId="16" xfId="1" applyNumberFormat="1" applyFont="1" applyFill="1" applyBorder="1" applyAlignment="1" applyProtection="1">
      <alignment horizontal="center" vertical="center"/>
      <protection locked="0"/>
    </xf>
    <xf numFmtId="166" fontId="0" fillId="0" borderId="13" xfId="0" applyNumberFormat="1" applyBorder="1"/>
    <xf numFmtId="0" fontId="23" fillId="11" borderId="0" xfId="0" applyFont="1" applyFill="1" applyAlignment="1">
      <alignment horizontal="center"/>
    </xf>
    <xf numFmtId="0" fontId="2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67" fontId="11" fillId="0" borderId="19" xfId="1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 applyProtection="1">
      <alignment horizontal="center" vertical="center"/>
      <protection locked="0"/>
    </xf>
    <xf numFmtId="2" fontId="4" fillId="2" borderId="19" xfId="0" applyNumberFormat="1" applyFont="1" applyFill="1" applyBorder="1" applyAlignment="1" applyProtection="1">
      <alignment horizontal="center" vertical="center"/>
      <protection locked="0"/>
    </xf>
    <xf numFmtId="2" fontId="4" fillId="2" borderId="29" xfId="0" applyNumberFormat="1" applyFont="1" applyFill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>
      <alignment horizontal="center" vertical="center"/>
    </xf>
    <xf numFmtId="167" fontId="4" fillId="21" borderId="11" xfId="1" applyNumberFormat="1" applyFont="1" applyFill="1" applyBorder="1" applyAlignment="1" applyProtection="1">
      <alignment horizontal="center" vertical="center"/>
      <protection locked="0"/>
    </xf>
    <xf numFmtId="164" fontId="3" fillId="0" borderId="0" xfId="1" applyFont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21" fillId="0" borderId="13" xfId="2" applyFont="1" applyBorder="1" applyAlignment="1">
      <alignment horizontal="center"/>
    </xf>
    <xf numFmtId="0" fontId="17" fillId="0" borderId="13" xfId="2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8" fillId="2" borderId="13" xfId="0" applyFont="1" applyFill="1" applyBorder="1" applyAlignment="1" applyProtection="1">
      <alignment horizontal="left" vertical="center"/>
      <protection locked="0"/>
    </xf>
    <xf numFmtId="2" fontId="0" fillId="0" borderId="14" xfId="0" applyNumberFormat="1" applyBorder="1" applyAlignment="1">
      <alignment horizontal="center" vertical="center"/>
    </xf>
    <xf numFmtId="0" fontId="28" fillId="12" borderId="13" xfId="0" applyFont="1" applyFill="1" applyBorder="1" applyAlignment="1" applyProtection="1">
      <alignment horizontal="left" vertical="center"/>
      <protection locked="0"/>
    </xf>
    <xf numFmtId="0" fontId="0" fillId="12" borderId="13" xfId="0" applyFill="1" applyBorder="1" applyAlignment="1">
      <alignment horizontal="center" vertical="center"/>
    </xf>
    <xf numFmtId="166" fontId="0" fillId="12" borderId="13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8" fillId="2" borderId="39" xfId="0" applyFont="1" applyFill="1" applyBorder="1" applyAlignment="1" applyProtection="1">
      <alignment horizontal="left" vertical="center"/>
      <protection locked="0"/>
    </xf>
    <xf numFmtId="0" fontId="12" fillId="0" borderId="40" xfId="0" applyFont="1" applyBorder="1"/>
    <xf numFmtId="0" fontId="12" fillId="0" borderId="41" xfId="0" applyFont="1" applyBorder="1"/>
    <xf numFmtId="9" fontId="11" fillId="3" borderId="42" xfId="3" applyFont="1" applyFill="1" applyBorder="1" applyAlignment="1">
      <alignment horizontal="center" vertical="center" wrapText="1"/>
    </xf>
    <xf numFmtId="164" fontId="11" fillId="10" borderId="43" xfId="1" quotePrefix="1" applyFont="1" applyFill="1" applyBorder="1" applyAlignment="1">
      <alignment horizontal="center" vertical="center" wrapText="1"/>
    </xf>
    <xf numFmtId="164" fontId="11" fillId="4" borderId="44" xfId="1" applyFont="1" applyFill="1" applyBorder="1" applyAlignment="1">
      <alignment horizontal="center" vertical="center" wrapText="1"/>
    </xf>
    <xf numFmtId="167" fontId="4" fillId="0" borderId="45" xfId="1" applyNumberFormat="1" applyFont="1" applyFill="1" applyBorder="1" applyAlignment="1">
      <alignment horizontal="center" vertical="center"/>
    </xf>
    <xf numFmtId="168" fontId="4" fillId="0" borderId="46" xfId="1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12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14" fillId="2" borderId="47" xfId="0" applyNumberFormat="1" applyFont="1" applyFill="1" applyBorder="1" applyAlignment="1" applyProtection="1">
      <alignment horizontal="center"/>
      <protection locked="0"/>
    </xf>
    <xf numFmtId="0" fontId="2" fillId="23" borderId="13" xfId="0" applyFont="1" applyFill="1" applyBorder="1" applyAlignment="1">
      <alignment horizontal="center"/>
    </xf>
    <xf numFmtId="9" fontId="2" fillId="0" borderId="13" xfId="3" applyFont="1" applyBorder="1" applyAlignment="1">
      <alignment horizontal="center"/>
    </xf>
    <xf numFmtId="2" fontId="2" fillId="23" borderId="13" xfId="0" applyNumberFormat="1" applyFont="1" applyFill="1" applyBorder="1" applyAlignment="1">
      <alignment horizontal="center"/>
    </xf>
    <xf numFmtId="2" fontId="2" fillId="24" borderId="13" xfId="0" applyNumberFormat="1" applyFont="1" applyFill="1" applyBorder="1" applyAlignment="1">
      <alignment horizontal="center"/>
    </xf>
    <xf numFmtId="2" fontId="2" fillId="25" borderId="13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6" fillId="26" borderId="13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2" fillId="27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30" borderId="13" xfId="0" applyFont="1" applyFill="1" applyBorder="1" applyAlignment="1">
      <alignment horizontal="center"/>
    </xf>
    <xf numFmtId="0" fontId="2" fillId="31" borderId="13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1" fontId="4" fillId="33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/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31" fillId="0" borderId="61" xfId="0" applyFont="1" applyBorder="1"/>
    <xf numFmtId="0" fontId="0" fillId="0" borderId="62" xfId="0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4" fontId="13" fillId="2" borderId="51" xfId="1" applyNumberFormat="1" applyFont="1" applyFill="1" applyBorder="1" applyAlignment="1" applyProtection="1">
      <alignment horizontal="center"/>
      <protection locked="0"/>
    </xf>
    <xf numFmtId="14" fontId="13" fillId="2" borderId="21" xfId="1" applyNumberFormat="1" applyFont="1" applyFill="1" applyBorder="1" applyAlignment="1" applyProtection="1">
      <alignment horizontal="center"/>
      <protection locked="0"/>
    </xf>
    <xf numFmtId="1" fontId="13" fillId="2" borderId="18" xfId="1" applyNumberFormat="1" applyFont="1" applyFill="1" applyBorder="1" applyAlignment="1" applyProtection="1">
      <alignment horizontal="center"/>
      <protection locked="0"/>
    </xf>
    <xf numFmtId="1" fontId="13" fillId="2" borderId="33" xfId="1" applyNumberFormat="1" applyFont="1" applyFill="1" applyBorder="1" applyAlignment="1" applyProtection="1">
      <alignment horizontal="center"/>
      <protection locked="0"/>
    </xf>
    <xf numFmtId="0" fontId="13" fillId="2" borderId="17" xfId="1" applyNumberFormat="1" applyFont="1" applyFill="1" applyBorder="1" applyAlignment="1" applyProtection="1">
      <alignment horizontal="center"/>
      <protection locked="0"/>
    </xf>
    <xf numFmtId="0" fontId="13" fillId="2" borderId="32" xfId="1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164" fontId="11" fillId="4" borderId="1" xfId="1" applyFont="1" applyFill="1" applyBorder="1" applyAlignment="1">
      <alignment horizontal="center"/>
    </xf>
    <xf numFmtId="164" fontId="11" fillId="4" borderId="3" xfId="1" applyFont="1" applyFill="1" applyBorder="1" applyAlignment="1">
      <alignment horizontal="center"/>
    </xf>
    <xf numFmtId="164" fontId="11" fillId="4" borderId="34" xfId="1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2" borderId="52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164" fontId="11" fillId="4" borderId="3" xfId="1" applyFont="1" applyFill="1" applyBorder="1" applyAlignment="1">
      <alignment horizontal="center" vertical="center"/>
    </xf>
    <xf numFmtId="164" fontId="11" fillId="4" borderId="34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0" fillId="8" borderId="54" xfId="2" applyFont="1" applyFill="1" applyBorder="1" applyAlignment="1">
      <alignment horizontal="center" vertical="center" wrapText="1"/>
    </xf>
    <xf numFmtId="0" fontId="20" fillId="8" borderId="26" xfId="2" applyFont="1" applyFill="1" applyBorder="1" applyAlignment="1">
      <alignment horizontal="center" vertical="center" wrapText="1"/>
    </xf>
    <xf numFmtId="0" fontId="20" fillId="8" borderId="55" xfId="2" applyFont="1" applyFill="1" applyBorder="1" applyAlignment="1">
      <alignment horizontal="center" vertical="center" wrapText="1"/>
    </xf>
    <xf numFmtId="0" fontId="20" fillId="8" borderId="56" xfId="2" applyFont="1" applyFill="1" applyBorder="1" applyAlignment="1">
      <alignment horizontal="center" vertical="center" wrapText="1"/>
    </xf>
    <xf numFmtId="0" fontId="20" fillId="8" borderId="53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" fillId="32" borderId="42" xfId="0" applyFont="1" applyFill="1" applyBorder="1" applyAlignment="1">
      <alignment horizontal="center"/>
    </xf>
    <xf numFmtId="0" fontId="2" fillId="32" borderId="57" xfId="0" applyFont="1" applyFill="1" applyBorder="1" applyAlignment="1">
      <alignment horizontal="center"/>
    </xf>
    <xf numFmtId="0" fontId="2" fillId="29" borderId="58" xfId="0" applyFont="1" applyFill="1" applyBorder="1" applyAlignment="1">
      <alignment horizontal="center"/>
    </xf>
    <xf numFmtId="0" fontId="2" fillId="29" borderId="59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2" fillId="29" borderId="60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60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2" fillId="31" borderId="60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_Potentiel Gr 5106" xfId="2" xr:uid="{37FAB866-0C9F-4289-BD14-2F1893E9886C}"/>
    <cellStyle name="Pourcentage" xfId="3" builtinId="5"/>
  </cellStyles>
  <dxfs count="9"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</dxfs>
  <tableStyles count="1" defaultTableStyle="TableStyleMedium9" defaultPivotStyle="PivotStyleLight16">
    <tableStyle name="Invisible" pivot="0" table="0" count="0" xr9:uid="{CE3EC41B-5907-4F4E-831B-4C16334563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DIGRAMME YAMAZUMI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'DIAGRAMME DU TAKT'!$A$7:$A$10</c:f>
              <c:strCache>
                <c:ptCount val="4"/>
                <c:pt idx="0">
                  <c:v>OP 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'DIAGRAMME DU TAKT'!$B$7:$B$10</c:f>
              <c:numCache>
                <c:formatCode>0.000</c:formatCode>
                <c:ptCount val="4"/>
                <c:pt idx="0">
                  <c:v>0.22962000000000002</c:v>
                </c:pt>
                <c:pt idx="1">
                  <c:v>1.2611999999999999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8AE-99AB-2332D3D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33536"/>
        <c:axId val="1"/>
      </c:barChart>
      <c:catAx>
        <c:axId val="1200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00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121920</xdr:rowOff>
    </xdr:from>
    <xdr:to>
      <xdr:col>9</xdr:col>
      <xdr:colOff>746760</xdr:colOff>
      <xdr:row>19</xdr:row>
      <xdr:rowOff>38100</xdr:rowOff>
    </xdr:to>
    <xdr:graphicFrame macro="">
      <xdr:nvGraphicFramePr>
        <xdr:cNvPr id="2196" name="Graphique 1">
          <a:extLst>
            <a:ext uri="{FF2B5EF4-FFF2-40B4-BE49-F238E27FC236}">
              <a16:creationId xmlns:a16="http://schemas.microsoft.com/office/drawing/2014/main" id="{864BB04D-5FA4-4520-637E-54F9CE27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</xdr:colOff>
      <xdr:row>5</xdr:row>
      <xdr:rowOff>133350</xdr:rowOff>
    </xdr:from>
    <xdr:to>
      <xdr:col>9</xdr:col>
      <xdr:colOff>647065</xdr:colOff>
      <xdr:row>5</xdr:row>
      <xdr:rowOff>139700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F7B0673-C86C-50D8-7E0E-0EA9CCF72D5C}"/>
            </a:ext>
          </a:extLst>
        </xdr:cNvPr>
        <xdr:cNvCxnSpPr/>
      </xdr:nvCxnSpPr>
      <xdr:spPr>
        <a:xfrm>
          <a:off x="3162300" y="927100"/>
          <a:ext cx="4318000" cy="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13</xdr:col>
      <xdr:colOff>746760</xdr:colOff>
      <xdr:row>35</xdr:row>
      <xdr:rowOff>91440</xdr:rowOff>
    </xdr:to>
    <xdr:pic>
      <xdr:nvPicPr>
        <xdr:cNvPr id="80899" name="Picture 5">
          <a:extLst>
            <a:ext uri="{FF2B5EF4-FFF2-40B4-BE49-F238E27FC236}">
              <a16:creationId xmlns:a16="http://schemas.microsoft.com/office/drawing/2014/main" id="{99D701A2-9739-048A-AD0F-64211E6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90500"/>
          <a:ext cx="10226040" cy="5768340"/>
        </a:xfrm>
        <a:prstGeom prst="rect">
          <a:avLst/>
        </a:prstGeom>
        <a:noFill/>
        <a:ln w="9525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C1-8F27-4323-9F76-76473F543FC7}">
  <sheetPr codeName="Feuil2">
    <pageSetUpPr fitToPage="1"/>
  </sheetPr>
  <dimension ref="A1:W33"/>
  <sheetViews>
    <sheetView showGridLines="0" showZeros="0" zoomScale="90" zoomScaleNormal="90" zoomScalePageLayoutView="70" workbookViewId="0">
      <selection activeCell="E13" sqref="E13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9.88671875" style="9" customWidth="1"/>
    <col min="6" max="6" width="0.109375" style="9" customWidth="1"/>
    <col min="7" max="7" width="8.33203125" style="9" customWidth="1"/>
    <col min="8" max="8" width="9.5546875" style="10" customWidth="1"/>
    <col min="9" max="9" width="10.6640625" style="1" customWidth="1"/>
    <col min="10" max="10" width="7.6640625" style="1" customWidth="1"/>
    <col min="11" max="11" width="8" style="9" customWidth="1"/>
    <col min="12" max="12" width="8.66406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3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3" ht="13.2" customHeight="1" thickBot="1" x14ac:dyDescent="0.3">
      <c r="A2" s="11"/>
      <c r="I2" s="58" t="s">
        <v>1</v>
      </c>
      <c r="J2" s="172"/>
      <c r="K2" s="173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3" x14ac:dyDescent="0.25">
      <c r="A3" s="11"/>
      <c r="I3" s="55" t="s">
        <v>4</v>
      </c>
      <c r="J3" s="174"/>
      <c r="K3" s="175"/>
    </row>
    <row r="4" spans="1:23" ht="13.8" thickBot="1" x14ac:dyDescent="0.3">
      <c r="A4" s="12"/>
      <c r="I4" s="56" t="s">
        <v>5</v>
      </c>
      <c r="J4" s="176"/>
      <c r="K4" s="177"/>
    </row>
    <row r="5" spans="1:23" ht="13.8" thickBot="1" x14ac:dyDescent="0.3">
      <c r="B5" s="12"/>
    </row>
    <row r="6" spans="1:23" ht="15.6" customHeight="1" x14ac:dyDescent="0.35">
      <c r="B6" s="18"/>
      <c r="C6" s="13"/>
      <c r="D6" s="13"/>
      <c r="E6" s="13"/>
      <c r="F6" s="13"/>
      <c r="I6" s="53" t="s">
        <v>6</v>
      </c>
      <c r="J6" s="54">
        <v>2.5</v>
      </c>
      <c r="L6" s="170" t="s">
        <v>7</v>
      </c>
      <c r="M6" s="171"/>
      <c r="N6" s="105"/>
      <c r="O6" s="105"/>
      <c r="P6" s="106" t="s">
        <v>8</v>
      </c>
      <c r="Q6" s="105"/>
      <c r="R6" s="105"/>
      <c r="S6" s="105"/>
      <c r="T6" s="105"/>
      <c r="U6" s="107">
        <f>+J8/9</f>
        <v>15.407801690978784</v>
      </c>
      <c r="V6" s="108" t="s">
        <v>9</v>
      </c>
    </row>
    <row r="7" spans="1:23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6"/>
      <c r="S7" s="196"/>
      <c r="T7" s="196"/>
      <c r="U7" s="105"/>
    </row>
    <row r="8" spans="1:23" ht="13.8" thickBot="1" x14ac:dyDescent="0.3">
      <c r="I8" s="56" t="s">
        <v>12</v>
      </c>
      <c r="J8" s="75">
        <f>J7*J6*L7/G22</f>
        <v>138.67021521880906</v>
      </c>
    </row>
    <row r="9" spans="1:23" ht="13.8" thickBot="1" x14ac:dyDescent="0.3">
      <c r="I9" s="21"/>
      <c r="J9" s="22"/>
    </row>
    <row r="10" spans="1:23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7" t="s">
        <v>13</v>
      </c>
      <c r="J10" s="198"/>
      <c r="K10" s="198"/>
      <c r="L10" s="199"/>
      <c r="M10" s="184" t="s">
        <v>14</v>
      </c>
      <c r="N10" s="185"/>
      <c r="O10" s="185"/>
      <c r="P10" s="185"/>
      <c r="Q10" s="185"/>
      <c r="R10" s="185"/>
      <c r="S10" s="185"/>
      <c r="T10" s="186"/>
    </row>
    <row r="11" spans="1:23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0" t="s">
        <v>29</v>
      </c>
      <c r="Q11" s="201"/>
      <c r="R11" s="201"/>
      <c r="S11" s="201"/>
      <c r="T11" s="202"/>
      <c r="W11" s="17">
        <v>40</v>
      </c>
    </row>
    <row r="12" spans="1:23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  <c r="W12" s="9">
        <v>400</v>
      </c>
    </row>
    <row r="13" spans="1:23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>+F13*D13</f>
        <v>0.22962000000000002</v>
      </c>
      <c r="H13" s="74">
        <v>1</v>
      </c>
      <c r="I13" s="47">
        <f t="shared" ref="I13:I20" si="3">IF($G$22=0,0,(IF(H13=0,0,(($J$6*$L$7*$J$7)/$G$22)*F13/H13/60)))</f>
        <v>0.5306909136423823</v>
      </c>
      <c r="J13" s="109">
        <f t="shared" si="0"/>
        <v>6.3027424423085787E-2</v>
      </c>
      <c r="K13" s="49">
        <f t="shared" ref="K13:K20" si="4">IF(F13=0,0,(60/F13*H13))</f>
        <v>261.30128037627384</v>
      </c>
      <c r="L13" s="50">
        <f t="shared" si="1"/>
        <v>2200.1567807682254</v>
      </c>
      <c r="M13" s="34"/>
      <c r="N13" s="61"/>
      <c r="O13" s="89"/>
      <c r="P13" s="83"/>
      <c r="Q13" s="84"/>
      <c r="R13" s="84"/>
      <c r="S13" s="84"/>
      <c r="T13" s="85"/>
      <c r="V13" s="87"/>
      <c r="W13" s="9">
        <f>+W12*W11</f>
        <v>16000</v>
      </c>
    </row>
    <row r="14" spans="1:23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ref="G14:G21" si="5">+F14*D14</f>
        <v>1.0982399999999999</v>
      </c>
      <c r="H14" s="74">
        <v>1</v>
      </c>
      <c r="I14" s="47">
        <f t="shared" si="3"/>
        <v>2.5382196193650808</v>
      </c>
      <c r="J14" s="109">
        <f t="shared" si="0"/>
        <v>0.30145126120725424</v>
      </c>
      <c r="K14" s="49">
        <f t="shared" si="4"/>
        <v>54.63286713286714</v>
      </c>
      <c r="L14" s="50">
        <f t="shared" si="1"/>
        <v>460.00874125874134</v>
      </c>
      <c r="M14" s="34"/>
      <c r="N14" s="61"/>
      <c r="O14" s="41"/>
      <c r="P14" s="83"/>
      <c r="Q14" s="84"/>
      <c r="R14" s="84"/>
      <c r="S14" s="84"/>
      <c r="T14" s="85"/>
    </row>
    <row r="15" spans="1:23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5"/>
        <v>0.16295999999999999</v>
      </c>
      <c r="H15" s="74">
        <v>1</v>
      </c>
      <c r="I15" s="47">
        <f t="shared" si="3"/>
        <v>0.37662830453428536</v>
      </c>
      <c r="J15" s="109">
        <f t="shared" si="0"/>
        <v>4.4730202438751226E-2</v>
      </c>
      <c r="K15" s="49">
        <f t="shared" si="4"/>
        <v>368.18851251840942</v>
      </c>
      <c r="L15" s="50">
        <f t="shared" si="1"/>
        <v>3100.1472754050073</v>
      </c>
      <c r="M15" s="34"/>
      <c r="N15" s="61"/>
      <c r="O15" s="41"/>
      <c r="P15" s="83"/>
      <c r="Q15" s="84"/>
      <c r="R15" s="84"/>
      <c r="S15" s="84"/>
      <c r="T15" s="85"/>
    </row>
    <row r="16" spans="1:23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5"/>
        <v>0.21048</v>
      </c>
      <c r="H16" s="74">
        <v>1</v>
      </c>
      <c r="I16" s="47">
        <f t="shared" si="3"/>
        <v>0.4864551149875822</v>
      </c>
      <c r="J16" s="48">
        <f t="shared" si="0"/>
        <v>5.7773766625603587E-2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5"/>
        <v>0.72174000000000005</v>
      </c>
      <c r="H17" s="74">
        <v>1</v>
      </c>
      <c r="I17" s="47">
        <f t="shared" si="3"/>
        <v>1.6680640188670541</v>
      </c>
      <c r="J17" s="48">
        <f t="shared" si="0"/>
        <v>0.19810736566117035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5"/>
        <v>1.2630000000000001</v>
      </c>
      <c r="H18" s="74">
        <v>1</v>
      </c>
      <c r="I18" s="47">
        <f t="shared" si="3"/>
        <v>2.9190080303559309</v>
      </c>
      <c r="J18" s="48">
        <f t="shared" si="0"/>
        <v>0.34667553804702272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5"/>
        <v>3.5083200000000003</v>
      </c>
      <c r="H19" s="74">
        <v>1</v>
      </c>
      <c r="I19" s="47">
        <f t="shared" si="3"/>
        <v>8.1083248242742041</v>
      </c>
      <c r="J19" s="48">
        <f t="shared" si="0"/>
        <v>0.96298394587579628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5"/>
        <v>1.9135800000000001</v>
      </c>
      <c r="H20" s="74">
        <v>1</v>
      </c>
      <c r="I20" s="47">
        <f t="shared" si="3"/>
        <v>4.4226091739734779</v>
      </c>
      <c r="J20" s="48">
        <f t="shared" si="0"/>
        <v>0.52525049572131566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5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3"/>
      <c r="Q21" s="204"/>
      <c r="R21" s="204"/>
      <c r="S21" s="204"/>
      <c r="T21" s="205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21.049999999999997</v>
      </c>
      <c r="J22" s="6">
        <f>SUM(J12:J21)</f>
        <v>2.5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7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9"/>
    </row>
    <row r="26" spans="1:20" x14ac:dyDescent="0.25">
      <c r="C26" s="16"/>
      <c r="D26" s="16"/>
      <c r="E26" s="16"/>
      <c r="F26" s="16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2"/>
    </row>
    <row r="27" spans="1:20" x14ac:dyDescent="0.25">
      <c r="C27" s="16"/>
      <c r="D27" s="16"/>
      <c r="E27" s="16"/>
      <c r="F27" s="16"/>
      <c r="G27" s="19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2"/>
    </row>
    <row r="28" spans="1:20" ht="13.8" thickBot="1" x14ac:dyDescent="0.3">
      <c r="C28" s="16"/>
      <c r="D28" s="16"/>
      <c r="E28" s="16"/>
      <c r="F28" s="16"/>
      <c r="G28" s="193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5"/>
    </row>
    <row r="29" spans="1:20" ht="13.8" thickBot="1" x14ac:dyDescent="0.3">
      <c r="K29" s="1"/>
    </row>
    <row r="30" spans="1:20" ht="13.8" thickBot="1" x14ac:dyDescent="0.3">
      <c r="G30" s="178" t="s">
        <v>45</v>
      </c>
      <c r="H30" s="179"/>
      <c r="I30" s="180"/>
      <c r="J30" s="181" t="s">
        <v>46</v>
      </c>
      <c r="K30" s="182"/>
      <c r="L30" s="183"/>
      <c r="M30" s="178" t="s">
        <v>47</v>
      </c>
      <c r="N30" s="179"/>
      <c r="O30" s="180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L6:M6"/>
    <mergeCell ref="J2:K2"/>
    <mergeCell ref="J3:K3"/>
    <mergeCell ref="J4:K4"/>
    <mergeCell ref="G30:I30"/>
    <mergeCell ref="J30:L30"/>
    <mergeCell ref="M30:O30"/>
    <mergeCell ref="M10:T10"/>
    <mergeCell ref="G25:T28"/>
    <mergeCell ref="R7:T7"/>
    <mergeCell ref="I10:L10"/>
    <mergeCell ref="P11:T11"/>
    <mergeCell ref="P21:T21"/>
  </mergeCells>
  <phoneticPr fontId="0" type="noConversion"/>
  <conditionalFormatting sqref="N12:N22">
    <cfRule type="cellIs" dxfId="8" priority="2" stopIfTrue="1" operator="greaterThan">
      <formula>0</formula>
    </cfRule>
    <cfRule type="cellIs" dxfId="7" priority="3" stopIfTrue="1" operator="lessThan">
      <formula>-0.1</formula>
    </cfRule>
  </conditionalFormatting>
  <conditionalFormatting sqref="R23:S23 T31">
    <cfRule type="cellIs" dxfId="6" priority="4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T31" evalError="1"/>
    <ignoredError sqref="G12 J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5CF-2994-4D32-AAB6-21FA6E56FBB3}">
  <dimension ref="A1"/>
  <sheetViews>
    <sheetView workbookViewId="0">
      <selection activeCell="C6" sqref="C6"/>
    </sheetView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CC7-4045-4A47-A7A1-B67BD788001C}">
  <dimension ref="A6:K10"/>
  <sheetViews>
    <sheetView showGridLines="0" workbookViewId="0">
      <selection activeCell="B16" sqref="B15:B16"/>
    </sheetView>
  </sheetViews>
  <sheetFormatPr baseColWidth="10" defaultColWidth="11.44140625" defaultRowHeight="13.2" x14ac:dyDescent="0.25"/>
  <sheetData>
    <row r="6" spans="1:11" x14ac:dyDescent="0.25">
      <c r="A6" s="91" t="s">
        <v>48</v>
      </c>
      <c r="B6" s="91" t="s">
        <v>49</v>
      </c>
      <c r="C6" s="91" t="s">
        <v>50</v>
      </c>
      <c r="K6" s="92" t="s">
        <v>51</v>
      </c>
    </row>
    <row r="7" spans="1:11" x14ac:dyDescent="0.25">
      <c r="A7" s="165" t="s">
        <v>52</v>
      </c>
      <c r="B7" s="90">
        <f>SUM('EQUILIBRAGE 140 P '!G12:G13)</f>
        <v>0.22962000000000002</v>
      </c>
      <c r="C7" s="90">
        <v>0.5</v>
      </c>
    </row>
    <row r="8" spans="1:11" x14ac:dyDescent="0.25">
      <c r="A8" s="165" t="s">
        <v>53</v>
      </c>
      <c r="B8" s="90">
        <f>SUM('EQUILIBRAGE 140 P '!F14:F15)</f>
        <v>1.2611999999999999</v>
      </c>
      <c r="C8" s="90">
        <v>0.5</v>
      </c>
    </row>
    <row r="9" spans="1:11" x14ac:dyDescent="0.25">
      <c r="A9" s="165" t="s">
        <v>54</v>
      </c>
      <c r="B9" s="90" t="e">
        <f>SUM('EQUILIBRAGE 140 P '!#REF!)</f>
        <v>#REF!</v>
      </c>
      <c r="C9" s="90">
        <v>0.5</v>
      </c>
    </row>
    <row r="10" spans="1:11" x14ac:dyDescent="0.25">
      <c r="A10" s="165" t="s">
        <v>55</v>
      </c>
      <c r="B10" s="90" t="e">
        <f>SUM('EQUILIBRAGE 140 P '!#REF!)</f>
        <v>#REF!</v>
      </c>
      <c r="C10" s="90">
        <v>0.5</v>
      </c>
    </row>
  </sheetData>
  <pageMargins left="0.7" right="0.7" top="0.75" bottom="0.75" header="0.3" footer="0.3"/>
  <ignoredErrors>
    <ignoredError sqref="B7:B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5B8-7DBA-416F-86EB-DFCB4695A1AB}">
  <dimension ref="D6:L7"/>
  <sheetViews>
    <sheetView workbookViewId="0">
      <selection activeCell="H26" sqref="H26"/>
    </sheetView>
  </sheetViews>
  <sheetFormatPr baseColWidth="10" defaultColWidth="11.44140625" defaultRowHeight="13.2" x14ac:dyDescent="0.25"/>
  <sheetData>
    <row r="6" spans="4:12" ht="23.7" customHeight="1" x14ac:dyDescent="0.25">
      <c r="D6" s="93" t="s">
        <v>56</v>
      </c>
      <c r="E6" s="94" t="s">
        <v>57</v>
      </c>
      <c r="F6" s="95" t="s">
        <v>58</v>
      </c>
      <c r="G6" s="95" t="s">
        <v>58</v>
      </c>
      <c r="H6" s="97" t="s">
        <v>59</v>
      </c>
      <c r="I6" s="97" t="s">
        <v>59</v>
      </c>
      <c r="J6" s="98" t="s">
        <v>60</v>
      </c>
      <c r="K6" s="100" t="s">
        <v>61</v>
      </c>
      <c r="L6" s="101" t="s">
        <v>62</v>
      </c>
    </row>
    <row r="7" spans="4:12" ht="23.7" customHeight="1" x14ac:dyDescent="0.25">
      <c r="D7" s="93" t="s">
        <v>56</v>
      </c>
      <c r="E7" s="95" t="s">
        <v>58</v>
      </c>
      <c r="F7" s="95" t="s">
        <v>58</v>
      </c>
      <c r="G7" s="96" t="s">
        <v>63</v>
      </c>
      <c r="H7" s="97" t="s">
        <v>59</v>
      </c>
      <c r="I7" s="97" t="s">
        <v>59</v>
      </c>
      <c r="J7" s="99" t="s">
        <v>64</v>
      </c>
      <c r="K7" s="100" t="s">
        <v>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A7DE-D4B0-4526-B5C9-3FA9AAEDC13B}">
  <sheetPr>
    <pageSetUpPr fitToPage="1"/>
  </sheetPr>
  <dimension ref="A1:V33"/>
  <sheetViews>
    <sheetView showGridLines="0" showZeros="0" topLeftCell="A4" zoomScale="90" zoomScaleNormal="90" zoomScalePageLayoutView="70" workbookViewId="0">
      <selection activeCell="N14" sqref="N14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8.6640625" style="9" bestFit="1" customWidth="1"/>
    <col min="6" max="6" width="5.44140625" style="9" bestFit="1" customWidth="1"/>
    <col min="7" max="7" width="7.44140625" style="9" bestFit="1" customWidth="1"/>
    <col min="8" max="8" width="9.5546875" style="10" customWidth="1"/>
    <col min="9" max="9" width="10.6640625" style="1" customWidth="1"/>
    <col min="10" max="10" width="7.6640625" style="1" customWidth="1"/>
    <col min="11" max="11" width="6.109375" style="9" bestFit="1" customWidth="1"/>
    <col min="12" max="12" width="7.332031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2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2" ht="13.2" customHeight="1" thickBot="1" x14ac:dyDescent="0.3">
      <c r="A2" s="11"/>
      <c r="I2" s="58" t="s">
        <v>1</v>
      </c>
      <c r="J2" s="172"/>
      <c r="K2" s="173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2" x14ac:dyDescent="0.25">
      <c r="A3" s="11"/>
      <c r="I3" s="55" t="s">
        <v>4</v>
      </c>
      <c r="J3" s="174"/>
      <c r="K3" s="175"/>
    </row>
    <row r="4" spans="1:22" ht="13.8" thickBot="1" x14ac:dyDescent="0.3">
      <c r="A4" s="12"/>
      <c r="I4" s="56" t="s">
        <v>5</v>
      </c>
      <c r="J4" s="176"/>
      <c r="K4" s="177"/>
    </row>
    <row r="5" spans="1:22" ht="13.8" thickBot="1" x14ac:dyDescent="0.3">
      <c r="B5" s="12"/>
    </row>
    <row r="6" spans="1:22" ht="15.6" customHeight="1" x14ac:dyDescent="0.35">
      <c r="B6" s="18"/>
      <c r="C6" s="13"/>
      <c r="D6" s="13"/>
      <c r="E6" s="13"/>
      <c r="F6" s="13"/>
      <c r="I6" s="53" t="s">
        <v>6</v>
      </c>
      <c r="J6" s="54">
        <v>6</v>
      </c>
      <c r="L6" s="170" t="s">
        <v>7</v>
      </c>
      <c r="M6" s="171"/>
      <c r="N6" s="105"/>
      <c r="O6" s="105"/>
      <c r="P6" s="106" t="s">
        <v>8</v>
      </c>
      <c r="Q6" s="105"/>
      <c r="R6" s="105"/>
      <c r="S6" s="105"/>
      <c r="T6" s="105"/>
      <c r="U6" s="107">
        <f>+J8/9</f>
        <v>36.97872405834908</v>
      </c>
      <c r="V6" s="108" t="s">
        <v>9</v>
      </c>
    </row>
    <row r="7" spans="1:22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6"/>
      <c r="S7" s="196"/>
      <c r="T7" s="196"/>
      <c r="U7" s="105"/>
    </row>
    <row r="8" spans="1:22" ht="13.8" thickBot="1" x14ac:dyDescent="0.3">
      <c r="I8" s="56" t="s">
        <v>12</v>
      </c>
      <c r="J8" s="75">
        <f>J7*J6*L7/G22</f>
        <v>332.80851652514173</v>
      </c>
    </row>
    <row r="9" spans="1:22" ht="13.8" thickBot="1" x14ac:dyDescent="0.3">
      <c r="I9" s="21"/>
      <c r="J9" s="22"/>
    </row>
    <row r="10" spans="1:22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7" t="s">
        <v>13</v>
      </c>
      <c r="J10" s="198"/>
      <c r="K10" s="198"/>
      <c r="L10" s="199"/>
      <c r="M10" s="184" t="s">
        <v>14</v>
      </c>
      <c r="N10" s="185"/>
      <c r="O10" s="185"/>
      <c r="P10" s="185"/>
      <c r="Q10" s="185"/>
      <c r="R10" s="185"/>
      <c r="S10" s="185"/>
      <c r="T10" s="186"/>
    </row>
    <row r="11" spans="1:22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0" t="s">
        <v>29</v>
      </c>
      <c r="Q11" s="201"/>
      <c r="R11" s="201"/>
      <c r="S11" s="201"/>
      <c r="T11" s="202"/>
    </row>
    <row r="12" spans="1:22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</row>
    <row r="13" spans="1:22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 t="shared" ref="G13:G21" si="3">+F13*D13</f>
        <v>0.22962000000000002</v>
      </c>
      <c r="H13" s="74">
        <v>1</v>
      </c>
      <c r="I13" s="47">
        <f>IF($G$22=0,0,(IF(H13=0,0,(($J$6*$L$7*$J$7)/$G$22)*F13/H13/60)))</f>
        <v>1.2736581927417174</v>
      </c>
      <c r="J13" s="109">
        <f t="shared" si="0"/>
        <v>0.15126581861540586</v>
      </c>
      <c r="K13" s="49">
        <f t="shared" ref="K13:K20" si="4">IF(F13=0,0,(60/F13*H13))</f>
        <v>261.30128037627384</v>
      </c>
      <c r="L13" s="50">
        <f>+K13/60*$L$7</f>
        <v>2200.1567807682254</v>
      </c>
      <c r="M13" s="114"/>
      <c r="N13" s="61"/>
      <c r="O13" s="89"/>
      <c r="P13" s="83"/>
      <c r="Q13" s="84"/>
      <c r="R13" s="84"/>
      <c r="S13" s="84"/>
      <c r="T13" s="85"/>
      <c r="V13" s="87"/>
    </row>
    <row r="14" spans="1:22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si="3"/>
        <v>1.0982399999999999</v>
      </c>
      <c r="H14" s="74">
        <v>1.2</v>
      </c>
      <c r="I14" s="47">
        <f t="shared" ref="I14:I20" si="5">IF($G$22=0,0,(IF(H14=0,0,(($J$6*$L$7*$J$7)/$G$22)*F14/H14/60)))</f>
        <v>5.0764392387301616</v>
      </c>
      <c r="J14" s="109">
        <f t="shared" si="0"/>
        <v>0.60290252241450848</v>
      </c>
      <c r="K14" s="49">
        <f t="shared" si="4"/>
        <v>65.55944055944056</v>
      </c>
      <c r="L14" s="50">
        <f t="shared" si="1"/>
        <v>552.01048951048949</v>
      </c>
      <c r="M14" s="114"/>
      <c r="N14" s="61"/>
      <c r="O14" s="41"/>
      <c r="P14" s="83"/>
      <c r="Q14" s="84"/>
      <c r="R14" s="84"/>
      <c r="S14" s="84"/>
      <c r="T14" s="85"/>
    </row>
    <row r="15" spans="1:22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3"/>
        <v>0.16295999999999999</v>
      </c>
      <c r="H15" s="74">
        <v>1</v>
      </c>
      <c r="I15" s="47">
        <f t="shared" si="5"/>
        <v>0.90390793088228494</v>
      </c>
      <c r="J15" s="109">
        <f t="shared" si="0"/>
        <v>0.10735248585300297</v>
      </c>
      <c r="K15" s="49">
        <f t="shared" si="4"/>
        <v>368.18851251840942</v>
      </c>
      <c r="L15" s="50">
        <f t="shared" si="1"/>
        <v>3100.1472754050073</v>
      </c>
      <c r="M15" s="114"/>
      <c r="N15" s="61"/>
      <c r="O15" s="41"/>
      <c r="P15" s="83"/>
      <c r="Q15" s="84"/>
      <c r="R15" s="84"/>
      <c r="S15" s="84"/>
      <c r="T15" s="85"/>
    </row>
    <row r="16" spans="1:22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3"/>
        <v>0.21048</v>
      </c>
      <c r="H16" s="74">
        <v>1</v>
      </c>
      <c r="I16" s="47">
        <f t="shared" si="5"/>
        <v>1.1674922759701971</v>
      </c>
      <c r="J16" s="48">
        <f t="shared" si="0"/>
        <v>0.13865703990144859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3"/>
        <v>0.72174000000000005</v>
      </c>
      <c r="H17" s="74">
        <v>1</v>
      </c>
      <c r="I17" s="47">
        <f t="shared" si="5"/>
        <v>4.0033536452809297</v>
      </c>
      <c r="J17" s="48">
        <f t="shared" si="0"/>
        <v>0.47545767758680879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3"/>
        <v>1.2630000000000001</v>
      </c>
      <c r="H18" s="74">
        <v>1</v>
      </c>
      <c r="I18" s="47">
        <f t="shared" si="5"/>
        <v>7.0056192728542337</v>
      </c>
      <c r="J18" s="48">
        <f t="shared" si="0"/>
        <v>0.83202129131285441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3"/>
        <v>3.5083200000000003</v>
      </c>
      <c r="H19" s="74">
        <v>1</v>
      </c>
      <c r="I19" s="47">
        <f t="shared" si="5"/>
        <v>19.459979578258089</v>
      </c>
      <c r="J19" s="48">
        <f t="shared" si="0"/>
        <v>2.311161470101911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3"/>
        <v>1.9135800000000001</v>
      </c>
      <c r="H20" s="74">
        <v>1</v>
      </c>
      <c r="I20" s="47">
        <f t="shared" si="5"/>
        <v>10.614262017536344</v>
      </c>
      <c r="J20" s="48">
        <f t="shared" si="0"/>
        <v>1.2606011897311571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3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3"/>
      <c r="Q21" s="204"/>
      <c r="R21" s="204"/>
      <c r="S21" s="204"/>
      <c r="T21" s="205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49.504712152253958</v>
      </c>
      <c r="J22" s="6">
        <f>SUM(J12:J21)</f>
        <v>5.8794194955170971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I23" s="115">
        <f>+I22/J6</f>
        <v>8.2507853587089937</v>
      </c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7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9"/>
    </row>
    <row r="26" spans="1:20" x14ac:dyDescent="0.25">
      <c r="C26" s="16"/>
      <c r="D26" s="16"/>
      <c r="E26" s="16"/>
      <c r="F26" s="16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2"/>
    </row>
    <row r="27" spans="1:20" x14ac:dyDescent="0.25">
      <c r="C27" s="16"/>
      <c r="D27" s="16"/>
      <c r="E27" s="16"/>
      <c r="F27" s="16"/>
      <c r="G27" s="19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2"/>
    </row>
    <row r="28" spans="1:20" ht="13.8" thickBot="1" x14ac:dyDescent="0.3">
      <c r="C28" s="16"/>
      <c r="D28" s="16"/>
      <c r="E28" s="16"/>
      <c r="F28" s="16"/>
      <c r="G28" s="193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5"/>
    </row>
    <row r="29" spans="1:20" ht="13.8" thickBot="1" x14ac:dyDescent="0.3">
      <c r="K29" s="1"/>
    </row>
    <row r="30" spans="1:20" ht="13.8" thickBot="1" x14ac:dyDescent="0.3">
      <c r="G30" s="178" t="s">
        <v>45</v>
      </c>
      <c r="H30" s="179"/>
      <c r="I30" s="180"/>
      <c r="J30" s="181" t="s">
        <v>46</v>
      </c>
      <c r="K30" s="182"/>
      <c r="L30" s="183"/>
      <c r="M30" s="178" t="s">
        <v>47</v>
      </c>
      <c r="N30" s="179"/>
      <c r="O30" s="180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J2:K2"/>
    <mergeCell ref="J3:K3"/>
    <mergeCell ref="J4:K4"/>
    <mergeCell ref="L6:M6"/>
    <mergeCell ref="R7:T7"/>
    <mergeCell ref="G30:I30"/>
    <mergeCell ref="J30:L30"/>
    <mergeCell ref="M30:O30"/>
    <mergeCell ref="I10:L10"/>
    <mergeCell ref="M10:T10"/>
    <mergeCell ref="P11:T11"/>
    <mergeCell ref="P21:T21"/>
    <mergeCell ref="G25:T28"/>
  </mergeCells>
  <conditionalFormatting sqref="N12:N22">
    <cfRule type="cellIs" dxfId="5" priority="1" stopIfTrue="1" operator="greaterThan">
      <formula>0</formula>
    </cfRule>
    <cfRule type="cellIs" dxfId="4" priority="2" stopIfTrue="1" operator="lessThan">
      <formula>-0.1</formula>
    </cfRule>
  </conditionalFormatting>
  <conditionalFormatting sqref="R23:S23 T31">
    <cfRule type="cellIs" dxfId="3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G12 L7 G17:G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AF9D-9C57-421D-8F2A-085D12E500B8}">
  <sheetPr>
    <pageSetUpPr fitToPage="1"/>
  </sheetPr>
  <dimension ref="A1:AC35"/>
  <sheetViews>
    <sheetView showGridLines="0" showZeros="0" tabSelected="1" zoomScale="90" zoomScaleNormal="110" zoomScalePageLayoutView="70" workbookViewId="0">
      <selection activeCell="A15" sqref="A15"/>
    </sheetView>
  </sheetViews>
  <sheetFormatPr baseColWidth="10" defaultColWidth="13.6640625" defaultRowHeight="13.2" x14ac:dyDescent="0.25"/>
  <cols>
    <col min="1" max="1" width="52" style="9" bestFit="1" customWidth="1"/>
    <col min="2" max="2" width="19.88671875" style="9" bestFit="1" customWidth="1"/>
    <col min="3" max="3" width="14" style="9" bestFit="1" customWidth="1"/>
    <col min="4" max="4" width="24.109375" style="9" customWidth="1"/>
    <col min="5" max="5" width="6.5546875" style="9" customWidth="1"/>
    <col min="6" max="6" width="14.33203125" style="9" customWidth="1"/>
    <col min="7" max="7" width="8.33203125" style="9" customWidth="1"/>
    <col min="8" max="8" width="11" style="9" customWidth="1"/>
    <col min="9" max="9" width="9.5546875" style="10" customWidth="1"/>
    <col min="10" max="10" width="10.33203125" style="1" customWidth="1"/>
    <col min="11" max="11" width="9.109375" style="1" customWidth="1"/>
    <col min="12" max="12" width="7.5546875" style="9" bestFit="1" customWidth="1"/>
    <col min="13" max="13" width="11.109375" style="9" customWidth="1"/>
    <col min="14" max="14" width="9.88671875" style="9" hidden="1" customWidth="1"/>
    <col min="15" max="15" width="11.44140625" style="9" hidden="1" customWidth="1"/>
    <col min="16" max="16" width="7.5546875" style="9" hidden="1" customWidth="1"/>
    <col min="17" max="17" width="13.33203125" style="9" hidden="1" customWidth="1"/>
    <col min="18" max="18" width="9.5546875" style="9" hidden="1" customWidth="1"/>
    <col min="19" max="19" width="10.88671875" style="9" hidden="1" customWidth="1"/>
    <col min="20" max="20" width="5.6640625" style="9" hidden="1" customWidth="1"/>
    <col min="21" max="21" width="6.33203125" style="9" hidden="1" customWidth="1"/>
    <col min="22" max="22" width="6.6640625" style="9" hidden="1" customWidth="1"/>
    <col min="23" max="23" width="0.109375" style="9" customWidth="1"/>
    <col min="24" max="26" width="13.6640625" style="9" hidden="1" customWidth="1"/>
    <col min="27" max="16384" width="13.6640625" style="9"/>
  </cols>
  <sheetData>
    <row r="1" spans="1:29" ht="15.6" thickBot="1" x14ac:dyDescent="0.3">
      <c r="A1" s="9" t="s">
        <v>0</v>
      </c>
      <c r="B1" s="51"/>
      <c r="C1" s="51"/>
      <c r="D1" s="51"/>
      <c r="E1" s="51"/>
      <c r="F1" s="51"/>
      <c r="G1" s="51"/>
      <c r="K1" s="76"/>
      <c r="L1" s="77"/>
    </row>
    <row r="2" spans="1:29" ht="13.2" customHeight="1" thickBot="1" x14ac:dyDescent="0.3">
      <c r="A2" s="11"/>
      <c r="J2" s="58" t="s">
        <v>1</v>
      </c>
      <c r="K2" s="172"/>
      <c r="L2" s="173"/>
      <c r="N2" s="79" t="s">
        <v>2</v>
      </c>
      <c r="O2" s="80"/>
      <c r="P2" s="80" t="s">
        <v>3</v>
      </c>
      <c r="Q2" s="80"/>
      <c r="R2" s="80"/>
      <c r="S2" s="80"/>
      <c r="T2" s="80"/>
      <c r="U2" s="81"/>
    </row>
    <row r="3" spans="1:29" x14ac:dyDescent="0.25">
      <c r="A3" s="11"/>
      <c r="J3" s="55" t="s">
        <v>4</v>
      </c>
      <c r="K3" s="174">
        <v>60511</v>
      </c>
      <c r="L3" s="175"/>
    </row>
    <row r="4" spans="1:29" ht="13.8" thickBot="1" x14ac:dyDescent="0.3">
      <c r="A4" s="12"/>
      <c r="J4" s="56" t="s">
        <v>5</v>
      </c>
      <c r="K4" s="176"/>
      <c r="L4" s="177"/>
    </row>
    <row r="5" spans="1:29" ht="13.8" thickBot="1" x14ac:dyDescent="0.3">
      <c r="B5" s="12"/>
    </row>
    <row r="6" spans="1:29" ht="15.6" customHeight="1" x14ac:dyDescent="0.35">
      <c r="B6" s="18"/>
      <c r="C6" s="13"/>
      <c r="D6" s="13"/>
      <c r="E6" s="13"/>
      <c r="F6" s="13"/>
      <c r="G6" s="13"/>
      <c r="I6" s="53" t="s">
        <v>6</v>
      </c>
      <c r="J6" s="54">
        <v>6</v>
      </c>
      <c r="L6" s="136" t="s">
        <v>7</v>
      </c>
      <c r="M6" s="137"/>
      <c r="O6" s="105"/>
      <c r="P6" s="105"/>
      <c r="Q6" s="106" t="s">
        <v>8</v>
      </c>
      <c r="R6" s="105"/>
      <c r="S6" s="105"/>
      <c r="T6" s="105"/>
      <c r="U6" s="105"/>
      <c r="V6" s="107">
        <f>+J8/9</f>
        <v>115.14933429291113</v>
      </c>
      <c r="W6" s="108"/>
    </row>
    <row r="7" spans="1:29" ht="13.8" thickBot="1" x14ac:dyDescent="0.3">
      <c r="I7" s="55" t="s">
        <v>10</v>
      </c>
      <c r="J7" s="78">
        <v>1</v>
      </c>
      <c r="L7" s="57">
        <v>480</v>
      </c>
      <c r="M7" s="14" t="s">
        <v>11</v>
      </c>
      <c r="O7" s="19"/>
      <c r="P7" s="106"/>
      <c r="Q7" s="105"/>
      <c r="R7" s="105"/>
      <c r="S7" s="196"/>
      <c r="T7" s="196"/>
      <c r="U7" s="196"/>
      <c r="V7" s="105"/>
    </row>
    <row r="8" spans="1:29" ht="13.8" thickBot="1" x14ac:dyDescent="0.3">
      <c r="I8" s="56" t="s">
        <v>12</v>
      </c>
      <c r="J8" s="75">
        <f>J7*J6*L7/G24</f>
        <v>1036.3440086362002</v>
      </c>
      <c r="L8" s="148" t="s">
        <v>65</v>
      </c>
      <c r="M8" s="149">
        <f>+G24/J6</f>
        <v>0.46316666666666667</v>
      </c>
    </row>
    <row r="9" spans="1:29" ht="13.8" thickBot="1" x14ac:dyDescent="0.3">
      <c r="J9" s="21"/>
      <c r="K9" s="22"/>
    </row>
    <row r="10" spans="1:29" ht="19.2" customHeight="1" thickBot="1" x14ac:dyDescent="0.3">
      <c r="A10" s="11"/>
      <c r="B10" s="11"/>
      <c r="C10" s="11"/>
      <c r="D10" s="11"/>
      <c r="E10" s="11"/>
      <c r="F10" s="11"/>
      <c r="G10" s="11"/>
      <c r="H10" s="11"/>
      <c r="I10" s="36"/>
      <c r="J10" s="197" t="s">
        <v>13</v>
      </c>
      <c r="K10" s="198"/>
      <c r="L10" s="198"/>
      <c r="M10" s="199"/>
      <c r="N10" s="184" t="s">
        <v>14</v>
      </c>
      <c r="O10" s="185"/>
      <c r="P10" s="185"/>
      <c r="Q10" s="185"/>
      <c r="R10" s="185"/>
      <c r="S10" s="185"/>
      <c r="T10" s="185"/>
      <c r="U10" s="186"/>
    </row>
    <row r="11" spans="1:29" s="17" customFormat="1" ht="39" customHeight="1" x14ac:dyDescent="0.2">
      <c r="A11" s="37" t="s">
        <v>15</v>
      </c>
      <c r="B11" s="37" t="s">
        <v>66</v>
      </c>
      <c r="C11" s="37" t="s">
        <v>16</v>
      </c>
      <c r="D11" s="37" t="s">
        <v>67</v>
      </c>
      <c r="E11" s="37" t="s">
        <v>18</v>
      </c>
      <c r="F11" s="37" t="s">
        <v>68</v>
      </c>
      <c r="G11" s="37" t="s">
        <v>69</v>
      </c>
      <c r="H11" s="37" t="s">
        <v>20</v>
      </c>
      <c r="I11" s="138" t="s">
        <v>21</v>
      </c>
      <c r="J11" s="139" t="s">
        <v>22</v>
      </c>
      <c r="K11" s="88" t="s">
        <v>23</v>
      </c>
      <c r="L11" s="39" t="s">
        <v>24</v>
      </c>
      <c r="M11" s="140" t="s">
        <v>25</v>
      </c>
      <c r="N11" s="43" t="s">
        <v>26</v>
      </c>
      <c r="O11" s="60" t="s">
        <v>27</v>
      </c>
      <c r="P11" s="44" t="s">
        <v>28</v>
      </c>
      <c r="Q11" s="200" t="s">
        <v>29</v>
      </c>
      <c r="R11" s="201"/>
      <c r="S11" s="201"/>
      <c r="T11" s="201"/>
      <c r="U11" s="202"/>
      <c r="W11" s="156" t="s">
        <v>70</v>
      </c>
      <c r="X11" s="156" t="s">
        <v>71</v>
      </c>
      <c r="Y11" s="156" t="s">
        <v>72</v>
      </c>
      <c r="Z11" s="156" t="s">
        <v>73</v>
      </c>
      <c r="AA11" s="157" t="s">
        <v>74</v>
      </c>
      <c r="AB11" s="157" t="s">
        <v>75</v>
      </c>
      <c r="AC11" s="157" t="s">
        <v>76</v>
      </c>
    </row>
    <row r="12" spans="1:29" ht="15.75" customHeight="1" x14ac:dyDescent="0.3">
      <c r="A12" s="167" t="s">
        <v>77</v>
      </c>
      <c r="B12" s="166" t="s">
        <v>78</v>
      </c>
      <c r="C12" s="166" t="s">
        <v>79</v>
      </c>
      <c r="D12" s="168"/>
      <c r="E12" s="52">
        <v>1</v>
      </c>
      <c r="F12" s="111"/>
      <c r="G12" s="169">
        <v>0.45700000000000002</v>
      </c>
      <c r="H12" s="111">
        <v>0.6</v>
      </c>
      <c r="I12" s="74">
        <v>0.8</v>
      </c>
      <c r="J12" s="141">
        <f>IF($H$24=0,0,(IF(I12=0,0,(($J$6*$L$7*$J$7)/$H$24)*G12/I12/60)))</f>
        <v>4.1375563972174856</v>
      </c>
      <c r="K12" s="109">
        <f>(IF($L$7=0,0,(J12/$L$7*60)))</f>
        <v>0.5171945496521857</v>
      </c>
      <c r="L12" s="49">
        <f>IF(G12=0,0,(60/G12*I12))</f>
        <v>105.0328227571116</v>
      </c>
      <c r="M12" s="142">
        <f>+L12/60*$L$7</f>
        <v>840.26258205689282</v>
      </c>
      <c r="N12" s="34"/>
      <c r="O12" s="61"/>
      <c r="P12" s="89"/>
      <c r="Q12" s="83"/>
      <c r="R12" s="84"/>
      <c r="S12" s="84"/>
      <c r="T12" s="84"/>
      <c r="U12" s="85"/>
      <c r="W12" s="150" t="s">
        <v>80</v>
      </c>
      <c r="X12" s="146">
        <f>+G12+G13</f>
        <v>0.93799999999999994</v>
      </c>
      <c r="Y12" s="146">
        <f>X12-$M$8</f>
        <v>0.47483333333333327</v>
      </c>
      <c r="Z12" s="151">
        <f>+Y12/$M$8</f>
        <v>1.0251889168765742</v>
      </c>
      <c r="AA12" s="158" t="s">
        <v>80</v>
      </c>
      <c r="AB12" s="159" t="s">
        <v>81</v>
      </c>
      <c r="AC12" s="145"/>
    </row>
    <row r="13" spans="1:29" ht="15.75" customHeight="1" x14ac:dyDescent="0.3">
      <c r="A13" s="166" t="s">
        <v>82</v>
      </c>
      <c r="B13" s="166" t="s">
        <v>83</v>
      </c>
      <c r="C13" s="166" t="s">
        <v>79</v>
      </c>
      <c r="D13" s="168" t="s">
        <v>78</v>
      </c>
      <c r="E13" s="52">
        <v>1</v>
      </c>
      <c r="F13" s="111"/>
      <c r="G13" s="169">
        <v>0.48099999999999998</v>
      </c>
      <c r="H13" s="111">
        <v>0.247</v>
      </c>
      <c r="I13" s="74">
        <v>1</v>
      </c>
      <c r="J13" s="141">
        <f t="shared" ref="J13:J23" si="0">IF($H$24=0,0,(IF(I13=0,0,(($J$6*$L$7*$J$7)/$H$24)*G13/I13/60)))</f>
        <v>3.4838768088605869</v>
      </c>
      <c r="K13" s="109">
        <f>(IF($L$7=0,0,(J13/$L$7*60)))</f>
        <v>0.43548460110757337</v>
      </c>
      <c r="L13" s="49">
        <f t="shared" ref="L13:L23" si="1">IF(G13=0,0,(60/G13*I13))</f>
        <v>124.74012474012474</v>
      </c>
      <c r="M13" s="142">
        <f>+L13/60*$L$7</f>
        <v>997.92099792099793</v>
      </c>
      <c r="N13" s="114"/>
      <c r="O13" s="61"/>
      <c r="P13" s="89"/>
      <c r="Q13" s="83"/>
      <c r="R13" s="84"/>
      <c r="S13" s="84"/>
      <c r="T13" s="84"/>
      <c r="U13" s="85"/>
      <c r="W13" s="152" t="s">
        <v>80</v>
      </c>
      <c r="X13" s="145"/>
      <c r="Y13" s="146"/>
      <c r="Z13" s="151">
        <f t="shared" ref="Z13:Z20" si="2">+Y13/$M$8</f>
        <v>0</v>
      </c>
      <c r="AA13" s="158" t="s">
        <v>80</v>
      </c>
      <c r="AB13" s="159" t="s">
        <v>81</v>
      </c>
      <c r="AC13" s="145"/>
    </row>
    <row r="14" spans="1:29" ht="15.75" customHeight="1" x14ac:dyDescent="0.3">
      <c r="A14" s="166" t="s">
        <v>84</v>
      </c>
      <c r="B14" s="166" t="s">
        <v>85</v>
      </c>
      <c r="C14" s="166" t="s">
        <v>86</v>
      </c>
      <c r="D14" s="168" t="s">
        <v>87</v>
      </c>
      <c r="E14" s="52">
        <v>1</v>
      </c>
      <c r="F14" s="111"/>
      <c r="G14" s="169">
        <v>0.432</v>
      </c>
      <c r="H14" s="111">
        <v>1.5</v>
      </c>
      <c r="I14" s="74">
        <v>0.9</v>
      </c>
      <c r="J14" s="141">
        <f t="shared" si="0"/>
        <v>3.476633821731979</v>
      </c>
      <c r="K14" s="109">
        <f t="shared" ref="K14:K19" si="3">(IF($L$7=0,0,(J14/$L$7*60)))</f>
        <v>0.43457922771649737</v>
      </c>
      <c r="L14" s="49">
        <f t="shared" si="1"/>
        <v>125</v>
      </c>
      <c r="M14" s="142">
        <f t="shared" ref="M14:M19" si="4">+L14/60*$L$7</f>
        <v>1000.0000000000001</v>
      </c>
      <c r="N14" s="114"/>
      <c r="O14" s="61"/>
      <c r="P14" s="89"/>
      <c r="Q14" s="83"/>
      <c r="R14" s="84"/>
      <c r="S14" s="84"/>
      <c r="T14" s="84"/>
      <c r="U14" s="85"/>
      <c r="W14" s="145" t="s">
        <v>81</v>
      </c>
      <c r="X14" s="146">
        <f>+G14</f>
        <v>0.432</v>
      </c>
      <c r="Y14" s="146">
        <f t="shared" ref="Y14:Y19" si="5">X14-$M$8</f>
        <v>-3.1166666666666676E-2</v>
      </c>
      <c r="Z14" s="151">
        <f t="shared" si="2"/>
        <v>-6.7290392227419948E-2</v>
      </c>
      <c r="AA14" s="158" t="s">
        <v>80</v>
      </c>
      <c r="AB14" s="159" t="s">
        <v>81</v>
      </c>
      <c r="AC14" s="145"/>
    </row>
    <row r="15" spans="1:29" ht="15.75" customHeight="1" x14ac:dyDescent="0.3">
      <c r="A15" s="166" t="s">
        <v>88</v>
      </c>
      <c r="B15" s="166" t="s">
        <v>89</v>
      </c>
      <c r="C15" s="166" t="s">
        <v>90</v>
      </c>
      <c r="D15" s="168" t="s">
        <v>91</v>
      </c>
      <c r="E15" s="52">
        <v>1</v>
      </c>
      <c r="F15" s="111"/>
      <c r="G15" s="169">
        <v>0.26300000000000001</v>
      </c>
      <c r="H15" s="111">
        <v>0.40109999999999996</v>
      </c>
      <c r="I15" s="74">
        <v>1</v>
      </c>
      <c r="J15" s="141">
        <f t="shared" si="0"/>
        <v>1.9049056148239802</v>
      </c>
      <c r="K15" s="109">
        <f t="shared" si="3"/>
        <v>0.2381132018529975</v>
      </c>
      <c r="L15" s="49">
        <f t="shared" si="1"/>
        <v>228.13688212927755</v>
      </c>
      <c r="M15" s="142">
        <f t="shared" si="4"/>
        <v>1825.0950570342204</v>
      </c>
      <c r="N15" s="114"/>
      <c r="O15" s="61"/>
      <c r="P15" s="89"/>
      <c r="Q15" s="83"/>
      <c r="R15" s="84"/>
      <c r="S15" s="84"/>
      <c r="T15" s="84"/>
      <c r="U15" s="85"/>
      <c r="W15" s="147" t="s">
        <v>92</v>
      </c>
      <c r="X15" s="146">
        <f>+G15</f>
        <v>0.26300000000000001</v>
      </c>
      <c r="Y15" s="146">
        <f t="shared" si="5"/>
        <v>-0.20016666666666666</v>
      </c>
      <c r="Z15" s="151">
        <f t="shared" si="2"/>
        <v>-0.432169845268082</v>
      </c>
      <c r="AA15" s="160" t="s">
        <v>92</v>
      </c>
      <c r="AB15" s="145"/>
      <c r="AC15" s="145"/>
    </row>
    <row r="16" spans="1:29" ht="15.75" customHeight="1" x14ac:dyDescent="0.3">
      <c r="A16" s="166" t="s">
        <v>93</v>
      </c>
      <c r="B16" s="166" t="s">
        <v>94</v>
      </c>
      <c r="C16" s="166" t="s">
        <v>95</v>
      </c>
      <c r="D16" s="168" t="s">
        <v>78</v>
      </c>
      <c r="E16" s="52">
        <v>1</v>
      </c>
      <c r="F16" s="111"/>
      <c r="G16" s="169">
        <v>1.1459999999999999</v>
      </c>
      <c r="H16" s="111">
        <v>1.7</v>
      </c>
      <c r="I16" s="74">
        <v>1.2</v>
      </c>
      <c r="J16" s="141">
        <f t="shared" si="0"/>
        <v>6.9170527078209165</v>
      </c>
      <c r="K16" s="109">
        <f t="shared" si="3"/>
        <v>0.86463158847761457</v>
      </c>
      <c r="L16" s="49">
        <f t="shared" si="1"/>
        <v>62.827225130890049</v>
      </c>
      <c r="M16" s="142">
        <f t="shared" si="4"/>
        <v>502.61780104712039</v>
      </c>
      <c r="N16" s="114"/>
      <c r="O16" s="61"/>
      <c r="P16" s="89"/>
      <c r="Q16" s="83"/>
      <c r="R16" s="84"/>
      <c r="S16" s="84"/>
      <c r="T16" s="84"/>
      <c r="U16" s="85"/>
      <c r="W16" s="146" t="s">
        <v>96</v>
      </c>
      <c r="X16" s="146">
        <f>+G16</f>
        <v>1.1459999999999999</v>
      </c>
      <c r="Y16" s="146">
        <f t="shared" si="5"/>
        <v>0.68283333333333318</v>
      </c>
      <c r="Z16" s="151">
        <f t="shared" si="2"/>
        <v>1.4742713206189273</v>
      </c>
      <c r="AA16" s="160" t="s">
        <v>92</v>
      </c>
      <c r="AB16" s="145"/>
      <c r="AC16" s="145"/>
    </row>
    <row r="17" spans="1:29" ht="15.75" customHeight="1" x14ac:dyDescent="0.3">
      <c r="A17" s="166" t="s">
        <v>93</v>
      </c>
      <c r="B17" s="166" t="s">
        <v>97</v>
      </c>
      <c r="C17" s="166" t="s">
        <v>95</v>
      </c>
      <c r="D17" s="168" t="s">
        <v>83</v>
      </c>
      <c r="E17" s="52">
        <v>1</v>
      </c>
      <c r="F17" s="111"/>
      <c r="G17" s="169">
        <v>0</v>
      </c>
      <c r="H17" s="111">
        <v>0.51900000000000002</v>
      </c>
      <c r="I17" s="74">
        <v>1</v>
      </c>
      <c r="J17" s="141">
        <f t="shared" si="0"/>
        <v>0</v>
      </c>
      <c r="K17" s="109">
        <f t="shared" si="3"/>
        <v>0</v>
      </c>
      <c r="L17" s="49">
        <f t="shared" si="1"/>
        <v>0</v>
      </c>
      <c r="M17" s="142">
        <f t="shared" si="4"/>
        <v>0</v>
      </c>
      <c r="N17" s="114"/>
      <c r="O17" s="61"/>
      <c r="P17" s="89"/>
      <c r="Q17" s="83"/>
      <c r="R17" s="84"/>
      <c r="S17" s="84"/>
      <c r="T17" s="84"/>
      <c r="U17" s="85"/>
      <c r="W17" s="153" t="s">
        <v>98</v>
      </c>
      <c r="X17" s="146">
        <f>+G17+G18</f>
        <v>0</v>
      </c>
      <c r="Y17" s="146">
        <f t="shared" si="5"/>
        <v>-0.46316666666666667</v>
      </c>
      <c r="Z17" s="151">
        <f t="shared" si="2"/>
        <v>-1</v>
      </c>
      <c r="AA17" s="161" t="s">
        <v>98</v>
      </c>
      <c r="AB17" s="145"/>
      <c r="AC17" s="145"/>
    </row>
    <row r="18" spans="1:29" ht="15.75" customHeight="1" x14ac:dyDescent="0.3">
      <c r="A18" s="166" t="s">
        <v>93</v>
      </c>
      <c r="B18" s="166" t="s">
        <v>99</v>
      </c>
      <c r="C18" s="166" t="s">
        <v>95</v>
      </c>
      <c r="D18" s="168" t="s">
        <v>100</v>
      </c>
      <c r="E18" s="52">
        <v>1</v>
      </c>
      <c r="F18" s="111"/>
      <c r="G18" s="169">
        <v>0</v>
      </c>
      <c r="H18" s="111">
        <v>0.5</v>
      </c>
      <c r="I18" s="74">
        <v>1</v>
      </c>
      <c r="J18" s="141">
        <f t="shared" si="0"/>
        <v>0</v>
      </c>
      <c r="K18" s="109">
        <f t="shared" si="3"/>
        <v>0</v>
      </c>
      <c r="L18" s="49">
        <f t="shared" si="1"/>
        <v>0</v>
      </c>
      <c r="M18" s="142">
        <f t="shared" si="4"/>
        <v>0</v>
      </c>
      <c r="N18" s="114"/>
      <c r="O18" s="61"/>
      <c r="P18" s="89"/>
      <c r="Q18" s="83"/>
      <c r="R18" s="84"/>
      <c r="S18" s="84"/>
      <c r="T18" s="84"/>
      <c r="U18" s="85"/>
      <c r="W18" s="153" t="s">
        <v>98</v>
      </c>
      <c r="X18" s="145"/>
      <c r="Y18" s="146"/>
      <c r="Z18" s="151">
        <f>+Y18/$M$8</f>
        <v>0</v>
      </c>
      <c r="AA18" s="161" t="s">
        <v>98</v>
      </c>
      <c r="AB18" s="145"/>
      <c r="AC18" s="145"/>
    </row>
    <row r="19" spans="1:29" ht="15.75" customHeight="1" x14ac:dyDescent="0.3">
      <c r="A19" s="166"/>
      <c r="B19" s="166"/>
      <c r="C19" s="166"/>
      <c r="D19" s="168"/>
      <c r="E19" s="52">
        <v>1</v>
      </c>
      <c r="F19" s="111"/>
      <c r="G19" s="169"/>
      <c r="H19" s="143">
        <v>0.56000000000000005</v>
      </c>
      <c r="I19" s="74">
        <v>1</v>
      </c>
      <c r="J19" s="141">
        <f t="shared" si="0"/>
        <v>0</v>
      </c>
      <c r="K19" s="109">
        <f t="shared" si="3"/>
        <v>0</v>
      </c>
      <c r="L19" s="49">
        <f t="shared" si="1"/>
        <v>0</v>
      </c>
      <c r="M19" s="142">
        <f t="shared" si="4"/>
        <v>0</v>
      </c>
      <c r="N19" s="114"/>
      <c r="O19" s="61"/>
      <c r="P19" s="89"/>
      <c r="Q19" s="83"/>
      <c r="R19" s="84"/>
      <c r="S19" s="84"/>
      <c r="T19" s="84"/>
      <c r="U19" s="85"/>
      <c r="W19" s="154" t="s">
        <v>101</v>
      </c>
      <c r="X19" s="146">
        <f>+G19+G20</f>
        <v>0</v>
      </c>
      <c r="Y19" s="146">
        <f t="shared" si="5"/>
        <v>-0.46316666666666667</v>
      </c>
      <c r="Z19" s="151">
        <f t="shared" si="2"/>
        <v>-1</v>
      </c>
      <c r="AA19" s="161" t="s">
        <v>98</v>
      </c>
      <c r="AB19" s="145"/>
      <c r="AC19" s="145"/>
    </row>
    <row r="20" spans="1:29" ht="15.75" customHeight="1" x14ac:dyDescent="0.3">
      <c r="A20" s="166"/>
      <c r="B20" s="166"/>
      <c r="C20" s="166"/>
      <c r="D20" s="168"/>
      <c r="E20" s="52">
        <v>1</v>
      </c>
      <c r="F20" s="111"/>
      <c r="G20" s="169"/>
      <c r="H20" s="112">
        <v>0.6</v>
      </c>
      <c r="I20" s="74">
        <v>0.77</v>
      </c>
      <c r="J20" s="141">
        <f t="shared" si="0"/>
        <v>0</v>
      </c>
      <c r="K20" s="109">
        <f>(IF($L$7=0,0,(J20/$L$7*60)))</f>
        <v>0</v>
      </c>
      <c r="L20" s="49">
        <f t="shared" si="1"/>
        <v>0</v>
      </c>
      <c r="M20" s="142">
        <f>+L20/60*$L$7</f>
        <v>0</v>
      </c>
      <c r="N20" s="114"/>
      <c r="O20" s="61"/>
      <c r="P20" s="41"/>
      <c r="Q20" s="83"/>
      <c r="R20" s="84"/>
      <c r="S20" s="84"/>
      <c r="T20" s="84"/>
      <c r="U20" s="85"/>
      <c r="W20" s="155" t="s">
        <v>101</v>
      </c>
      <c r="X20" s="145"/>
      <c r="Y20" s="146"/>
      <c r="Z20" s="151">
        <f t="shared" si="2"/>
        <v>0</v>
      </c>
      <c r="AA20" s="162" t="s">
        <v>101</v>
      </c>
      <c r="AB20" s="145"/>
      <c r="AC20" s="145"/>
    </row>
    <row r="21" spans="1:29" ht="15.75" customHeight="1" x14ac:dyDescent="0.25">
      <c r="A21" s="71"/>
      <c r="B21" s="52"/>
      <c r="C21" s="52"/>
      <c r="D21" s="164"/>
      <c r="E21" s="52"/>
      <c r="F21" s="144"/>
      <c r="G21" s="112"/>
      <c r="H21" s="112"/>
      <c r="I21" s="74"/>
      <c r="J21" s="141"/>
      <c r="K21" s="109"/>
      <c r="L21" s="49"/>
      <c r="M21" s="142"/>
      <c r="N21" s="114"/>
      <c r="O21" s="61"/>
      <c r="P21" s="41"/>
      <c r="Q21" s="83"/>
      <c r="R21" s="84"/>
      <c r="S21" s="84"/>
      <c r="T21" s="84"/>
      <c r="U21" s="85"/>
      <c r="W21" s="147"/>
      <c r="X21" s="146"/>
      <c r="Y21" s="146"/>
      <c r="Z21" s="151"/>
      <c r="AA21" s="162"/>
      <c r="AB21" s="145"/>
      <c r="AC21" s="145"/>
    </row>
    <row r="22" spans="1:29" ht="15.75" customHeight="1" x14ac:dyDescent="0.25">
      <c r="A22" s="71"/>
      <c r="B22" s="131"/>
      <c r="C22" s="52"/>
      <c r="D22" s="164"/>
      <c r="E22" s="52"/>
      <c r="F22" s="144"/>
      <c r="G22" s="112"/>
      <c r="H22" s="112"/>
      <c r="I22" s="74"/>
      <c r="J22" s="141"/>
      <c r="K22" s="109"/>
      <c r="L22" s="49"/>
      <c r="M22" s="142"/>
      <c r="N22" s="114"/>
      <c r="O22" s="61"/>
      <c r="P22" s="41"/>
      <c r="Q22" s="83"/>
      <c r="R22" s="84"/>
      <c r="S22" s="84"/>
      <c r="T22" s="84"/>
      <c r="U22" s="85"/>
      <c r="W22" s="145"/>
      <c r="X22" s="146"/>
      <c r="Y22" s="146"/>
      <c r="Z22" s="151"/>
      <c r="AA22" s="163"/>
      <c r="AB22" s="145"/>
      <c r="AC22" s="145"/>
    </row>
    <row r="23" spans="1:29" ht="18" customHeight="1" x14ac:dyDescent="0.25">
      <c r="A23" s="71"/>
      <c r="B23" s="131"/>
      <c r="C23" s="45"/>
      <c r="D23" s="52"/>
      <c r="E23" s="52"/>
      <c r="F23" s="111"/>
      <c r="G23" s="46"/>
      <c r="H23" s="112">
        <f>+G23*E23</f>
        <v>0</v>
      </c>
      <c r="I23" s="74"/>
      <c r="J23" s="141">
        <f t="shared" si="0"/>
        <v>0</v>
      </c>
      <c r="K23" s="48">
        <f>(IF($L$7=0,0,(J23/$L$7*60)))</f>
        <v>0</v>
      </c>
      <c r="L23" s="49">
        <f t="shared" si="1"/>
        <v>0</v>
      </c>
      <c r="M23" s="142">
        <f>+L23/60*$L$7</f>
        <v>0</v>
      </c>
      <c r="N23" s="34"/>
      <c r="O23" s="61"/>
      <c r="P23" s="41"/>
      <c r="Q23" s="102"/>
      <c r="R23" s="103"/>
      <c r="S23" s="103"/>
      <c r="T23" s="103"/>
      <c r="U23" s="104"/>
      <c r="Y23" s="87">
        <f>SUM(Y12:Y22)</f>
        <v>0</v>
      </c>
    </row>
    <row r="24" spans="1:29" ht="15.6" customHeight="1" x14ac:dyDescent="0.25">
      <c r="A24" s="2" t="s">
        <v>39</v>
      </c>
      <c r="B24" s="3" t="s">
        <v>40</v>
      </c>
      <c r="C24" s="72">
        <f>SUM(C12:C23)</f>
        <v>0</v>
      </c>
      <c r="D24" s="72"/>
      <c r="E24" s="72"/>
      <c r="F24" s="113">
        <f>SUM(F12:F23)</f>
        <v>0</v>
      </c>
      <c r="G24" s="113">
        <f>SUM(G12:G23)</f>
        <v>2.7789999999999999</v>
      </c>
      <c r="H24" s="86">
        <f>SUM(H12:H23)</f>
        <v>6.6271000000000004</v>
      </c>
      <c r="I24" s="4"/>
      <c r="J24" s="5">
        <f>SUM(J12:J23)</f>
        <v>19.920025350454949</v>
      </c>
      <c r="K24" s="6">
        <f>SUM(K12:K23)</f>
        <v>2.4900031688068687</v>
      </c>
      <c r="L24" s="7"/>
      <c r="M24" s="8"/>
      <c r="N24" s="73">
        <f>SUM(N12:N23)</f>
        <v>0</v>
      </c>
      <c r="O24" s="63">
        <f>SUM(O12:O23)</f>
        <v>0</v>
      </c>
      <c r="P24" s="20"/>
      <c r="R24" s="64" t="s">
        <v>41</v>
      </c>
      <c r="S24" s="64" t="s">
        <v>42</v>
      </c>
      <c r="T24" s="64" t="s">
        <v>43</v>
      </c>
    </row>
    <row r="25" spans="1:29" ht="16.350000000000001" customHeight="1" thickBot="1" x14ac:dyDescent="0.3">
      <c r="J25" s="115"/>
      <c r="Q25" s="65" t="s">
        <v>41</v>
      </c>
      <c r="R25" s="67"/>
      <c r="S25" s="68">
        <f>R25*$L$7/60</f>
        <v>0</v>
      </c>
      <c r="T25" s="69">
        <f>S25*60</f>
        <v>0</v>
      </c>
      <c r="X25" s="10">
        <f>+$G$24*$J$8/($L$7*8)</f>
        <v>0.75000000000000011</v>
      </c>
      <c r="AB25" s="10">
        <f>+$G$24*$J$8/($L$7*6)</f>
        <v>1.0000000000000002</v>
      </c>
    </row>
    <row r="26" spans="1:29" ht="52.95" hidden="1" customHeight="1" thickBot="1" x14ac:dyDescent="0.3"/>
    <row r="27" spans="1:29" hidden="1" x14ac:dyDescent="0.25">
      <c r="B27" s="19" t="s">
        <v>44</v>
      </c>
      <c r="H27" s="187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9"/>
    </row>
    <row r="28" spans="1:29" hidden="1" x14ac:dyDescent="0.25">
      <c r="C28" s="16"/>
      <c r="D28" s="16"/>
      <c r="E28" s="16"/>
      <c r="F28" s="16"/>
      <c r="G28" s="16"/>
      <c r="H28" s="190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2"/>
    </row>
    <row r="29" spans="1:29" hidden="1" x14ac:dyDescent="0.25">
      <c r="C29" s="16"/>
      <c r="D29" s="16"/>
      <c r="E29" s="16"/>
      <c r="F29" s="16"/>
      <c r="G29" s="16"/>
      <c r="H29" s="190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2"/>
    </row>
    <row r="30" spans="1:29" hidden="1" x14ac:dyDescent="0.25">
      <c r="C30" s="16"/>
      <c r="D30" s="16"/>
      <c r="E30" s="16"/>
      <c r="F30" s="16"/>
      <c r="G30" s="16"/>
      <c r="H30" s="193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5"/>
    </row>
    <row r="31" spans="1:29" hidden="1" x14ac:dyDescent="0.25">
      <c r="L31" s="1"/>
    </row>
    <row r="32" spans="1:29" hidden="1" x14ac:dyDescent="0.25">
      <c r="H32" s="178" t="s">
        <v>45</v>
      </c>
      <c r="I32" s="179"/>
      <c r="J32" s="180"/>
      <c r="K32" s="181" t="s">
        <v>46</v>
      </c>
      <c r="L32" s="182"/>
      <c r="M32" s="183"/>
      <c r="N32" s="178" t="s">
        <v>47</v>
      </c>
      <c r="O32" s="179"/>
      <c r="P32" s="180"/>
      <c r="T32" s="66"/>
      <c r="U32" s="66" t="s">
        <v>41</v>
      </c>
    </row>
    <row r="33" spans="8:21" hidden="1" x14ac:dyDescent="0.25">
      <c r="H33" s="23"/>
      <c r="I33" s="24"/>
      <c r="J33" s="25"/>
      <c r="K33" s="29"/>
      <c r="L33" s="21"/>
      <c r="M33" s="30"/>
      <c r="N33" s="23"/>
      <c r="P33" s="30"/>
      <c r="U33" s="66" t="s">
        <v>41</v>
      </c>
    </row>
    <row r="34" spans="8:21" ht="13.8" hidden="1" x14ac:dyDescent="0.25">
      <c r="H34" s="23"/>
      <c r="I34" s="24"/>
      <c r="J34" s="25"/>
      <c r="K34" s="29"/>
      <c r="L34" s="21"/>
      <c r="M34" s="30"/>
      <c r="N34" s="23"/>
      <c r="P34" s="30"/>
      <c r="T34" s="82"/>
      <c r="U34" s="66" t="s">
        <v>41</v>
      </c>
    </row>
    <row r="35" spans="8:21" hidden="1" x14ac:dyDescent="0.25">
      <c r="H35" s="26"/>
      <c r="I35" s="27"/>
      <c r="J35" s="28"/>
      <c r="K35" s="31"/>
      <c r="L35" s="32"/>
      <c r="M35" s="33"/>
      <c r="N35" s="26"/>
      <c r="O35" s="32"/>
      <c r="P35" s="33"/>
    </row>
  </sheetData>
  <sheetProtection selectLockedCells="1"/>
  <mergeCells count="11">
    <mergeCell ref="K2:L2"/>
    <mergeCell ref="K3:L3"/>
    <mergeCell ref="K4:L4"/>
    <mergeCell ref="S7:U7"/>
    <mergeCell ref="J10:M10"/>
    <mergeCell ref="N10:U10"/>
    <mergeCell ref="H32:J32"/>
    <mergeCell ref="Q11:U11"/>
    <mergeCell ref="H27:U30"/>
    <mergeCell ref="K32:M32"/>
    <mergeCell ref="N32:P32"/>
  </mergeCells>
  <phoneticPr fontId="19" type="noConversion"/>
  <conditionalFormatting sqref="O12:O24">
    <cfRule type="cellIs" dxfId="2" priority="1" stopIfTrue="1" operator="greaterThan">
      <formula>0</formula>
    </cfRule>
    <cfRule type="cellIs" dxfId="1" priority="2" stopIfTrue="1" operator="lessThan">
      <formula>-0.1</formula>
    </cfRule>
  </conditionalFormatting>
  <conditionalFormatting sqref="S25:T25">
    <cfRule type="cellIs" dxfId="0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H2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48A-BA5D-4A7B-A638-9DF0628AC864}">
  <dimension ref="A1"/>
  <sheetViews>
    <sheetView workbookViewId="0"/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C83-3E84-4538-BC86-E13884CB5BFA}">
  <dimension ref="B2:P18"/>
  <sheetViews>
    <sheetView workbookViewId="0">
      <selection activeCell="P18" sqref="P18"/>
    </sheetView>
  </sheetViews>
  <sheetFormatPr baseColWidth="10" defaultColWidth="11.44140625" defaultRowHeight="13.2" x14ac:dyDescent="0.25"/>
  <cols>
    <col min="2" max="2" width="22" bestFit="1" customWidth="1"/>
  </cols>
  <sheetData>
    <row r="2" spans="2:16" x14ac:dyDescent="0.25">
      <c r="M2" s="121" t="s">
        <v>102</v>
      </c>
      <c r="N2" s="122">
        <v>2</v>
      </c>
    </row>
    <row r="3" spans="2:16" ht="13.8" thickBot="1" x14ac:dyDescent="0.3">
      <c r="O3" s="120">
        <v>0.1</v>
      </c>
      <c r="P3">
        <v>0.36</v>
      </c>
    </row>
    <row r="4" spans="2:16" ht="25.5" customHeight="1" x14ac:dyDescent="0.25">
      <c r="C4" s="210" t="s">
        <v>103</v>
      </c>
      <c r="D4" s="206" t="s">
        <v>104</v>
      </c>
      <c r="E4" s="206" t="s">
        <v>105</v>
      </c>
      <c r="F4" s="206" t="s">
        <v>106</v>
      </c>
      <c r="G4" s="206" t="s">
        <v>107</v>
      </c>
      <c r="H4" s="206" t="s">
        <v>108</v>
      </c>
      <c r="I4" s="206" t="s">
        <v>109</v>
      </c>
      <c r="J4" s="206" t="s">
        <v>110</v>
      </c>
      <c r="K4" s="206" t="s">
        <v>111</v>
      </c>
      <c r="L4" s="206" t="s">
        <v>112</v>
      </c>
      <c r="M4" s="206" t="s">
        <v>113</v>
      </c>
      <c r="N4" s="206" t="s">
        <v>114</v>
      </c>
      <c r="O4" s="206" t="s">
        <v>115</v>
      </c>
      <c r="P4" s="208" t="s">
        <v>116</v>
      </c>
    </row>
    <row r="5" spans="2:16" ht="13.8" thickBot="1" x14ac:dyDescent="0.3">
      <c r="C5" s="211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9"/>
    </row>
    <row r="6" spans="2:16" ht="20.25" customHeight="1" x14ac:dyDescent="0.25">
      <c r="B6" s="124" t="s">
        <v>117</v>
      </c>
      <c r="C6" s="118">
        <v>4.45</v>
      </c>
      <c r="D6" s="118">
        <v>7.02</v>
      </c>
      <c r="E6" s="118">
        <v>5.52</v>
      </c>
      <c r="F6" s="118">
        <v>5.99</v>
      </c>
      <c r="G6" s="118">
        <v>5.5</v>
      </c>
      <c r="H6" s="118">
        <v>6.05</v>
      </c>
      <c r="I6" s="118">
        <v>4.3499999999999996</v>
      </c>
      <c r="J6" s="118">
        <v>5.45</v>
      </c>
      <c r="K6" s="118">
        <v>6.38</v>
      </c>
      <c r="L6" s="118">
        <v>5.5</v>
      </c>
      <c r="M6" s="119">
        <f t="shared" ref="M6:M12" si="0">AVERAGE(C6:L6)</f>
        <v>5.6210000000000004</v>
      </c>
      <c r="N6" s="125">
        <f>M6/$N$2</f>
        <v>2.8105000000000002</v>
      </c>
      <c r="O6" s="119">
        <f>N6*(1+$O$3)</f>
        <v>3.0915500000000007</v>
      </c>
      <c r="P6" s="125">
        <f t="shared" ref="P6:P12" si="1">O6/$P$3</f>
        <v>8.5876388888888915</v>
      </c>
    </row>
    <row r="7" spans="2:16" ht="20.25" customHeight="1" x14ac:dyDescent="0.25">
      <c r="B7" s="124" t="s">
        <v>118</v>
      </c>
      <c r="C7" s="116">
        <v>9.0399999999999991</v>
      </c>
      <c r="D7" s="116">
        <v>10.72</v>
      </c>
      <c r="E7" s="116">
        <v>8.09</v>
      </c>
      <c r="F7" s="116">
        <v>7.06</v>
      </c>
      <c r="G7" s="116">
        <v>10.38</v>
      </c>
      <c r="H7" s="116">
        <v>9.94</v>
      </c>
      <c r="I7" s="116">
        <v>7.99</v>
      </c>
      <c r="J7" s="116">
        <v>9.6199999999999992</v>
      </c>
      <c r="K7" s="116">
        <v>9.8800000000000008</v>
      </c>
      <c r="L7" s="116">
        <v>7.96</v>
      </c>
      <c r="M7" s="117">
        <f t="shared" si="0"/>
        <v>9.0679999999999996</v>
      </c>
      <c r="N7" s="123">
        <f t="shared" ref="N7:N12" si="2">M7/$N$2</f>
        <v>4.5339999999999998</v>
      </c>
      <c r="O7" s="117">
        <f t="shared" ref="O7:O12" si="3">N7*(1+$O$3)</f>
        <v>4.9874000000000001</v>
      </c>
      <c r="P7" s="123">
        <f t="shared" si="1"/>
        <v>13.853888888888889</v>
      </c>
    </row>
    <row r="8" spans="2:16" ht="20.25" customHeight="1" x14ac:dyDescent="0.25">
      <c r="B8" s="124" t="s">
        <v>119</v>
      </c>
      <c r="C8" s="116">
        <v>4.29</v>
      </c>
      <c r="D8" s="116">
        <v>6.11</v>
      </c>
      <c r="E8" s="116">
        <v>5.45</v>
      </c>
      <c r="F8" s="116">
        <v>6.34</v>
      </c>
      <c r="G8" s="116">
        <v>5.3</v>
      </c>
      <c r="H8" s="116">
        <v>5.6</v>
      </c>
      <c r="I8" s="116">
        <v>5.15</v>
      </c>
      <c r="J8" s="116">
        <v>4.13</v>
      </c>
      <c r="K8" s="116">
        <v>5.72</v>
      </c>
      <c r="L8" s="116">
        <v>5.42</v>
      </c>
      <c r="M8" s="117">
        <f t="shared" si="0"/>
        <v>5.3510000000000009</v>
      </c>
      <c r="N8" s="123">
        <f t="shared" si="2"/>
        <v>2.6755000000000004</v>
      </c>
      <c r="O8" s="117">
        <f t="shared" si="3"/>
        <v>2.9430500000000008</v>
      </c>
      <c r="P8" s="123">
        <f t="shared" si="1"/>
        <v>8.1751388888888918</v>
      </c>
    </row>
    <row r="9" spans="2:16" ht="20.25" customHeight="1" x14ac:dyDescent="0.25">
      <c r="B9" s="124" t="s">
        <v>120</v>
      </c>
      <c r="C9" s="116">
        <v>8.7899999999999991</v>
      </c>
      <c r="D9" s="116">
        <v>8.57</v>
      </c>
      <c r="E9" s="116">
        <v>7.04</v>
      </c>
      <c r="F9" s="116">
        <v>7.34</v>
      </c>
      <c r="G9" s="116">
        <v>6.94</v>
      </c>
      <c r="H9" s="116">
        <v>7.43</v>
      </c>
      <c r="I9" s="116">
        <v>8.74</v>
      </c>
      <c r="J9" s="116">
        <v>7.57</v>
      </c>
      <c r="K9" s="116">
        <v>7.4</v>
      </c>
      <c r="L9" s="116">
        <v>8.15</v>
      </c>
      <c r="M9" s="117">
        <f t="shared" si="0"/>
        <v>7.7970000000000015</v>
      </c>
      <c r="N9" s="123">
        <f t="shared" si="2"/>
        <v>3.8985000000000007</v>
      </c>
      <c r="O9" s="117">
        <f t="shared" si="3"/>
        <v>4.2883500000000012</v>
      </c>
      <c r="P9" s="130">
        <f t="shared" si="1"/>
        <v>11.912083333333337</v>
      </c>
    </row>
    <row r="10" spans="2:16" ht="20.25" customHeight="1" x14ac:dyDescent="0.25">
      <c r="B10" s="124" t="s">
        <v>121</v>
      </c>
      <c r="C10" s="116">
        <v>7.24</v>
      </c>
      <c r="D10" s="116">
        <v>8.2200000000000006</v>
      </c>
      <c r="E10" s="116">
        <v>8.9</v>
      </c>
      <c r="F10" s="116">
        <v>9.6300000000000008</v>
      </c>
      <c r="G10" s="116">
        <v>8.2799999999999994</v>
      </c>
      <c r="H10" s="116">
        <v>6.67</v>
      </c>
      <c r="I10" s="116">
        <v>8.93</v>
      </c>
      <c r="J10" s="116">
        <v>9.73</v>
      </c>
      <c r="K10" s="116">
        <v>9.1300000000000008</v>
      </c>
      <c r="L10" s="116">
        <v>8.7200000000000006</v>
      </c>
      <c r="M10" s="117">
        <f t="shared" si="0"/>
        <v>8.5449999999999999</v>
      </c>
      <c r="N10" s="123">
        <f t="shared" si="2"/>
        <v>4.2725</v>
      </c>
      <c r="O10" s="117">
        <f t="shared" si="3"/>
        <v>4.6997500000000008</v>
      </c>
      <c r="P10" s="123">
        <f t="shared" si="1"/>
        <v>13.054861111111114</v>
      </c>
    </row>
    <row r="11" spans="2:16" s="93" customFormat="1" ht="20.25" customHeight="1" x14ac:dyDescent="0.25">
      <c r="B11" s="126" t="s">
        <v>122</v>
      </c>
      <c r="C11" s="127">
        <v>2.59</v>
      </c>
      <c r="D11" s="127">
        <v>2.71</v>
      </c>
      <c r="E11" s="127">
        <v>2.52</v>
      </c>
      <c r="F11" s="127">
        <v>3.12</v>
      </c>
      <c r="G11" s="127">
        <v>3.23</v>
      </c>
      <c r="H11" s="127">
        <v>3.07</v>
      </c>
      <c r="I11" s="127">
        <v>3.55</v>
      </c>
      <c r="J11" s="127">
        <v>3.7</v>
      </c>
      <c r="K11" s="127">
        <v>3.57</v>
      </c>
      <c r="L11" s="127">
        <v>3.11</v>
      </c>
      <c r="M11" s="128">
        <f t="shared" si="0"/>
        <v>3.117</v>
      </c>
      <c r="N11" s="129">
        <f>M11/$N$2</f>
        <v>1.5585</v>
      </c>
      <c r="O11" s="128">
        <f t="shared" si="3"/>
        <v>1.71435</v>
      </c>
      <c r="P11" s="129">
        <f t="shared" si="1"/>
        <v>4.7620833333333339</v>
      </c>
    </row>
    <row r="12" spans="2:16" ht="20.25" customHeight="1" x14ac:dyDescent="0.25">
      <c r="B12" s="124" t="s">
        <v>123</v>
      </c>
      <c r="C12" s="116">
        <v>2.2200000000000002</v>
      </c>
      <c r="D12" s="116">
        <v>3.12</v>
      </c>
      <c r="E12" s="116">
        <v>3.19</v>
      </c>
      <c r="F12" s="116">
        <v>2.71</v>
      </c>
      <c r="G12" s="116">
        <v>2.12</v>
      </c>
      <c r="H12" s="116">
        <v>3.24</v>
      </c>
      <c r="I12" s="116">
        <v>2.4</v>
      </c>
      <c r="J12" s="116">
        <v>3.8</v>
      </c>
      <c r="K12" s="116">
        <v>2.3199999999999998</v>
      </c>
      <c r="L12" s="116">
        <v>2.15</v>
      </c>
      <c r="M12" s="117">
        <f t="shared" si="0"/>
        <v>2.7269999999999999</v>
      </c>
      <c r="N12" s="123">
        <f t="shared" si="2"/>
        <v>1.3634999999999999</v>
      </c>
      <c r="O12" s="117">
        <f t="shared" si="3"/>
        <v>1.4998500000000001</v>
      </c>
      <c r="P12" s="123">
        <f t="shared" si="1"/>
        <v>4.1662500000000007</v>
      </c>
    </row>
    <row r="13" spans="2:16" ht="20.25" customHeight="1" x14ac:dyDescent="0.25">
      <c r="B13" s="124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34"/>
      <c r="O13" s="133"/>
      <c r="P13" s="134"/>
    </row>
    <row r="14" spans="2:16" ht="20.25" customHeight="1" x14ac:dyDescent="0.25">
      <c r="B14" s="124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3"/>
      <c r="P14" s="134"/>
    </row>
    <row r="15" spans="2:16" ht="13.8" x14ac:dyDescent="0.25">
      <c r="B15" s="126" t="s">
        <v>122</v>
      </c>
    </row>
    <row r="16" spans="2:16" ht="13.8" x14ac:dyDescent="0.25">
      <c r="B16" s="124" t="s">
        <v>120</v>
      </c>
      <c r="M16" s="128">
        <v>7</v>
      </c>
      <c r="N16" s="129">
        <f>M16/$N$2</f>
        <v>3.5</v>
      </c>
      <c r="O16" s="128">
        <f>N16*(1+$O$3)</f>
        <v>3.8500000000000005</v>
      </c>
      <c r="P16" s="129">
        <f>O16/$P$3</f>
        <v>10.694444444444446</v>
      </c>
    </row>
    <row r="17" spans="2:16" ht="13.8" x14ac:dyDescent="0.25">
      <c r="B17" s="135" t="s">
        <v>124</v>
      </c>
      <c r="M17" s="128">
        <v>3.5</v>
      </c>
      <c r="N17" s="129">
        <f>M17/$N$2</f>
        <v>1.75</v>
      </c>
      <c r="O17" s="128">
        <f>N17*(1+$O$3)</f>
        <v>1.9250000000000003</v>
      </c>
      <c r="P17" s="129">
        <f>O17/$P$3</f>
        <v>5.3472222222222232</v>
      </c>
    </row>
    <row r="18" spans="2:16" x14ac:dyDescent="0.25">
      <c r="M18" s="128">
        <v>2.83</v>
      </c>
      <c r="N18" s="129">
        <f>M18/$N$2</f>
        <v>1.415</v>
      </c>
      <c r="O18" s="128">
        <f>N18*(1+$O$3)</f>
        <v>1.5565000000000002</v>
      </c>
      <c r="P18" s="129">
        <f>O18/$P$3</f>
        <v>4.323611111111112</v>
      </c>
    </row>
  </sheetData>
  <mergeCells count="14">
    <mergeCell ref="C4:C5"/>
    <mergeCell ref="D4:D5"/>
    <mergeCell ref="E4:E5"/>
    <mergeCell ref="F4:F5"/>
    <mergeCell ref="G4:G5"/>
    <mergeCell ref="H4:H5"/>
    <mergeCell ref="O4:O5"/>
    <mergeCell ref="N4:N5"/>
    <mergeCell ref="M4:M5"/>
    <mergeCell ref="P4:P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B58A-5D3E-4B0B-A9B2-3444FA7ADB26}">
  <dimension ref="E5:H16"/>
  <sheetViews>
    <sheetView workbookViewId="0">
      <selection activeCell="E16" sqref="E16:F16"/>
    </sheetView>
  </sheetViews>
  <sheetFormatPr baseColWidth="10" defaultColWidth="11.44140625" defaultRowHeight="13.2" x14ac:dyDescent="0.25"/>
  <cols>
    <col min="7" max="8" width="11.5546875" hidden="1" customWidth="1"/>
  </cols>
  <sheetData>
    <row r="5" spans="5:8" x14ac:dyDescent="0.25">
      <c r="E5" s="157" t="s">
        <v>74</v>
      </c>
      <c r="F5" s="157" t="s">
        <v>75</v>
      </c>
      <c r="G5" s="157" t="s">
        <v>76</v>
      </c>
    </row>
    <row r="6" spans="5:8" x14ac:dyDescent="0.25">
      <c r="E6" s="158" t="s">
        <v>80</v>
      </c>
      <c r="F6" s="159" t="s">
        <v>81</v>
      </c>
      <c r="G6" s="145"/>
    </row>
    <row r="7" spans="5:8" x14ac:dyDescent="0.25">
      <c r="E7" s="158" t="s">
        <v>80</v>
      </c>
      <c r="F7" s="159" t="s">
        <v>81</v>
      </c>
      <c r="G7" s="145"/>
    </row>
    <row r="8" spans="5:8" x14ac:dyDescent="0.25">
      <c r="E8" s="158" t="s">
        <v>80</v>
      </c>
      <c r="F8" s="159" t="s">
        <v>81</v>
      </c>
      <c r="G8" s="145"/>
    </row>
    <row r="9" spans="5:8" x14ac:dyDescent="0.25">
      <c r="E9" s="214" t="s">
        <v>92</v>
      </c>
      <c r="F9" s="215"/>
      <c r="G9" s="145"/>
      <c r="H9" s="145"/>
    </row>
    <row r="10" spans="5:8" x14ac:dyDescent="0.25">
      <c r="E10" s="216" t="s">
        <v>92</v>
      </c>
      <c r="F10" s="217"/>
      <c r="G10" s="145"/>
      <c r="H10" s="145"/>
    </row>
    <row r="11" spans="5:8" x14ac:dyDescent="0.25">
      <c r="E11" s="218" t="s">
        <v>98</v>
      </c>
      <c r="F11" s="219"/>
      <c r="G11" s="145"/>
      <c r="H11" s="145"/>
    </row>
    <row r="12" spans="5:8" x14ac:dyDescent="0.25">
      <c r="E12" s="218" t="s">
        <v>98</v>
      </c>
      <c r="F12" s="219"/>
      <c r="G12" s="145"/>
      <c r="H12" s="145"/>
    </row>
    <row r="13" spans="5:8" x14ac:dyDescent="0.25">
      <c r="E13" s="218" t="s">
        <v>98</v>
      </c>
      <c r="F13" s="219"/>
      <c r="G13" s="145"/>
      <c r="H13" s="145"/>
    </row>
    <row r="14" spans="5:8" x14ac:dyDescent="0.25">
      <c r="E14" s="220" t="s">
        <v>101</v>
      </c>
      <c r="F14" s="221"/>
      <c r="G14" s="145"/>
      <c r="H14" s="145"/>
    </row>
    <row r="15" spans="5:8" x14ac:dyDescent="0.25">
      <c r="E15" s="222" t="s">
        <v>101</v>
      </c>
      <c r="F15" s="223"/>
      <c r="G15" s="145"/>
      <c r="H15" s="145"/>
    </row>
    <row r="16" spans="5:8" x14ac:dyDescent="0.25">
      <c r="E16" s="212" t="s">
        <v>125</v>
      </c>
      <c r="F16" s="213"/>
      <c r="G16" s="145"/>
      <c r="H16" s="145"/>
    </row>
  </sheetData>
  <mergeCells count="8">
    <mergeCell ref="E16:F16"/>
    <mergeCell ref="E9:F9"/>
    <mergeCell ref="E10:F10"/>
    <mergeCell ref="E11:F11"/>
    <mergeCell ref="E14:F14"/>
    <mergeCell ref="E15:F15"/>
    <mergeCell ref="E12:F12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D331-1092-4E43-B95F-AF5DD7871302}">
  <dimension ref="A1"/>
  <sheetViews>
    <sheetView topLeftCell="A7" workbookViewId="0">
      <selection activeCell="D37" sqref="D37"/>
    </sheetView>
  </sheetViews>
  <sheetFormatPr baseColWidth="10" defaultColWidth="11.44140625" defaultRowHeight="13.2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E711FEAE3724684CF50787BEABB17" ma:contentTypeVersion="15" ma:contentTypeDescription="Crée un document." ma:contentTypeScope="" ma:versionID="f4570c4a75afa27d19292f9856062766">
  <xsd:schema xmlns:xsd="http://www.w3.org/2001/XMLSchema" xmlns:xs="http://www.w3.org/2001/XMLSchema" xmlns:p="http://schemas.microsoft.com/office/2006/metadata/properties" xmlns:ns3="05607f4d-16f9-4f84-a719-9a73b6ed4334" xmlns:ns4="4cb0f502-74c6-4a5c-bd39-f2b4beec7b72" targetNamespace="http://schemas.microsoft.com/office/2006/metadata/properties" ma:root="true" ma:fieldsID="cf9ec4376bc3a2eace9795129f4fdd82" ns3:_="" ns4:_="">
    <xsd:import namespace="05607f4d-16f9-4f84-a719-9a73b6ed4334"/>
    <xsd:import namespace="4cb0f502-74c6-4a5c-bd39-f2b4beec7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07f4d-16f9-4f84-a719-9a73b6ed4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0f502-74c6-4a5c-bd39-f2b4beec7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607f4d-16f9-4f84-a719-9a73b6ed4334" xsi:nil="true"/>
  </documentManagement>
</p:properties>
</file>

<file path=customXml/itemProps1.xml><?xml version="1.0" encoding="utf-8"?>
<ds:datastoreItem xmlns:ds="http://schemas.openxmlformats.org/officeDocument/2006/customXml" ds:itemID="{FC3E8AC4-DB68-4C1A-9060-A5674DCFF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607f4d-16f9-4f84-a719-9a73b6ed4334"/>
    <ds:schemaRef ds:uri="4cb0f502-74c6-4a5c-bd39-f2b4beec7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3310B1-1094-4F66-B4F7-042F3B487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5C7A60-66C3-4D64-AC19-D778EB70028A}">
  <ds:schemaRefs>
    <ds:schemaRef ds:uri="05607f4d-16f9-4f84-a719-9a73b6ed4334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cb0f502-74c6-4a5c-bd39-f2b4beec7b7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EQUILIBRAGE 140 P </vt:lpstr>
      <vt:lpstr>DIAGRAMME DU TAKT</vt:lpstr>
      <vt:lpstr>Feuil2</vt:lpstr>
      <vt:lpstr>EQUILIBRAGE  330</vt:lpstr>
      <vt:lpstr>EQUILIBRAGE</vt:lpstr>
      <vt:lpstr>Feuil5</vt:lpstr>
      <vt:lpstr>Feuil4</vt:lpstr>
      <vt:lpstr>Feuil3</vt:lpstr>
      <vt:lpstr>Feuil1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Youssef KHALFA</cp:lastModifiedBy>
  <cp:revision/>
  <dcterms:created xsi:type="dcterms:W3CDTF">1996-10-21T11:03:58Z</dcterms:created>
  <dcterms:modified xsi:type="dcterms:W3CDTF">2025-06-09T15:16:51Z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0x010100F4CE711FEAE3724684CF50787BEABB17</vt:lpwstr>
  </property>
</Properties>
</file>