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D50" i="1"/>
  <c r="D49" i="1" l="1"/>
  <c r="F19" i="1"/>
  <c r="F14" i="1"/>
  <c r="D14" i="1"/>
  <c r="F13" i="1"/>
  <c r="D48" i="1"/>
  <c r="D46" i="1"/>
  <c r="D45" i="1"/>
  <c r="D43" i="1"/>
  <c r="D42" i="1"/>
  <c r="D39" i="1" l="1"/>
  <c r="D38" i="1"/>
  <c r="D37" i="1"/>
  <c r="D35" i="1"/>
  <c r="D33" i="1" l="1"/>
  <c r="D32" i="1"/>
  <c r="D27" i="1"/>
  <c r="D9" i="1"/>
  <c r="F28" i="1"/>
  <c r="D19" i="1"/>
  <c r="D13" i="1"/>
  <c r="D3" i="1"/>
  <c r="F3" i="1" s="1"/>
  <c r="D22" i="1" l="1"/>
  <c r="F29" i="1"/>
  <c r="H4" i="1"/>
  <c r="F9" i="1"/>
</calcChain>
</file>

<file path=xl/sharedStrings.xml><?xml version="1.0" encoding="utf-8"?>
<sst xmlns="http://schemas.openxmlformats.org/spreadsheetml/2006/main" count="91" uniqueCount="91">
  <si>
    <t>PWM_FREQUENCY</t>
  </si>
  <si>
    <t>SAMP_FREQ</t>
  </si>
  <si>
    <t>TPWM_VALUE</t>
  </si>
  <si>
    <t>SPD_BW_Wind</t>
  </si>
  <si>
    <t>SPEED_KLPF_WIND</t>
  </si>
  <si>
    <t>PI</t>
    <phoneticPr fontId="1" type="noConversion"/>
  </si>
  <si>
    <t>FOC_OMEKLPF</t>
  </si>
  <si>
    <t>407E</t>
    <phoneticPr fontId="1" type="noConversion"/>
  </si>
  <si>
    <t>HW_ADC_REF</t>
  </si>
  <si>
    <t>HW_AMPGAIN</t>
  </si>
  <si>
    <t>HW_RSHUNT</t>
  </si>
  <si>
    <t>HW_BOARD_CURR_MAX</t>
  </si>
  <si>
    <t>HW_BOARD_CURR_BASE</t>
  </si>
  <si>
    <t>RV1</t>
    <phoneticPr fontId="1" type="noConversion"/>
  </si>
  <si>
    <t>RV2</t>
    <phoneticPr fontId="1" type="noConversion"/>
  </si>
  <si>
    <t>RV3</t>
    <phoneticPr fontId="1" type="noConversion"/>
  </si>
  <si>
    <t>HW_BOARD_VOLT_MAX</t>
  </si>
  <si>
    <t>RS</t>
    <phoneticPr fontId="1" type="noConversion"/>
  </si>
  <si>
    <t>LD</t>
    <phoneticPr fontId="1" type="noConversion"/>
  </si>
  <si>
    <t>Ke</t>
    <phoneticPr fontId="1" type="noConversion"/>
  </si>
  <si>
    <t>Pole_Pairs</t>
  </si>
  <si>
    <t>Ke_VPP</t>
    <phoneticPr fontId="1" type="noConversion"/>
  </si>
  <si>
    <t>Ke_T</t>
    <phoneticPr fontId="1" type="noConversion"/>
  </si>
  <si>
    <t>ATT_COEF</t>
  </si>
  <si>
    <t>E_BW_Wind</t>
  </si>
  <si>
    <t>OBSE_PLLKP_GAIN_WIND</t>
  </si>
  <si>
    <t>OBSE_PLLKI_GAIN_WIND</t>
  </si>
  <si>
    <t>DQKP_TailWind</t>
  </si>
  <si>
    <t>DQKI_TailWind</t>
  </si>
  <si>
    <t>FOC_DQKP</t>
  </si>
  <si>
    <t>FOC_DQKI</t>
  </si>
  <si>
    <t>MOTOR_SPEED_BASE</t>
  </si>
  <si>
    <t>BASE_FREQ</t>
  </si>
  <si>
    <t>OBSW_KP_GAIN_WIND</t>
  </si>
  <si>
    <t>ATO_BW_Wind</t>
    <phoneticPr fontId="1" type="noConversion"/>
  </si>
  <si>
    <t>OBSW_KI_GAIN_WIND</t>
  </si>
  <si>
    <t>407a</t>
    <phoneticPr fontId="1" type="noConversion"/>
  </si>
  <si>
    <t>MCU_CLOCK</t>
  </si>
  <si>
    <t>PWM_DEADTIME</t>
  </si>
  <si>
    <t>PWM_LOAD_DEADTIME</t>
  </si>
  <si>
    <t>DRV_DTR</t>
  </si>
  <si>
    <t>PWM_VALUE_LOAD</t>
  </si>
  <si>
    <t>DRV_ARR</t>
  </si>
  <si>
    <t>DLL_TIME</t>
  </si>
  <si>
    <t>PWM_DLOWL_TIME</t>
  </si>
  <si>
    <t>FOC_TBLO</t>
  </si>
  <si>
    <t>死区</t>
    <phoneticPr fontId="1" type="noConversion"/>
  </si>
  <si>
    <t>PWM周期</t>
    <phoneticPr fontId="1" type="noConversion"/>
  </si>
  <si>
    <t>下桥最小脉冲</t>
    <phoneticPr fontId="1" type="noConversion"/>
  </si>
  <si>
    <t>PWM_CYCLE</t>
  </si>
  <si>
    <t>DT_TIME</t>
  </si>
  <si>
    <t>PWM_DT_LOAD</t>
  </si>
  <si>
    <t>FOC_TSMIN</t>
  </si>
  <si>
    <t>死区补偿值</t>
    <phoneticPr fontId="1" type="noConversion"/>
  </si>
  <si>
    <t>40A2</t>
    <phoneticPr fontId="1" type="noConversion"/>
  </si>
  <si>
    <t>40A4</t>
    <phoneticPr fontId="1" type="noConversion"/>
  </si>
  <si>
    <t>405E</t>
    <phoneticPr fontId="1" type="noConversion"/>
  </si>
  <si>
    <t>GLI_TIME</t>
  </si>
  <si>
    <t>PWM_TGLI_LOAD</t>
  </si>
  <si>
    <t>FOC_TGLI</t>
  </si>
  <si>
    <t>上桥最小脉冲</t>
    <phoneticPr fontId="1" type="noConversion"/>
  </si>
  <si>
    <t>40A3</t>
    <phoneticPr fontId="1" type="noConversion"/>
  </si>
  <si>
    <t>OBS_FBASE</t>
  </si>
  <si>
    <t>FOC_FBASE</t>
    <phoneticPr fontId="1" type="noConversion"/>
  </si>
  <si>
    <t>OBS_KLPF</t>
    <phoneticPr fontId="1" type="noConversion"/>
  </si>
  <si>
    <t>FOC_EBMFK</t>
  </si>
  <si>
    <t>FOC_EKI  PLL</t>
    <phoneticPr fontId="1" type="noConversion"/>
  </si>
  <si>
    <t>FOC_EKP  PLL</t>
    <phoneticPr fontId="1" type="noConversion"/>
  </si>
  <si>
    <t>FOC_KSLIDE  PLL_KP</t>
    <phoneticPr fontId="1" type="noConversion"/>
  </si>
  <si>
    <t>FOC_EKLPFMIN  PLL_KI</t>
    <phoneticPr fontId="1" type="noConversion"/>
  </si>
  <si>
    <t>OBSW_KP_GAIN</t>
  </si>
  <si>
    <t>OBSW_KI_GAIN</t>
  </si>
  <si>
    <t>ATO_BW</t>
  </si>
  <si>
    <t>FOC_EKP</t>
    <phoneticPr fontId="1" type="noConversion"/>
  </si>
  <si>
    <t>FOC_EKI</t>
    <phoneticPr fontId="1" type="noConversion"/>
  </si>
  <si>
    <t>OBS_K1T</t>
  </si>
  <si>
    <t>OBS_K2T</t>
    <phoneticPr fontId="1" type="noConversion"/>
  </si>
  <si>
    <t>OBS_K3T</t>
    <phoneticPr fontId="1" type="noConversion"/>
  </si>
  <si>
    <t>OBS_K4T</t>
    <phoneticPr fontId="1" type="noConversion"/>
  </si>
  <si>
    <t>HW_BOARD_VOLTAGE_BASE</t>
  </si>
  <si>
    <t>VC1</t>
  </si>
  <si>
    <t>HW_BOARD_VOLTAGE_VC</t>
  </si>
  <si>
    <t>HW_BOARD_VOLTAGE_BASE_Start</t>
  </si>
  <si>
    <t>MAX_BEMF_VOLTAGE</t>
  </si>
  <si>
    <t>FOC_EK1</t>
    <phoneticPr fontId="1" type="noConversion"/>
  </si>
  <si>
    <t>FOC_EK2</t>
    <phoneticPr fontId="1" type="noConversion"/>
  </si>
  <si>
    <t>FOC_EK3</t>
    <phoneticPr fontId="1" type="noConversion"/>
  </si>
  <si>
    <t>FOC_EK4</t>
    <phoneticPr fontId="1" type="noConversion"/>
  </si>
  <si>
    <t>408C</t>
    <phoneticPr fontId="1" type="noConversion"/>
  </si>
  <si>
    <t>408E</t>
    <phoneticPr fontId="1" type="noConversion"/>
  </si>
  <si>
    <t>408A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</si>
</sst>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A13" zoomScale="90" zoomScaleNormal="90" workbookViewId="0">
      <selection activeCell="E47" sqref="E47"/>
    </sheetView>
  </sheetViews>
  <sheetFormatPr defaultRowHeight="13.5" x14ac:dyDescent="0.15"/>
  <cols>
    <col min="1" max="1" width="18.375" bestFit="1" customWidth="1"/>
    <col min="2" max="2" width="10.5" style="5" bestFit="1" customWidth="1"/>
    <col min="3" max="3" width="22.75" bestFit="1" customWidth="1"/>
    <col min="4" max="4" width="12.75" style="5" bestFit="1" customWidth="1"/>
    <col min="5" max="5" width="34.5" bestFit="1" customWidth="1"/>
    <col min="6" max="6" width="13" style="5" bestFit="1" customWidth="1"/>
    <col min="7" max="7" width="17.25" style="5" bestFit="1" customWidth="1"/>
    <col min="8" max="8" width="9" style="5"/>
    <col min="9" max="9" width="12.75" bestFit="1" customWidth="1"/>
  </cols>
  <sheetData>
    <row r="2" spans="1:10" x14ac:dyDescent="0.15">
      <c r="A2" t="s">
        <v>5</v>
      </c>
      <c r="B2" s="5">
        <v>3.1415926000000001</v>
      </c>
    </row>
    <row r="3" spans="1:10" x14ac:dyDescent="0.15">
      <c r="A3" t="s">
        <v>0</v>
      </c>
      <c r="B3" s="5">
        <v>16</v>
      </c>
      <c r="C3" t="s">
        <v>1</v>
      </c>
      <c r="D3" s="5">
        <f>B3*1000</f>
        <v>16000</v>
      </c>
      <c r="E3" t="s">
        <v>2</v>
      </c>
      <c r="F3" s="5">
        <f>1/D3</f>
        <v>6.2500000000000001E-5</v>
      </c>
    </row>
    <row r="4" spans="1:10" x14ac:dyDescent="0.15">
      <c r="E4" s="2" t="s">
        <v>3</v>
      </c>
      <c r="F4" s="5">
        <v>10</v>
      </c>
      <c r="G4" s="5" t="s">
        <v>4</v>
      </c>
      <c r="H4" s="5">
        <f>2*B2*F4*F3*32768</f>
        <v>128.67963289599999</v>
      </c>
      <c r="I4" s="1" t="s">
        <v>6</v>
      </c>
      <c r="J4" t="s">
        <v>7</v>
      </c>
    </row>
    <row r="7" spans="1:10" x14ac:dyDescent="0.15">
      <c r="A7" t="s">
        <v>8</v>
      </c>
      <c r="B7" s="5">
        <v>4.5</v>
      </c>
    </row>
    <row r="8" spans="1:10" x14ac:dyDescent="0.15">
      <c r="A8" t="s">
        <v>9</v>
      </c>
      <c r="B8" s="5">
        <v>3.75</v>
      </c>
    </row>
    <row r="9" spans="1:10" x14ac:dyDescent="0.15">
      <c r="A9" t="s">
        <v>10</v>
      </c>
      <c r="B9" s="5">
        <v>0.1</v>
      </c>
      <c r="C9" t="s">
        <v>11</v>
      </c>
      <c r="D9" s="5">
        <f>B7/2/B8/B9</f>
        <v>5.9999999999999991</v>
      </c>
      <c r="E9" t="s">
        <v>12</v>
      </c>
      <c r="F9" s="5">
        <f>D9*2</f>
        <v>11.999999999999998</v>
      </c>
    </row>
    <row r="11" spans="1:10" x14ac:dyDescent="0.15">
      <c r="A11" t="s">
        <v>13</v>
      </c>
      <c r="B11" s="5">
        <v>330</v>
      </c>
    </row>
    <row r="12" spans="1:10" x14ac:dyDescent="0.15">
      <c r="A12" t="s">
        <v>14</v>
      </c>
      <c r="B12" s="5">
        <v>330</v>
      </c>
    </row>
    <row r="13" spans="1:10" x14ac:dyDescent="0.15">
      <c r="A13" t="s">
        <v>15</v>
      </c>
      <c r="B13" s="5">
        <v>7.5</v>
      </c>
      <c r="C13" t="s">
        <v>16</v>
      </c>
      <c r="D13" s="5">
        <f>B7*(B11+B12+B13)/B13</f>
        <v>400.5</v>
      </c>
      <c r="E13" s="4" t="s">
        <v>79</v>
      </c>
      <c r="F13" s="5">
        <f>D13/1.732</f>
        <v>231.23556581986142</v>
      </c>
    </row>
    <row r="14" spans="1:10" x14ac:dyDescent="0.15">
      <c r="A14" t="s">
        <v>80</v>
      </c>
      <c r="B14" s="5">
        <v>1.5</v>
      </c>
      <c r="C14" t="s">
        <v>81</v>
      </c>
      <c r="D14" s="5">
        <f>(B11+B12+B13*B14)/(B13*B14)</f>
        <v>59.666666666666664</v>
      </c>
      <c r="E14" s="4" t="s">
        <v>82</v>
      </c>
      <c r="F14" s="5">
        <f>B7*D14/1.732</f>
        <v>155.0230946882217</v>
      </c>
    </row>
    <row r="15" spans="1:10" x14ac:dyDescent="0.15">
      <c r="A15" t="s">
        <v>17</v>
      </c>
      <c r="B15" s="5">
        <v>44.427</v>
      </c>
    </row>
    <row r="16" spans="1:10" x14ac:dyDescent="0.15">
      <c r="A16" t="s">
        <v>18</v>
      </c>
      <c r="B16" s="5">
        <v>0.14050000000000001</v>
      </c>
    </row>
    <row r="17" spans="1:8" x14ac:dyDescent="0.15">
      <c r="A17" t="s">
        <v>20</v>
      </c>
      <c r="B17" s="5">
        <v>2</v>
      </c>
    </row>
    <row r="18" spans="1:8" x14ac:dyDescent="0.15">
      <c r="A18" t="s">
        <v>21</v>
      </c>
      <c r="B18" s="5">
        <v>31.4</v>
      </c>
    </row>
    <row r="19" spans="1:8" x14ac:dyDescent="0.15">
      <c r="A19" t="s">
        <v>22</v>
      </c>
      <c r="B19" s="5">
        <v>99</v>
      </c>
      <c r="C19" t="s">
        <v>19</v>
      </c>
      <c r="D19" s="5">
        <f>B17*B18*B19/(2*SQRT(3)*60)</f>
        <v>29.912517446714514</v>
      </c>
      <c r="E19" s="4" t="s">
        <v>83</v>
      </c>
      <c r="F19" s="5">
        <f>D19*B27/1000</f>
        <v>215.3701256163445</v>
      </c>
    </row>
    <row r="20" spans="1:8" x14ac:dyDescent="0.15">
      <c r="A20" t="s">
        <v>23</v>
      </c>
      <c r="B20" s="5">
        <v>0.85</v>
      </c>
    </row>
    <row r="21" spans="1:8" x14ac:dyDescent="0.15">
      <c r="A21" s="2" t="s">
        <v>24</v>
      </c>
      <c r="B21" s="5">
        <v>200</v>
      </c>
      <c r="C21" t="s">
        <v>25</v>
      </c>
      <c r="D21" s="5">
        <f>(2*B20*2*B2*B21*B16-B15)*D9/D13*2048</f>
        <v>7845.9342373661721</v>
      </c>
      <c r="E21" s="1" t="s">
        <v>68</v>
      </c>
      <c r="F21" s="5">
        <v>4078</v>
      </c>
    </row>
    <row r="22" spans="1:8" x14ac:dyDescent="0.15">
      <c r="C22" t="s">
        <v>26</v>
      </c>
      <c r="D22" s="5">
        <f>2*B2*B21*2*B2*B21*B16*F3*D9/D13*2048</f>
        <v>425.4560826815657</v>
      </c>
      <c r="E22" s="1" t="s">
        <v>69</v>
      </c>
      <c r="F22" s="5" t="s">
        <v>36</v>
      </c>
    </row>
    <row r="24" spans="1:8" x14ac:dyDescent="0.15">
      <c r="A24" s="2" t="s">
        <v>27</v>
      </c>
      <c r="B24" s="5">
        <v>4096</v>
      </c>
      <c r="C24" s="1" t="s">
        <v>29</v>
      </c>
      <c r="D24" s="5">
        <v>4094</v>
      </c>
    </row>
    <row r="25" spans="1:8" x14ac:dyDescent="0.15">
      <c r="A25" s="2" t="s">
        <v>28</v>
      </c>
      <c r="B25" s="5">
        <v>1638</v>
      </c>
      <c r="C25" s="1" t="s">
        <v>30</v>
      </c>
      <c r="D25" s="5">
        <v>4096</v>
      </c>
    </row>
    <row r="27" spans="1:8" x14ac:dyDescent="0.15">
      <c r="A27" t="s">
        <v>31</v>
      </c>
      <c r="B27" s="5">
        <v>7200</v>
      </c>
      <c r="C27" t="s">
        <v>32</v>
      </c>
      <c r="D27" s="5">
        <f>B27/60*B17</f>
        <v>240</v>
      </c>
    </row>
    <row r="28" spans="1:8" x14ac:dyDescent="0.15">
      <c r="A28" s="2" t="s">
        <v>34</v>
      </c>
      <c r="B28" s="5">
        <v>50</v>
      </c>
      <c r="E28" t="s">
        <v>33</v>
      </c>
      <c r="F28" s="5">
        <f>2*2*B2*B28*B20/D27*4096</f>
        <v>9114.8073301333334</v>
      </c>
      <c r="G28" s="6" t="s">
        <v>67</v>
      </c>
      <c r="H28" s="5">
        <v>4074</v>
      </c>
    </row>
    <row r="29" spans="1:8" x14ac:dyDescent="0.15">
      <c r="E29" t="s">
        <v>35</v>
      </c>
      <c r="F29" s="5">
        <f>2*B2*B28*B28*F3/D27*32768</f>
        <v>134.04128426666668</v>
      </c>
      <c r="G29" s="6" t="s">
        <v>66</v>
      </c>
      <c r="H29" s="5">
        <v>4076</v>
      </c>
    </row>
    <row r="31" spans="1:8" x14ac:dyDescent="0.15">
      <c r="A31" t="s">
        <v>37</v>
      </c>
      <c r="B31" s="5">
        <v>24</v>
      </c>
    </row>
    <row r="32" spans="1:8" x14ac:dyDescent="0.15">
      <c r="A32" t="s">
        <v>38</v>
      </c>
      <c r="B32" s="5">
        <v>1</v>
      </c>
      <c r="C32" t="s">
        <v>39</v>
      </c>
      <c r="D32" s="5">
        <f>B31*B32</f>
        <v>24</v>
      </c>
      <c r="E32" s="1" t="s">
        <v>40</v>
      </c>
      <c r="F32" s="5" t="s">
        <v>46</v>
      </c>
      <c r="G32" s="5">
        <v>4060</v>
      </c>
    </row>
    <row r="33" spans="1:7" x14ac:dyDescent="0.15">
      <c r="C33" t="s">
        <v>41</v>
      </c>
      <c r="D33" s="5">
        <f>B31*500/B3</f>
        <v>750</v>
      </c>
      <c r="E33" s="1" t="s">
        <v>42</v>
      </c>
      <c r="F33" s="5" t="s">
        <v>47</v>
      </c>
      <c r="G33" s="5" t="s">
        <v>56</v>
      </c>
    </row>
    <row r="35" spans="1:7" x14ac:dyDescent="0.15">
      <c r="A35" t="s">
        <v>43</v>
      </c>
      <c r="B35" s="5">
        <v>1</v>
      </c>
      <c r="C35" t="s">
        <v>44</v>
      </c>
      <c r="D35" s="5">
        <f>B35*B31/2</f>
        <v>12</v>
      </c>
      <c r="E35" s="1" t="s">
        <v>45</v>
      </c>
      <c r="F35" s="5" t="s">
        <v>48</v>
      </c>
      <c r="G35" s="5" t="s">
        <v>55</v>
      </c>
    </row>
    <row r="37" spans="1:7" x14ac:dyDescent="0.15">
      <c r="C37" t="s">
        <v>49</v>
      </c>
      <c r="D37" s="5">
        <f>1000/B3</f>
        <v>62.5</v>
      </c>
    </row>
    <row r="38" spans="1:7" x14ac:dyDescent="0.15">
      <c r="A38" t="s">
        <v>50</v>
      </c>
      <c r="B38" s="5">
        <v>1</v>
      </c>
      <c r="C38" t="s">
        <v>51</v>
      </c>
      <c r="D38" s="5">
        <f>4096/D37*B38</f>
        <v>65.536000000000001</v>
      </c>
      <c r="E38" s="1" t="s">
        <v>52</v>
      </c>
      <c r="F38" s="5" t="s">
        <v>53</v>
      </c>
      <c r="G38" s="5" t="s">
        <v>54</v>
      </c>
    </row>
    <row r="39" spans="1:7" x14ac:dyDescent="0.15">
      <c r="A39" t="s">
        <v>57</v>
      </c>
      <c r="B39" s="5">
        <v>0.5</v>
      </c>
      <c r="C39" t="s">
        <v>58</v>
      </c>
      <c r="D39" s="5">
        <f>4096/D37*(B39+B32)</f>
        <v>98.304000000000002</v>
      </c>
      <c r="E39" s="1" t="s">
        <v>59</v>
      </c>
      <c r="F39" s="5" t="s">
        <v>60</v>
      </c>
      <c r="G39" s="5" t="s">
        <v>61</v>
      </c>
    </row>
    <row r="42" spans="1:7" x14ac:dyDescent="0.15">
      <c r="C42" t="s">
        <v>62</v>
      </c>
      <c r="D42" s="5">
        <f>D27*F3*32768</f>
        <v>491.52</v>
      </c>
      <c r="E42" s="1" t="s">
        <v>63</v>
      </c>
    </row>
    <row r="43" spans="1:7" x14ac:dyDescent="0.15">
      <c r="C43" t="s">
        <v>64</v>
      </c>
      <c r="D43" s="5">
        <f>2*B2*D27*F3*32768</f>
        <v>3088.3111895040001</v>
      </c>
      <c r="E43" s="1" t="s">
        <v>65</v>
      </c>
    </row>
    <row r="45" spans="1:7" x14ac:dyDescent="0.15">
      <c r="A45" s="7" t="s">
        <v>72</v>
      </c>
      <c r="B45" s="5">
        <v>10</v>
      </c>
      <c r="C45" t="s">
        <v>70</v>
      </c>
      <c r="D45" s="5">
        <f>2*2*B2*B20*B45/D27*4096</f>
        <v>1822.9614660266668</v>
      </c>
      <c r="E45" s="1" t="s">
        <v>73</v>
      </c>
      <c r="F45" s="5">
        <v>4074</v>
      </c>
    </row>
    <row r="46" spans="1:7" x14ac:dyDescent="0.15">
      <c r="C46" t="s">
        <v>71</v>
      </c>
      <c r="D46" s="5">
        <f>2*B2*B45*B45*F3/D27*32768</f>
        <v>5.3616513706666673</v>
      </c>
      <c r="E46" s="3" t="s">
        <v>74</v>
      </c>
      <c r="F46" s="5">
        <v>4076</v>
      </c>
    </row>
    <row r="48" spans="1:7" x14ac:dyDescent="0.15">
      <c r="C48" t="s">
        <v>75</v>
      </c>
      <c r="D48" s="5">
        <f>B16/(B16+B15*F3)*32768</f>
        <v>32132.959522811412</v>
      </c>
      <c r="E48" s="3" t="s">
        <v>84</v>
      </c>
      <c r="F48" s="5" t="s">
        <v>88</v>
      </c>
    </row>
    <row r="49" spans="3:6" x14ac:dyDescent="0.15">
      <c r="C49" t="s">
        <v>76</v>
      </c>
      <c r="D49" s="5">
        <f>F3/(B16+B15*F3)*F14/F9*8192</f>
        <v>46.164654013915971</v>
      </c>
      <c r="E49" s="3" t="s">
        <v>85</v>
      </c>
      <c r="F49" s="5" t="s">
        <v>89</v>
      </c>
    </row>
    <row r="50" spans="3:6" x14ac:dyDescent="0.15">
      <c r="C50" t="s">
        <v>77</v>
      </c>
      <c r="D50" s="5">
        <f>F3/(B16+B15*F3)*F19/F9*32767</f>
        <v>256.5342649977062</v>
      </c>
      <c r="E50" s="3" t="s">
        <v>86</v>
      </c>
      <c r="F50" s="5">
        <v>4088</v>
      </c>
    </row>
    <row r="51" spans="3:6" x14ac:dyDescent="0.15">
      <c r="C51" t="s">
        <v>78</v>
      </c>
      <c r="D51" s="5">
        <v>0</v>
      </c>
      <c r="E51" s="3" t="s">
        <v>87</v>
      </c>
      <c r="F51" s="5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2018-08-13T08:37:26Z</dcterms:modified>
</cp:coreProperties>
</file>